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tables/table2.xml" ContentType="application/vnd.openxmlformats-officedocument.spreadsheetml.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G:\"/>
    </mc:Choice>
  </mc:AlternateContent>
  <xr:revisionPtr revIDLastSave="0" documentId="13_ncr:1_{FB6F5472-E8FF-4878-B350-A2204BB1C6B9}" xr6:coauthVersionLast="47" xr6:coauthVersionMax="47" xr10:uidLastSave="{00000000-0000-0000-0000-000000000000}"/>
  <bookViews>
    <workbookView xWindow="28680" yWindow="-120" windowWidth="29040" windowHeight="15720" tabRatio="780" firstSheet="2" activeTab="6" xr2:uid="{2261D45D-329E-4045-929F-FA4CF611E66A}"/>
  </bookViews>
  <sheets>
    <sheet name="correls (2)" sheetId="530" r:id="rId1"/>
    <sheet name="PAIR_Monitor" sheetId="338" r:id="rId2"/>
    <sheet name="BETAS" sheetId="446" r:id="rId3"/>
    <sheet name="Sheet3" sheetId="531" r:id="rId4"/>
    <sheet name="Sheet2" sheetId="529" r:id="rId5"/>
    <sheet name="Sheet1" sheetId="528" r:id="rId6"/>
    <sheet name="P&amp;L Pivot" sheetId="24" r:id="rId7"/>
    <sheet name="Master P&amp;L" sheetId="1" r:id="rId8"/>
    <sheet name="Options" sheetId="2" r:id="rId9"/>
    <sheet name="Options Price" sheetId="89" r:id="rId10"/>
    <sheet name="Check" sheetId="385" r:id="rId11"/>
    <sheet name="Input_APM" sheetId="384" r:id="rId12"/>
    <sheet name="Input_APM (Zenith)" sheetId="414" r:id="rId13"/>
    <sheet name="Check (Zenith)" sheetId="415" state="hidden" r:id="rId14"/>
    <sheet name="Auxiliar" sheetId="383" r:id="rId15"/>
    <sheet name="CDS" sheetId="54" r:id="rId16"/>
    <sheet name="Check result" sheetId="444" r:id="rId17"/>
    <sheet name="Precificação" sheetId="527" r:id="rId18"/>
  </sheets>
  <functionGroups builtInGroupCount="19"/>
  <definedNames>
    <definedName name="_xlnm._FilterDatabase" localSheetId="10" hidden="1">Check!$A$4:$V$190</definedName>
    <definedName name="_xlnm._FilterDatabase" localSheetId="13" hidden="1">'Check (Zenith)'!$B$4:$E$151</definedName>
    <definedName name="_xlnm._FilterDatabase" localSheetId="11" hidden="1">Input_APM!$K$1:$O$397</definedName>
    <definedName name="_xlnm._FilterDatabase" localSheetId="7" hidden="1">'Master P&amp;L'!$A$11:$AD$57</definedName>
    <definedName name="_xlnm._FilterDatabase" localSheetId="8" hidden="1">Options!$A$3:$BD$29</definedName>
    <definedName name="CODIGO">#REF!</definedName>
    <definedName name="dat_ini1">#REF!</definedName>
    <definedName name="datPosicao">#REF!</definedName>
    <definedName name="feriados2">#REF!</definedName>
    <definedName name="Fundos">_xlfn._xlws.FILTER(_xlfn.UNIQUE(#REF!),_xlfn.UNIQUE(#REF!)&lt;&gt;"")</definedName>
    <definedName name="Fundos_2">_xlfn._xlws.FILTER(_xlfn.UNIQUE(#REF!),_xlfn.UNIQUE(#REF!)&lt;&gt;"")</definedName>
    <definedName name="Hoje">Auxiliar!$B$2</definedName>
    <definedName name="INI_TABELA">#REF!</definedName>
    <definedName name="INI_TABELA_C">#REF!</definedName>
    <definedName name="Input_Master">Auxiliar!$B$4</definedName>
    <definedName name="Input_Zenith">Auxiliar!$B$5</definedName>
    <definedName name="ListaBrokers">#REF!</definedName>
    <definedName name="Ontem">Auxiliar!$B$3</definedName>
    <definedName name="opcoes">#REF!</definedName>
    <definedName name="_xlnm.Print_Area" localSheetId="7">'Master P&amp;L'!$B$2:$AC$57</definedName>
    <definedName name="_xlnm.Print_Area" localSheetId="6">'P&amp;L Pivot'!$A$7:$F$60</definedName>
    <definedName name="RESUMO_TABELA">#REF!</definedName>
    <definedName name="RESUMO_TABELA_C">#REF!</definedName>
    <definedName name="SpreadsheetBuilder_1" hidden="1">#REF!</definedName>
  </definedNames>
  <calcPr calcId="191029"/>
  <pivotCaches>
    <pivotCache cacheId="10" r:id="rId1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2" l="1"/>
  <c r="AC12" i="2" a="1"/>
  <c r="AC12" i="2"/>
  <c r="AC8" i="2" a="1"/>
  <c r="AC8" i="2"/>
  <c r="AQ12" i="2" a="1"/>
  <c r="AQ12" i="2"/>
  <c r="AQ8" i="2" a="1"/>
  <c r="AQ8" i="2"/>
  <c r="AB61" i="89" a="1"/>
  <c r="AB61" i="89"/>
  <c r="AB68" i="89" a="1"/>
  <c r="AB68" i="89"/>
  <c r="AB53" i="89" a="1"/>
  <c r="AB53" i="89"/>
  <c r="AB52" i="89" a="1"/>
  <c r="AB52" i="89"/>
  <c r="AC15" i="2" a="1"/>
  <c r="AC15" i="2"/>
  <c r="Z12" i="2"/>
  <c r="AV12" i="2" s="1" a="1"/>
  <c r="S61" i="89" a="1"/>
  <c r="AV12" i="2" l="1"/>
  <c r="S61" i="89"/>
  <c r="R61" i="89" a="1"/>
  <c r="S53" i="89" a="1"/>
  <c r="R61" i="89" l="1"/>
  <c r="S53" i="89"/>
  <c r="R53" i="89" a="1"/>
  <c r="Z8" i="2"/>
  <c r="AV8" i="2" s="1" a="1"/>
  <c r="S68" i="89" a="1"/>
  <c r="AV8" i="2" l="1"/>
  <c r="R53" i="89"/>
  <c r="S68" i="89"/>
  <c r="R68" i="89" a="1"/>
  <c r="AQ22" i="2" a="1"/>
  <c r="R68" i="89" l="1"/>
  <c r="AQ22" i="2"/>
  <c r="AQ21" i="2" a="1"/>
  <c r="AQ21" i="2"/>
  <c r="AB14" i="89" a="1"/>
  <c r="AB14" i="89"/>
  <c r="AB13" i="89" a="1"/>
  <c r="AB13" i="89"/>
  <c r="AC27" i="2" a="1"/>
  <c r="AC27" i="2"/>
  <c r="AC17" i="2" a="1"/>
  <c r="AC17" i="2"/>
  <c r="AC16" i="2" a="1"/>
  <c r="AC16" i="2"/>
  <c r="AC19" i="2" a="1"/>
  <c r="AC19" i="2"/>
  <c r="AQ25" i="2" a="1"/>
  <c r="AQ25" i="2"/>
  <c r="AQ24" i="2" a="1"/>
  <c r="AQ24" i="2"/>
  <c r="AQ23" i="2" a="1"/>
  <c r="AQ23" i="2"/>
  <c r="AB37" i="89" a="1"/>
  <c r="AB37" i="89"/>
  <c r="AB36" i="89" a="1"/>
  <c r="AB36" i="89"/>
  <c r="AB31" i="89" a="1"/>
  <c r="AB31" i="89"/>
  <c r="AB30" i="89" a="1"/>
  <c r="AB30" i="89"/>
  <c r="AC22" i="2" a="1"/>
  <c r="AC22" i="2"/>
  <c r="AC21" i="2" a="1"/>
  <c r="AC21" i="2"/>
  <c r="AC25" i="2" a="1"/>
  <c r="AC25" i="2"/>
  <c r="AC24" i="2" a="1"/>
  <c r="AC24" i="2"/>
  <c r="AC23" i="2" a="1"/>
  <c r="AC23" i="2"/>
  <c r="AQ7" i="2" a="1"/>
  <c r="AQ7" i="2"/>
  <c r="AC7" i="2" a="1"/>
  <c r="AC7" i="2"/>
  <c r="AQ19" i="2" a="1"/>
  <c r="AQ19" i="2"/>
  <c r="AQ27" i="2" a="1"/>
  <c r="AQ27" i="2"/>
  <c r="AQ5" i="2" a="1"/>
  <c r="AQ5" i="2"/>
  <c r="AQ4" i="2" a="1"/>
  <c r="AQ4" i="2"/>
  <c r="AB96" i="89" a="1"/>
  <c r="AB96" i="89"/>
  <c r="AB95" i="89" a="1"/>
  <c r="AB95" i="89"/>
  <c r="AB94" i="89" a="1"/>
  <c r="AB94" i="89"/>
  <c r="AB105" i="89" a="1"/>
  <c r="AB105" i="89"/>
  <c r="AB104" i="89" a="1"/>
  <c r="AB104" i="89"/>
  <c r="AB103" i="89" a="1"/>
  <c r="AB103" i="89"/>
  <c r="AC11" i="2" a="1"/>
  <c r="AC11" i="2"/>
  <c r="AC5" i="2" a="1"/>
  <c r="AC5" i="2"/>
  <c r="AC4" i="2" a="1"/>
  <c r="AC4" i="2"/>
  <c r="AQ17" i="2" a="1"/>
  <c r="AQ17" i="2"/>
  <c r="AQ16" i="2" a="1"/>
  <c r="AQ16" i="2"/>
  <c r="AQ11" i="2" a="1"/>
  <c r="AQ11" i="2"/>
  <c r="AB20" i="89" a="1"/>
  <c r="AB20" i="89"/>
  <c r="AB19" i="89" a="1"/>
  <c r="AB19" i="89"/>
  <c r="D26" i="2" a="1"/>
  <c r="D26" i="2"/>
  <c r="T26" i="2" a="1"/>
  <c r="T26" i="2"/>
  <c r="E15" i="2" a="1"/>
  <c r="E15" i="2"/>
  <c r="AR10" i="2" a="1"/>
  <c r="AR10" i="2"/>
  <c r="AR9" i="2" a="1"/>
  <c r="AR9" i="2"/>
  <c r="AR12" i="2" a="1"/>
  <c r="AR12" i="2"/>
  <c r="T20" i="2" a="1"/>
  <c r="T20" i="2"/>
  <c r="AA15" i="2" a="1"/>
  <c r="AA15" i="2"/>
  <c r="AA10" i="2" a="1"/>
  <c r="AA10" i="2"/>
  <c r="C6" i="2" a="1"/>
  <c r="C6" i="2"/>
  <c r="C12" i="2" a="1"/>
  <c r="C12" i="2"/>
  <c r="AA18" i="2" a="1"/>
  <c r="AA18" i="2"/>
  <c r="E9" i="2" a="1"/>
  <c r="E9" i="2"/>
  <c r="D12" i="2" a="1"/>
  <c r="D12" i="2"/>
  <c r="T18" i="2" a="1"/>
  <c r="T18" i="2"/>
  <c r="D18" i="2" a="1"/>
  <c r="D18" i="2"/>
  <c r="F20" i="2" a="1"/>
  <c r="F20" i="2"/>
  <c r="AR20" i="2" a="1"/>
  <c r="AR20" i="2"/>
  <c r="D20" i="2" a="1"/>
  <c r="D20" i="2"/>
  <c r="F8" i="2" a="1"/>
  <c r="F8" i="2"/>
  <c r="F10" i="2" a="1"/>
  <c r="F10" i="2"/>
  <c r="AR18" i="2" a="1"/>
  <c r="AR18" i="2"/>
  <c r="AD28" i="2" a="1"/>
  <c r="AD28" i="2"/>
  <c r="AA6" i="2" a="1"/>
  <c r="AA6" i="2"/>
  <c r="D9" i="2" a="1"/>
  <c r="D9" i="2"/>
  <c r="E20" i="2" a="1"/>
  <c r="E20" i="2"/>
  <c r="AR28" i="2" a="1"/>
  <c r="AR28" i="2"/>
  <c r="F9" i="2" a="1"/>
  <c r="F9" i="2"/>
  <c r="E6" i="2" a="1"/>
  <c r="E6" i="2"/>
  <c r="C28" i="2" a="1"/>
  <c r="C28" i="2"/>
  <c r="F6" i="2" a="1"/>
  <c r="F6" i="2"/>
  <c r="E8" i="2" a="1"/>
  <c r="E8" i="2"/>
  <c r="T8" i="2" a="1"/>
  <c r="T8" i="2"/>
  <c r="AD26" i="2" a="1"/>
  <c r="AD26" i="2"/>
  <c r="C10" i="2" a="1"/>
  <c r="C10" i="2"/>
  <c r="E28" i="2" a="1"/>
  <c r="E28" i="2"/>
  <c r="AD15" i="2" a="1"/>
  <c r="AD15" i="2"/>
  <c r="E18" i="2" a="1"/>
  <c r="E18" i="2"/>
  <c r="AA12" i="2" a="1"/>
  <c r="AA12" i="2"/>
  <c r="T10" i="2" a="1"/>
  <c r="T10" i="2"/>
  <c r="C26" i="2" a="1"/>
  <c r="C26" i="2"/>
  <c r="C20" i="2" a="1"/>
  <c r="C20" i="2"/>
  <c r="AD8" i="2" a="1"/>
  <c r="AD8" i="2"/>
  <c r="E12" i="2" a="1"/>
  <c r="E12" i="2"/>
  <c r="C15" i="2" a="1"/>
  <c r="C15" i="2"/>
  <c r="C18" i="2" a="1"/>
  <c r="C18" i="2"/>
  <c r="AA8" i="2" a="1"/>
  <c r="AA8" i="2"/>
  <c r="T15" i="2" a="1"/>
  <c r="T15" i="2"/>
  <c r="T6" i="2" a="1"/>
  <c r="T6" i="2"/>
  <c r="AR8" i="2" a="1"/>
  <c r="AR8" i="2"/>
  <c r="AD10" i="2" a="1"/>
  <c r="AD10" i="2"/>
  <c r="F18" i="2" a="1"/>
  <c r="F18" i="2"/>
  <c r="D28" i="2" a="1"/>
  <c r="D28" i="2"/>
  <c r="F26" i="2" a="1"/>
  <c r="F26" i="2"/>
  <c r="T9" i="2" a="1"/>
  <c r="T9" i="2"/>
  <c r="AD6" i="2" a="1"/>
  <c r="AD6" i="2"/>
  <c r="F28" i="2" a="1"/>
  <c r="F28" i="2"/>
  <c r="AA26" i="2" a="1"/>
  <c r="AA26" i="2"/>
  <c r="D8" i="2" a="1"/>
  <c r="D8" i="2"/>
  <c r="AA20" i="2" a="1"/>
  <c r="AA20" i="2"/>
  <c r="D15" i="2" a="1"/>
  <c r="D15" i="2"/>
  <c r="AR15" i="2" a="1"/>
  <c r="AR15" i="2"/>
  <c r="AD20" i="2" a="1"/>
  <c r="AD20" i="2"/>
  <c r="D10" i="2" a="1"/>
  <c r="D10" i="2"/>
  <c r="T12" i="2" a="1"/>
  <c r="T12" i="2"/>
  <c r="E10" i="2" a="1"/>
  <c r="E10" i="2"/>
  <c r="AR6" i="2" a="1"/>
  <c r="AR6" i="2"/>
  <c r="AA28" i="2" a="1"/>
  <c r="AA28" i="2"/>
  <c r="C8" i="2" a="1"/>
  <c r="C8" i="2"/>
  <c r="AD18" i="2" a="1"/>
  <c r="AD18" i="2"/>
  <c r="AR26" i="2" a="1"/>
  <c r="AR26" i="2"/>
  <c r="AA9" i="2" a="1"/>
  <c r="AA9" i="2"/>
  <c r="D6" i="2" a="1"/>
  <c r="D6" i="2"/>
  <c r="F12" i="2" a="1"/>
  <c r="F12" i="2"/>
  <c r="F15" i="2" a="1"/>
  <c r="F15" i="2"/>
  <c r="AD12" i="2" a="1"/>
  <c r="AD12" i="2"/>
  <c r="C9" i="2" a="1"/>
  <c r="C9" i="2"/>
  <c r="E26" i="2" a="1"/>
  <c r="E26" i="2"/>
  <c r="T28" i="2" a="1"/>
  <c r="T28" i="2"/>
  <c r="AD9" i="2" a="1"/>
  <c r="AD9" i="2"/>
  <c r="C61" i="89" a="1"/>
  <c r="C61" i="89"/>
  <c r="D68" i="89" a="1"/>
  <c r="D68" i="89"/>
  <c r="E53" i="89" a="1"/>
  <c r="E53" i="89"/>
  <c r="V52" i="89" a="1"/>
  <c r="V52" i="89"/>
  <c r="D53" i="89" a="1"/>
  <c r="D53" i="89"/>
  <c r="Z61" i="89" a="1"/>
  <c r="Z61" i="89"/>
  <c r="AA61" i="89" a="1"/>
  <c r="AA61" i="89"/>
  <c r="E68" i="89" a="1"/>
  <c r="E68" i="89"/>
  <c r="T68" i="89" a="1"/>
  <c r="T68" i="89"/>
  <c r="Z53" i="89" a="1"/>
  <c r="Z53" i="89"/>
  <c r="AA53" i="89" a="1"/>
  <c r="AA53" i="89"/>
  <c r="C68" i="89" a="1"/>
  <c r="C68" i="89"/>
  <c r="E61" i="89" a="1"/>
  <c r="E61" i="89"/>
  <c r="T61" i="89" a="1"/>
  <c r="T61" i="89"/>
  <c r="C53" i="89" a="1"/>
  <c r="C53" i="89"/>
  <c r="V53" i="89" a="1"/>
  <c r="V53" i="89"/>
  <c r="D52" i="89" a="1"/>
  <c r="D52" i="89"/>
  <c r="T53" i="89" a="1"/>
  <c r="T53" i="89"/>
  <c r="Z52" i="89" a="1"/>
  <c r="Z52" i="89"/>
  <c r="AA52" i="89" a="1"/>
  <c r="AA52" i="89"/>
  <c r="T52" i="89" a="1"/>
  <c r="T52" i="89"/>
  <c r="E52" i="89" a="1"/>
  <c r="E52" i="89"/>
  <c r="C52" i="89" a="1"/>
  <c r="C52" i="89"/>
  <c r="V68" i="89" a="1"/>
  <c r="V68" i="89"/>
  <c r="D61" i="89" a="1"/>
  <c r="D61" i="89"/>
  <c r="Z68" i="89" a="1"/>
  <c r="Z68" i="89"/>
  <c r="AA68" i="89" a="1"/>
  <c r="AA68" i="89"/>
  <c r="V61" i="89" a="1"/>
  <c r="V61" i="89"/>
  <c r="AB88" i="89" a="1"/>
  <c r="AB88" i="89"/>
  <c r="AB79" i="89" a="1"/>
  <c r="AB79" i="89"/>
  <c r="AB78" i="89" a="1"/>
  <c r="AB78" i="89"/>
  <c r="AB77" i="89" a="1"/>
  <c r="AB77" i="89"/>
  <c r="F10" i="446" a="1"/>
  <c r="F10" i="446"/>
  <c r="F16" i="446" a="1"/>
  <c r="F16" i="446"/>
  <c r="G13" i="446" a="1"/>
  <c r="G13" i="446"/>
  <c r="F13" i="446" a="1"/>
  <c r="F13" i="446"/>
  <c r="F12" i="446" a="1"/>
  <c r="F12" i="446"/>
  <c r="G11" i="446" a="1"/>
  <c r="G11" i="446"/>
  <c r="G25" i="446" a="1"/>
  <c r="G25" i="446"/>
  <c r="G10" i="446" a="1"/>
  <c r="G10" i="446"/>
  <c r="G8" i="446" a="1"/>
  <c r="G8" i="446"/>
  <c r="G16" i="446" a="1"/>
  <c r="G16" i="446"/>
  <c r="G7" i="446" a="1"/>
  <c r="G7" i="446"/>
  <c r="F7" i="446" a="1"/>
  <c r="F7" i="446"/>
  <c r="G12" i="446" a="1"/>
  <c r="G12" i="446"/>
  <c r="F8" i="446" a="1"/>
  <c r="F8" i="446"/>
  <c r="F20" i="446" a="1"/>
  <c r="F20" i="446"/>
  <c r="F25" i="446" a="1"/>
  <c r="F25" i="446"/>
  <c r="F11" i="446" a="1"/>
  <c r="F11" i="446"/>
  <c r="G20" i="446" a="1"/>
  <c r="G20" i="446"/>
  <c r="E79" i="89" a="1"/>
  <c r="E79" i="89"/>
  <c r="E78" i="89" a="1"/>
  <c r="E78" i="89"/>
  <c r="E88" i="89" a="1"/>
  <c r="E88" i="89"/>
  <c r="E77" i="89" a="1"/>
  <c r="E77" i="89"/>
  <c r="F39" i="446" a="1"/>
  <c r="F39" i="446"/>
  <c r="G34" i="446" a="1"/>
  <c r="G34" i="446"/>
  <c r="D39" i="446" a="1"/>
  <c r="D39" i="446"/>
  <c r="F34" i="446" a="1"/>
  <c r="F34" i="446"/>
  <c r="F41" i="446" a="1"/>
  <c r="F41" i="446"/>
  <c r="F42" i="446" a="1"/>
  <c r="F42" i="446"/>
  <c r="G41" i="446" a="1"/>
  <c r="G41" i="446"/>
  <c r="D40" i="446" a="1"/>
  <c r="D40" i="446"/>
  <c r="G44" i="446" a="1"/>
  <c r="G44" i="446"/>
  <c r="D43" i="446" a="1"/>
  <c r="D43" i="446"/>
  <c r="F38" i="446" a="1"/>
  <c r="F38" i="446"/>
  <c r="F31" i="446" a="1"/>
  <c r="F31" i="446"/>
  <c r="G39" i="446" a="1"/>
  <c r="G39" i="446"/>
  <c r="D42" i="446" a="1"/>
  <c r="D42" i="446"/>
  <c r="G42" i="446" a="1"/>
  <c r="G42" i="446"/>
  <c r="G38" i="446" a="1"/>
  <c r="G38" i="446"/>
  <c r="F40" i="446" a="1"/>
  <c r="F40" i="446"/>
  <c r="D34" i="446" a="1"/>
  <c r="D34" i="446"/>
  <c r="F45" i="446" a="1"/>
  <c r="F45" i="446"/>
  <c r="D38" i="446" a="1"/>
  <c r="D38" i="446"/>
  <c r="G43" i="446" a="1"/>
  <c r="G43" i="446"/>
  <c r="G31" i="446" a="1"/>
  <c r="G31" i="446"/>
  <c r="D45" i="446" a="1"/>
  <c r="D45" i="446"/>
  <c r="G40" i="446" a="1"/>
  <c r="G40" i="446"/>
  <c r="F44" i="446" a="1"/>
  <c r="F44" i="446"/>
  <c r="D41" i="446" a="1"/>
  <c r="D41" i="446"/>
  <c r="D31" i="446" a="1"/>
  <c r="D31" i="446"/>
  <c r="D44" i="446" a="1"/>
  <c r="D44" i="446"/>
  <c r="G45" i="446" a="1"/>
  <c r="G45" i="446"/>
  <c r="F43" i="446" a="1"/>
  <c r="F43" i="446"/>
  <c r="D20" i="89" a="1"/>
  <c r="D20" i="89"/>
  <c r="E20" i="89" a="1"/>
  <c r="E20" i="89"/>
  <c r="E95" i="89" a="1"/>
  <c r="E95" i="89"/>
  <c r="E104" i="89" a="1"/>
  <c r="E104" i="89"/>
  <c r="E31" i="89" a="1"/>
  <c r="E31" i="89"/>
  <c r="E96" i="89" a="1"/>
  <c r="E96" i="89"/>
  <c r="D36" i="89" a="1"/>
  <c r="D36" i="89"/>
  <c r="D104" i="89" a="1"/>
  <c r="D104" i="89"/>
  <c r="D96" i="89" a="1"/>
  <c r="D96" i="89"/>
  <c r="E36" i="89" a="1"/>
  <c r="E36" i="89"/>
  <c r="D31" i="89" a="1"/>
  <c r="D31" i="89"/>
  <c r="D95" i="89" a="1"/>
  <c r="D95" i="89"/>
  <c r="Z7" i="2"/>
  <c r="AV7" i="2" s="1" a="1"/>
  <c r="Z27" i="2"/>
  <c r="AV27" i="2" s="1" a="1"/>
  <c r="Z17" i="2"/>
  <c r="AV17" i="2" s="1" a="1"/>
  <c r="Z19" i="2"/>
  <c r="AV19" i="2" s="1" a="1"/>
  <c r="Z22" i="2"/>
  <c r="AV22" i="2" s="1" a="1"/>
  <c r="X11" i="338" a="1"/>
  <c r="AV22" i="2" l="1"/>
  <c r="AV19" i="2"/>
  <c r="AV17" i="2"/>
  <c r="AV27" i="2"/>
  <c r="AV7" i="2"/>
  <c r="X11" i="338"/>
  <c r="X10" i="338" a="1"/>
  <c r="X10" i="338"/>
  <c r="P12" i="338" a="1"/>
  <c r="P12" i="338"/>
  <c r="P11" i="338" a="1"/>
  <c r="P11" i="338"/>
  <c r="T11" i="338" a="1"/>
  <c r="T11" i="338"/>
  <c r="S10" i="338" a="1"/>
  <c r="S10" i="338"/>
  <c r="T8" i="338" a="1"/>
  <c r="T8" i="338"/>
  <c r="X8" i="338" a="1"/>
  <c r="X8" i="338"/>
  <c r="P8" i="338" a="1"/>
  <c r="P8" i="338"/>
  <c r="X12" i="338" a="1"/>
  <c r="X12" i="338"/>
  <c r="S12" i="338" a="1"/>
  <c r="S12" i="338"/>
  <c r="S8" i="338" a="1"/>
  <c r="S8" i="338"/>
  <c r="T10" i="338" a="1"/>
  <c r="T10" i="338"/>
  <c r="T9" i="338" a="1"/>
  <c r="T9" i="338"/>
  <c r="S9" i="338" a="1"/>
  <c r="S9" i="338"/>
  <c r="P9" i="338" a="1"/>
  <c r="P9" i="338"/>
  <c r="S11" i="338" a="1"/>
  <c r="S11" i="338"/>
  <c r="P10" i="338" a="1"/>
  <c r="P10" i="338"/>
  <c r="X9" i="338" a="1"/>
  <c r="X9" i="338"/>
  <c r="T12" i="338" a="1"/>
  <c r="T12" i="338"/>
  <c r="E8" i="89" a="1"/>
  <c r="E8" i="89"/>
  <c r="D30" i="89" a="1"/>
  <c r="D30" i="89"/>
  <c r="E94" i="89" a="1"/>
  <c r="E94" i="89"/>
  <c r="E37" i="89" a="1"/>
  <c r="E37" i="89"/>
  <c r="D105" i="89" a="1"/>
  <c r="D105" i="89"/>
  <c r="D13" i="89" a="1"/>
  <c r="D13" i="89"/>
  <c r="E14" i="89" a="1"/>
  <c r="E14" i="89"/>
  <c r="E13" i="89" a="1"/>
  <c r="E13" i="89"/>
  <c r="D7" i="89"/>
  <c r="E19" i="89"/>
  <c r="D8" i="89" a="1"/>
  <c r="D8" i="89"/>
  <c r="D14" i="89" a="1"/>
  <c r="D14" i="89"/>
  <c r="D19" i="89"/>
  <c r="D103" i="89" a="1"/>
  <c r="D103" i="89"/>
  <c r="E7" i="89"/>
  <c r="D94" i="89" a="1"/>
  <c r="D94" i="89"/>
  <c r="E103" i="89" a="1"/>
  <c r="E103" i="89"/>
  <c r="E105" i="89" a="1"/>
  <c r="E105" i="89"/>
  <c r="D37" i="89" a="1"/>
  <c r="D37" i="89"/>
  <c r="E30" i="89" a="1"/>
  <c r="E30" i="89"/>
  <c r="AR5" i="2" a="1"/>
  <c r="AR5" i="2"/>
  <c r="E21" i="2" a="1"/>
  <c r="E21" i="2"/>
  <c r="AA21" i="2" a="1"/>
  <c r="AA21" i="2"/>
  <c r="T13" i="89" a="1"/>
  <c r="T13" i="89"/>
  <c r="T21" i="2" a="1"/>
  <c r="T21" i="2"/>
  <c r="O13" i="89" a="1"/>
  <c r="O13" i="89"/>
  <c r="T5" i="2" a="1"/>
  <c r="T5" i="2"/>
  <c r="O105" i="89" a="1"/>
  <c r="O105" i="89"/>
  <c r="D4" i="2" a="1"/>
  <c r="D4" i="2"/>
  <c r="C103" i="89" a="1"/>
  <c r="C103" i="89"/>
  <c r="T11" i="2" a="1"/>
  <c r="T11" i="2"/>
  <c r="O20" i="89" a="1"/>
  <c r="O20" i="89"/>
  <c r="D21" i="2" a="1"/>
  <c r="D21" i="2"/>
  <c r="C13" i="89" a="1"/>
  <c r="C13" i="89"/>
  <c r="C11" i="2" a="1"/>
  <c r="C11" i="2"/>
  <c r="AR4" i="2" a="1"/>
  <c r="AR4" i="2"/>
  <c r="AA4" i="2" a="1"/>
  <c r="AA4" i="2"/>
  <c r="T103" i="89" a="1"/>
  <c r="T103" i="89"/>
  <c r="E5" i="2" a="1"/>
  <c r="E5" i="2"/>
  <c r="C21" i="2" a="1"/>
  <c r="C21" i="2"/>
  <c r="D11" i="2" a="1"/>
  <c r="D11" i="2"/>
  <c r="C20" i="89" a="1"/>
  <c r="C20" i="89"/>
  <c r="F11" i="2" a="1"/>
  <c r="F11" i="2"/>
  <c r="F4" i="2" a="1"/>
  <c r="F4" i="2"/>
  <c r="AR21" i="2" a="1"/>
  <c r="AR21" i="2"/>
  <c r="AD11" i="2" a="1"/>
  <c r="AD11" i="2"/>
  <c r="V20" i="89" a="1"/>
  <c r="V20" i="89"/>
  <c r="AA5" i="2" a="1"/>
  <c r="AA5" i="2"/>
  <c r="T105" i="89" a="1"/>
  <c r="T105" i="89"/>
  <c r="T4" i="2" a="1"/>
  <c r="T4" i="2"/>
  <c r="O103" i="89" a="1"/>
  <c r="O103" i="89"/>
  <c r="AR11" i="2" a="1"/>
  <c r="AR11" i="2"/>
  <c r="F5" i="2" a="1"/>
  <c r="F5" i="2"/>
  <c r="E11" i="2" a="1"/>
  <c r="E11" i="2"/>
  <c r="C4" i="2" a="1"/>
  <c r="C4" i="2"/>
  <c r="AD21" i="2" a="1"/>
  <c r="AD21" i="2"/>
  <c r="V13" i="89" a="1"/>
  <c r="V13" i="89"/>
  <c r="F21" i="2" a="1"/>
  <c r="F21" i="2"/>
  <c r="AD4" i="2" a="1"/>
  <c r="AD4" i="2"/>
  <c r="V103" i="89" a="1"/>
  <c r="V103" i="89"/>
  <c r="AD5" i="2" a="1"/>
  <c r="AD5" i="2"/>
  <c r="V105" i="89" a="1"/>
  <c r="V105" i="89"/>
  <c r="C5" i="2" a="1"/>
  <c r="C5" i="2"/>
  <c r="D5" i="2" a="1"/>
  <c r="D5" i="2"/>
  <c r="C105" i="89" a="1"/>
  <c r="C105" i="89"/>
  <c r="AA11" i="2" a="1"/>
  <c r="AA11" i="2"/>
  <c r="T20" i="89" a="1"/>
  <c r="T20" i="89"/>
  <c r="E4" i="2" a="1"/>
  <c r="E4" i="2"/>
  <c r="T22" i="2" a="1"/>
  <c r="T22" i="2"/>
  <c r="AD22" i="2" a="1"/>
  <c r="AD22" i="2"/>
  <c r="AA13" i="2" a="1"/>
  <c r="AA13" i="2"/>
  <c r="AA24" i="2" a="1"/>
  <c r="AA24" i="2"/>
  <c r="T27" i="2" a="1"/>
  <c r="T27" i="2"/>
  <c r="C25" i="2" a="1"/>
  <c r="C25" i="2"/>
  <c r="AD7" i="2" a="1"/>
  <c r="AD7" i="2"/>
  <c r="AR19" i="2" a="1"/>
  <c r="AR19" i="2"/>
  <c r="AR24" i="2" a="1"/>
  <c r="AR24" i="2"/>
  <c r="AA7" i="2" a="1"/>
  <c r="AA7" i="2"/>
  <c r="D24" i="2" a="1"/>
  <c r="D24" i="2"/>
  <c r="AA16" i="2" a="1"/>
  <c r="AA16" i="2"/>
  <c r="D25" i="2" a="1"/>
  <c r="D25" i="2"/>
  <c r="AR27" i="2" a="1"/>
  <c r="AR27" i="2"/>
  <c r="F13" i="2" a="1"/>
  <c r="F13" i="2"/>
  <c r="D23" i="2" a="1"/>
  <c r="D23" i="2"/>
  <c r="C23" i="2" a="1"/>
  <c r="C23" i="2"/>
  <c r="E24" i="2" a="1"/>
  <c r="E24" i="2"/>
  <c r="D16" i="2" a="1"/>
  <c r="D16" i="2"/>
  <c r="E13" i="2" a="1"/>
  <c r="E13" i="2"/>
  <c r="E22" i="2" a="1"/>
  <c r="E22" i="2"/>
  <c r="F19" i="2" a="1"/>
  <c r="F19" i="2"/>
  <c r="T24" i="2" a="1"/>
  <c r="T24" i="2"/>
  <c r="F23" i="2" a="1"/>
  <c r="F23" i="2"/>
  <c r="AD25" i="2" a="1"/>
  <c r="AD25" i="2"/>
  <c r="AR17" i="2" a="1"/>
  <c r="AR17" i="2"/>
  <c r="E17" i="2" a="1"/>
  <c r="E17" i="2"/>
  <c r="AD13" i="2" a="1"/>
  <c r="AD13" i="2"/>
  <c r="AD24" i="2" a="1"/>
  <c r="AD24" i="2"/>
  <c r="F16" i="2" a="1"/>
  <c r="F16" i="2"/>
  <c r="E23" i="2" a="1"/>
  <c r="E23" i="2"/>
  <c r="C17" i="2" a="1"/>
  <c r="C17" i="2"/>
  <c r="AD17" i="2" a="1"/>
  <c r="AD17" i="2"/>
  <c r="AD27" i="2" a="1"/>
  <c r="AD27" i="2"/>
  <c r="AR13" i="2" a="1"/>
  <c r="AR13" i="2"/>
  <c r="E16" i="2" a="1"/>
  <c r="E16" i="2"/>
  <c r="C7" i="2" a="1"/>
  <c r="C7" i="2"/>
  <c r="T25" i="2" a="1"/>
  <c r="T25" i="2"/>
  <c r="AA19" i="2" a="1"/>
  <c r="AA19" i="2"/>
  <c r="F22" i="2" a="1"/>
  <c r="F22" i="2"/>
  <c r="AD23" i="2" a="1"/>
  <c r="AD23" i="2"/>
  <c r="AR22" i="2" a="1"/>
  <c r="AR22" i="2"/>
  <c r="F17" i="2" a="1"/>
  <c r="F17" i="2"/>
  <c r="C27" i="2" a="1"/>
  <c r="C27" i="2"/>
  <c r="AR23" i="2" a="1"/>
  <c r="AR23" i="2"/>
  <c r="E27" i="2" a="1"/>
  <c r="E27" i="2"/>
  <c r="F7" i="2" a="1"/>
  <c r="F7" i="2"/>
  <c r="T7" i="2" a="1"/>
  <c r="T7" i="2"/>
  <c r="E25" i="2" a="1"/>
  <c r="E25" i="2"/>
  <c r="AD19" i="2" a="1"/>
  <c r="AD19" i="2"/>
  <c r="AA17" i="2" a="1"/>
  <c r="AA17" i="2"/>
  <c r="F24" i="2" a="1"/>
  <c r="F24" i="2"/>
  <c r="C22" i="2" a="1"/>
  <c r="C22" i="2"/>
  <c r="AA27" i="2" a="1"/>
  <c r="AA27" i="2"/>
  <c r="T23" i="2" a="1"/>
  <c r="T23" i="2"/>
  <c r="AA25" i="2" a="1"/>
  <c r="AA25" i="2"/>
  <c r="AD16" i="2" a="1"/>
  <c r="AD16" i="2"/>
  <c r="D13" i="2" a="1"/>
  <c r="D13" i="2"/>
  <c r="AA22" i="2" a="1"/>
  <c r="AA22" i="2"/>
  <c r="AR16" i="2" a="1"/>
  <c r="AR16" i="2"/>
  <c r="E19" i="2" a="1"/>
  <c r="E19" i="2"/>
  <c r="D7" i="2" a="1"/>
  <c r="D7" i="2"/>
  <c r="AR7" i="2" a="1"/>
  <c r="AR7" i="2"/>
  <c r="T19" i="2" a="1"/>
  <c r="T19" i="2"/>
  <c r="D19" i="2" a="1"/>
  <c r="D19" i="2"/>
  <c r="C16" i="2" a="1"/>
  <c r="C16" i="2"/>
  <c r="AR25" i="2" a="1"/>
  <c r="AR25" i="2"/>
  <c r="F27" i="2" a="1"/>
  <c r="F27" i="2"/>
  <c r="T17" i="2" a="1"/>
  <c r="T17" i="2"/>
  <c r="E7" i="2" a="1"/>
  <c r="E7" i="2"/>
  <c r="C13" i="2" a="1"/>
  <c r="C13" i="2"/>
  <c r="F25" i="2" a="1"/>
  <c r="F25" i="2"/>
  <c r="T13" i="2" a="1"/>
  <c r="T13" i="2"/>
  <c r="D27" i="2" a="1"/>
  <c r="D27" i="2"/>
  <c r="C24" i="2" a="1"/>
  <c r="C24" i="2"/>
  <c r="D17" i="2" a="1"/>
  <c r="D17" i="2"/>
  <c r="D22" i="2" a="1"/>
  <c r="D22" i="2"/>
  <c r="AQ14" i="2" a="1"/>
  <c r="AQ14" i="2"/>
  <c r="AB8" i="89" a="1"/>
  <c r="AB8" i="89"/>
  <c r="AB7" i="89" a="1"/>
  <c r="AB7" i="89"/>
  <c r="T16" i="2" a="1"/>
  <c r="T16" i="2"/>
  <c r="AC14" i="2" a="1"/>
  <c r="AC14" i="2"/>
  <c r="C19" i="2" a="1"/>
  <c r="C19" i="2"/>
  <c r="AA23" i="2" a="1"/>
  <c r="AA23" i="2"/>
  <c r="G32" i="446" a="1"/>
  <c r="G32" i="446"/>
  <c r="G29" i="446" a="1"/>
  <c r="G29" i="446"/>
  <c r="D28" i="446" a="1"/>
  <c r="D28" i="446"/>
  <c r="G28" i="446" a="1"/>
  <c r="G28" i="446"/>
  <c r="F29" i="446" a="1"/>
  <c r="F29" i="446"/>
  <c r="G33" i="446" a="1"/>
  <c r="G33" i="446"/>
  <c r="F32" i="446" a="1"/>
  <c r="F32" i="446"/>
  <c r="F33" i="446" a="1"/>
  <c r="F33" i="446"/>
  <c r="D32" i="446" a="1"/>
  <c r="D32" i="446"/>
  <c r="F28" i="446" a="1"/>
  <c r="F28" i="446"/>
  <c r="D29" i="446" a="1"/>
  <c r="D29" i="446"/>
  <c r="D33" i="446" a="1"/>
  <c r="D33" i="446"/>
  <c r="C88" i="89" a="1"/>
  <c r="C88" i="89"/>
  <c r="T14" i="89" a="1"/>
  <c r="T14" i="89"/>
  <c r="V88" i="89" a="1"/>
  <c r="V88" i="89"/>
  <c r="V79" i="89" a="1"/>
  <c r="V79" i="89"/>
  <c r="T96" i="89" a="1"/>
  <c r="T96" i="89"/>
  <c r="C30" i="89" a="1"/>
  <c r="C30" i="89"/>
  <c r="T79" i="89" a="1"/>
  <c r="T79" i="89"/>
  <c r="T88" i="89" a="1"/>
  <c r="T88" i="89"/>
  <c r="O14" i="89" a="1"/>
  <c r="O14" i="89"/>
  <c r="C37" i="89" a="1"/>
  <c r="C37" i="89" l="1"/>
  <c r="V37" i="89" a="1"/>
  <c r="V37" i="89"/>
  <c r="O88" i="89" a="1"/>
  <c r="O88" i="89"/>
  <c r="V96" i="89" a="1"/>
  <c r="V96" i="89"/>
  <c r="O79" i="89" a="1"/>
  <c r="O79" i="89"/>
  <c r="O37" i="89" a="1"/>
  <c r="O37" i="89" l="1"/>
  <c r="V30" i="89" a="1"/>
  <c r="V30" i="89" l="1"/>
  <c r="C79" i="89" a="1"/>
  <c r="C79" i="89"/>
  <c r="T30" i="89" a="1"/>
  <c r="T30" i="89"/>
  <c r="T37" i="89" a="1"/>
  <c r="T37" i="89"/>
  <c r="O96" i="89" a="1"/>
  <c r="O96" i="89"/>
  <c r="C96" i="89" a="1"/>
  <c r="C96" i="89" l="1"/>
  <c r="V14" i="89" a="1"/>
  <c r="V14" i="89"/>
  <c r="C14" i="89" a="1"/>
  <c r="C14" i="89"/>
  <c r="O30" i="89" a="1"/>
  <c r="O30" i="89"/>
  <c r="S78" i="89" a="1"/>
  <c r="S78" i="89" l="1"/>
  <c r="R78" i="89" a="1"/>
  <c r="S104" i="89"/>
  <c r="R104" i="89" s="1" a="1"/>
  <c r="S31" i="89" a="1"/>
  <c r="R104" i="89" l="1"/>
  <c r="R78" i="89"/>
  <c r="S31" i="89"/>
  <c r="R31" i="89" a="1"/>
  <c r="S19" i="89" a="1"/>
  <c r="R31" i="89" l="1"/>
  <c r="S19" i="89"/>
  <c r="R19" i="89" a="1"/>
  <c r="AG46" i="1"/>
  <c r="AG37" i="1"/>
  <c r="AG36" i="1"/>
  <c r="AG18" i="1"/>
  <c r="AG23" i="1"/>
  <c r="AG57" i="1"/>
  <c r="AG56" i="1"/>
  <c r="AG42" i="1"/>
  <c r="AG41" i="1"/>
  <c r="AG19" i="1"/>
  <c r="AG47" i="1"/>
  <c r="AG45" i="1"/>
  <c r="AG44" i="1"/>
  <c r="AG48" i="1"/>
  <c r="AC37" i="1"/>
  <c r="AC36" i="1"/>
  <c r="AB23" i="1"/>
  <c r="AI25" i="1"/>
  <c r="K32" i="1"/>
  <c r="E5" i="1"/>
  <c r="AB20" i="1"/>
  <c r="AC25" i="1"/>
  <c r="AF12" i="1"/>
  <c r="K23" i="1"/>
  <c r="AC12" i="1"/>
  <c r="AC40" i="1"/>
  <c r="AC39" i="1"/>
  <c r="AI23" i="1"/>
  <c r="AF37" i="1"/>
  <c r="AF36" i="1"/>
  <c r="AI21" i="1"/>
  <c r="AC20" i="1" a="1"/>
  <c r="R19" i="89" l="1"/>
  <c r="AC20" i="1"/>
  <c r="K20" i="1"/>
  <c r="AC47" i="1"/>
  <c r="AI12" i="1"/>
  <c r="AF47" i="1"/>
  <c r="K39" i="1"/>
  <c r="AC21" i="1" a="1"/>
  <c r="AC21" i="1"/>
  <c r="AF42" i="1"/>
  <c r="AF41" i="1"/>
  <c r="AB47" i="1"/>
  <c r="AF23" i="1"/>
  <c r="AF20" i="1"/>
  <c r="AF32" i="1"/>
  <c r="K25" i="1"/>
  <c r="AB42" i="1"/>
  <c r="AB41" i="1"/>
  <c r="AB21" i="1"/>
  <c r="K41" i="1"/>
  <c r="AB37" i="1"/>
  <c r="AB36" i="1"/>
  <c r="AI32" i="1"/>
  <c r="K47" i="1"/>
  <c r="AB32" i="1"/>
  <c r="AB25" i="1"/>
  <c r="AF40" i="1"/>
  <c r="AF39" i="1"/>
  <c r="AF21" i="1"/>
  <c r="AC42" i="1"/>
  <c r="AC41" i="1"/>
  <c r="AI37" i="1"/>
  <c r="AI36" i="1"/>
  <c r="AI40" i="1"/>
  <c r="AI39" i="1"/>
  <c r="K12" i="1"/>
  <c r="K21" i="1"/>
  <c r="AC32" i="1"/>
  <c r="AI42" i="1"/>
  <c r="AI41" i="1"/>
  <c r="AB40" i="1"/>
  <c r="AB39" i="1"/>
  <c r="AI47" i="1"/>
  <c r="AC23" i="1"/>
  <c r="AF25" i="1"/>
  <c r="AB12" i="1"/>
  <c r="AI20" i="1"/>
  <c r="K36" i="1"/>
  <c r="AG22" i="1"/>
  <c r="AG54" i="1"/>
  <c r="AG21" i="1"/>
  <c r="AG55" i="1"/>
  <c r="AG29" i="1"/>
  <c r="AG28" i="1"/>
  <c r="AG35" i="1"/>
  <c r="AG31" i="1"/>
  <c r="AG30" i="1"/>
  <c r="AG15" i="1"/>
  <c r="AG12" i="1"/>
  <c r="AG26" i="1"/>
  <c r="C7" i="89" a="1"/>
  <c r="C7" i="89"/>
  <c r="V7" i="89" a="1"/>
  <c r="V7" i="89"/>
  <c r="C94" i="89" a="1"/>
  <c r="C94" i="89"/>
  <c r="O94" i="89" a="1"/>
  <c r="O94" i="89"/>
  <c r="C8" i="89" a="1"/>
  <c r="C8" i="89"/>
  <c r="V19" i="89"/>
  <c r="T104" i="89" a="1"/>
  <c r="T104" i="89"/>
  <c r="T78" i="89" a="1"/>
  <c r="T78" i="89"/>
  <c r="V8" i="89" a="1"/>
  <c r="V8" i="89"/>
  <c r="T36" i="89" a="1"/>
  <c r="T36" i="89"/>
  <c r="T19" i="89"/>
  <c r="C77" i="89" a="1"/>
  <c r="C77" i="89"/>
  <c r="O95" i="89" a="1"/>
  <c r="O95" i="89"/>
  <c r="T77" i="89" a="1"/>
  <c r="T77" i="89"/>
  <c r="O77" i="89" a="1"/>
  <c r="O77" i="89"/>
  <c r="V104" i="89" a="1"/>
  <c r="V104" i="89"/>
  <c r="C78" i="89" a="1"/>
  <c r="C78" i="89"/>
  <c r="O8" i="89" a="1"/>
  <c r="O8" i="89"/>
  <c r="O104" i="89" a="1"/>
  <c r="O104" i="89"/>
  <c r="V31" i="89" a="1"/>
  <c r="V31" i="89"/>
  <c r="V94" i="89" a="1"/>
  <c r="V94" i="89"/>
  <c r="C19" i="89"/>
  <c r="C36" i="89" a="1"/>
  <c r="C36" i="89"/>
  <c r="O31" i="89" a="1"/>
  <c r="O31" i="89"/>
  <c r="V36" i="89" a="1"/>
  <c r="V36" i="89" l="1"/>
  <c r="T8" i="89" a="1"/>
  <c r="T8" i="89"/>
  <c r="V95" i="89" a="1"/>
  <c r="V95" i="89"/>
  <c r="V77" i="89" a="1"/>
  <c r="V77" i="89"/>
  <c r="T95" i="89" a="1"/>
  <c r="T95" i="89"/>
  <c r="O36" i="89" a="1"/>
  <c r="O36" i="89"/>
  <c r="V78" i="89" a="1"/>
  <c r="V78" i="89"/>
  <c r="O78" i="89" a="1"/>
  <c r="O78" i="89"/>
  <c r="C31" i="89" a="1"/>
  <c r="C31" i="89"/>
  <c r="C95" i="89" a="1"/>
  <c r="C95" i="89"/>
  <c r="T31" i="89" a="1"/>
  <c r="T31" i="89"/>
  <c r="T94" i="89" a="1"/>
  <c r="T94" i="89"/>
  <c r="T7" i="89" a="1"/>
  <c r="T7" i="89"/>
  <c r="O7" i="89" a="1"/>
  <c r="O7" i="89"/>
  <c r="O19" i="89"/>
  <c r="C104" i="89" a="1"/>
  <c r="C104" i="89" l="1"/>
  <c r="AH8" i="338" a="1"/>
  <c r="AH8" i="338"/>
  <c r="AJ8" i="338" a="1"/>
  <c r="AJ8" i="338"/>
  <c r="AF8" i="338"/>
  <c r="G22" i="446" a="1"/>
  <c r="G22" i="446"/>
  <c r="F24" i="446" a="1"/>
  <c r="F24" i="446"/>
  <c r="F22" i="446" a="1"/>
  <c r="F22" i="446"/>
  <c r="F17" i="446" a="1"/>
  <c r="F17" i="446"/>
  <c r="F21" i="446" a="1"/>
  <c r="F21" i="446"/>
  <c r="N3" i="1"/>
  <c r="N8" i="1"/>
  <c r="N5" i="1"/>
  <c r="G21" i="446" a="1"/>
  <c r="G21" i="446"/>
  <c r="G24" i="446" a="1"/>
  <c r="G24" i="446"/>
  <c r="N4" i="1"/>
  <c r="X3" i="1"/>
  <c r="G17" i="446" a="1"/>
  <c r="G17" i="446"/>
  <c r="F18" i="446" a="1"/>
  <c r="F18" i="446"/>
  <c r="AK12" i="338" a="1"/>
  <c r="AK12" i="338"/>
  <c r="AK11" i="338" a="1"/>
  <c r="AK11" i="338"/>
  <c r="AK10" i="338" a="1"/>
  <c r="AK10" i="338"/>
  <c r="AI12" i="338" a="1"/>
  <c r="AI12" i="338"/>
  <c r="AI11" i="338" a="1"/>
  <c r="AI11" i="338"/>
  <c r="AI10" i="338" a="1"/>
  <c r="AI10" i="338"/>
  <c r="AG12" i="338"/>
  <c r="AG11" i="338"/>
  <c r="AG10" i="338"/>
  <c r="G18" i="446" a="1"/>
  <c r="G18" i="446"/>
  <c r="AF57" i="1"/>
  <c r="AF56" i="1"/>
  <c r="G19" i="446" a="1"/>
  <c r="G19" i="446"/>
  <c r="K49" i="1"/>
  <c r="AF53" i="1"/>
  <c r="AF52" i="1"/>
  <c r="AI54" i="1"/>
  <c r="AI57" i="1"/>
  <c r="AI56" i="1"/>
  <c r="AF54" i="1"/>
  <c r="AC53" i="1"/>
  <c r="AC52" i="1"/>
  <c r="AB54" i="1"/>
  <c r="F15" i="446" a="1"/>
  <c r="F15" i="446"/>
  <c r="AC51" i="1"/>
  <c r="AC50" i="1"/>
  <c r="AC49" i="1"/>
  <c r="K57" i="1"/>
  <c r="AC54" i="1"/>
  <c r="AB53" i="1"/>
  <c r="AB52" i="1"/>
  <c r="F14" i="446" a="1"/>
  <c r="F14" i="446"/>
  <c r="AB57" i="1"/>
  <c r="AB56" i="1"/>
  <c r="F19" i="446" a="1"/>
  <c r="F19" i="446"/>
  <c r="G15" i="446" a="1"/>
  <c r="G15" i="446"/>
  <c r="K54" i="1"/>
  <c r="AC57" i="1"/>
  <c r="AC56" i="1"/>
  <c r="G6" i="446" a="1"/>
  <c r="G6" i="446"/>
  <c r="G5" i="446" a="1"/>
  <c r="G5" i="446"/>
  <c r="AF51" i="1"/>
  <c r="AF50" i="1"/>
  <c r="AF49" i="1"/>
  <c r="AI51" i="1"/>
  <c r="AI50" i="1"/>
  <c r="AI49" i="1"/>
  <c r="AI53" i="1"/>
  <c r="AI52" i="1"/>
  <c r="N1" i="1"/>
  <c r="K52" i="1"/>
  <c r="AB51" i="1"/>
  <c r="AB50" i="1"/>
  <c r="AB49" i="1"/>
  <c r="F6" i="446" a="1"/>
  <c r="F6" i="446"/>
  <c r="F5" i="446" a="1"/>
  <c r="F5" i="446"/>
  <c r="N10" i="1"/>
  <c r="G14" i="446" a="1"/>
  <c r="G14" i="446"/>
  <c r="E9" i="1"/>
  <c r="E2" i="1"/>
  <c r="AB15" i="1"/>
  <c r="F23" i="446" a="1"/>
  <c r="F23" i="446"/>
  <c r="AK9" i="338" a="1"/>
  <c r="AK9" i="338"/>
  <c r="AC15" i="1"/>
  <c r="AJ11" i="338" a="1"/>
  <c r="AJ11" i="338"/>
  <c r="AH11" i="338" a="1"/>
  <c r="AH11" i="338"/>
  <c r="AF9" i="338"/>
  <c r="AF19" i="1"/>
  <c r="AH9" i="338" a="1"/>
  <c r="AH9" i="338"/>
  <c r="G36" i="446" a="1"/>
  <c r="G36" i="446"/>
  <c r="AI9" i="338" a="1"/>
  <c r="AI9" i="338"/>
  <c r="N6" i="1"/>
  <c r="AF11" i="338"/>
  <c r="AF34" i="1"/>
  <c r="AF33" i="1"/>
  <c r="K28" i="1"/>
  <c r="AC29" i="1" a="1"/>
  <c r="AC29" i="1"/>
  <c r="AC28" i="1" a="1"/>
  <c r="AC28" i="1"/>
  <c r="D35" i="446" a="1"/>
  <c r="D35" i="446"/>
  <c r="G26" i="446" a="1"/>
  <c r="G26" i="446"/>
  <c r="K19" i="1"/>
  <c r="K33" i="1"/>
  <c r="AC19" i="1" a="1"/>
  <c r="AC19" i="1"/>
  <c r="D26" i="446" a="1"/>
  <c r="D26" i="446"/>
  <c r="AB19" i="1"/>
  <c r="F26" i="446" a="1"/>
  <c r="F26" i="446"/>
  <c r="G23" i="446" a="1"/>
  <c r="G23" i="446"/>
  <c r="AI15" i="1"/>
  <c r="AF10" i="338"/>
  <c r="AF29" i="1"/>
  <c r="AF28" i="1"/>
  <c r="AJ10" i="338" a="1"/>
  <c r="AJ10" i="338"/>
  <c r="AG9" i="338"/>
  <c r="AF15" i="1"/>
  <c r="AC34" i="1" a="1"/>
  <c r="AC34" i="1"/>
  <c r="AC33" i="1" a="1"/>
  <c r="AC33" i="1"/>
  <c r="D36" i="446" a="1"/>
  <c r="D36" i="446"/>
  <c r="AI29" i="1"/>
  <c r="AI28" i="1"/>
  <c r="AJ9" i="338" a="1"/>
  <c r="AJ9" i="338"/>
  <c r="AI34" i="1"/>
  <c r="AI33" i="1"/>
  <c r="AB34" i="1"/>
  <c r="AB33" i="1"/>
  <c r="F36" i="446" a="1"/>
  <c r="F36" i="446"/>
  <c r="G35" i="446" a="1"/>
  <c r="G35" i="446"/>
  <c r="E3" i="1"/>
  <c r="AH10" i="338" a="1"/>
  <c r="AH10" i="338"/>
  <c r="AB29" i="1"/>
  <c r="AB28" i="1"/>
  <c r="F35" i="446" a="1"/>
  <c r="F35" i="446"/>
  <c r="AI19" i="1"/>
  <c r="K15" i="1"/>
  <c r="AC27" i="1" a="1"/>
  <c r="AC27" i="1"/>
  <c r="AI24" i="1"/>
  <c r="AF45" i="1"/>
  <c r="AF44" i="1"/>
  <c r="AB55" i="1"/>
  <c r="K43" i="1"/>
  <c r="AI27" i="1"/>
  <c r="AF27" i="1"/>
  <c r="AB18" i="1"/>
  <c r="K18" i="1"/>
  <c r="AI14" i="1"/>
  <c r="AF55" i="1"/>
  <c r="AB13" i="1"/>
  <c r="K35" i="1"/>
  <c r="K13" i="1"/>
  <c r="AC43" i="1"/>
  <c r="AI45" i="1"/>
  <c r="AI44" i="1"/>
  <c r="AF26" i="1"/>
  <c r="AF14" i="1"/>
  <c r="AF24" i="1"/>
  <c r="AC18" i="1"/>
  <c r="AC45" i="1"/>
  <c r="AC44" i="1"/>
  <c r="K26" i="1"/>
  <c r="K24" i="1"/>
  <c r="AI18" i="1"/>
  <c r="AB27" i="1"/>
  <c r="AI26" i="1"/>
  <c r="AF35" i="1"/>
  <c r="AI43" i="1"/>
  <c r="AC26" i="1"/>
  <c r="AI55" i="1"/>
  <c r="K44" i="1"/>
  <c r="AI13" i="1"/>
  <c r="AC35" i="1"/>
  <c r="AI35" i="1"/>
  <c r="AC55" i="1"/>
  <c r="AF13" i="1"/>
  <c r="AB45" i="1"/>
  <c r="AB44" i="1"/>
  <c r="AC14" i="1"/>
  <c r="AB35" i="1"/>
  <c r="AC13" i="1"/>
  <c r="AB24" i="1"/>
  <c r="K14" i="1"/>
  <c r="AB26" i="1"/>
  <c r="K55" i="1"/>
  <c r="AF18" i="1"/>
  <c r="K27" i="1"/>
  <c r="AB14" i="1"/>
  <c r="AB43" i="1"/>
  <c r="AC24" i="1"/>
  <c r="AF43" i="1"/>
  <c r="AF22" i="1"/>
  <c r="AF48" i="1"/>
  <c r="AC46" i="1"/>
  <c r="AF46" i="1"/>
  <c r="AI22" i="1"/>
  <c r="K22" i="1"/>
  <c r="AB22" i="1"/>
  <c r="AB46" i="1"/>
  <c r="AC48" i="1"/>
  <c r="AI48" i="1"/>
  <c r="AI46" i="1"/>
  <c r="K48" i="1"/>
  <c r="AB48" i="1"/>
  <c r="AC22" i="1"/>
  <c r="K46" i="1"/>
  <c r="AG51" i="1"/>
  <c r="AG50" i="1"/>
  <c r="AG49" i="1"/>
  <c r="AG25" i="1"/>
  <c r="AG20" i="1"/>
  <c r="AG53" i="1"/>
  <c r="AG52" i="1"/>
  <c r="AG38" i="1"/>
  <c r="AG34" i="1"/>
  <c r="AG33" i="1"/>
  <c r="AG32" i="1"/>
  <c r="AG13" i="1"/>
  <c r="AG43" i="1"/>
  <c r="AG24" i="1"/>
  <c r="J1" i="1"/>
  <c r="J10" i="1"/>
  <c r="N9" i="1"/>
  <c r="J4" i="1"/>
  <c r="E8" i="1"/>
  <c r="J7" i="1"/>
  <c r="N7" i="1"/>
  <c r="J2" i="1"/>
  <c r="J3" i="1"/>
  <c r="E4" i="1"/>
  <c r="L26" i="1"/>
  <c r="L25" i="1"/>
  <c r="L24" i="1"/>
  <c r="L23" i="1"/>
  <c r="L47" i="1" a="1"/>
  <c r="L47" i="1"/>
  <c r="L27" i="1"/>
  <c r="S9" i="2" a="1"/>
  <c r="S9" i="2"/>
  <c r="S27" i="2" a="1"/>
  <c r="S27" i="2"/>
  <c r="S26" i="2" a="1"/>
  <c r="S26" i="2"/>
  <c r="S25" i="2" a="1"/>
  <c r="S25" i="2"/>
  <c r="S18" i="2" a="1"/>
  <c r="S18" i="2"/>
  <c r="S17" i="2" a="1"/>
  <c r="S17" i="2"/>
  <c r="S13" i="2" a="1"/>
  <c r="S13" i="2"/>
  <c r="S10" i="2" a="1"/>
  <c r="S10" i="2"/>
  <c r="N68" i="89" a="1"/>
  <c r="N68" i="89"/>
  <c r="L57" i="1"/>
  <c r="L56" i="1"/>
  <c r="L55" i="1"/>
  <c r="L54" i="1"/>
  <c r="L53" i="1"/>
  <c r="L52" i="1"/>
  <c r="L51" i="1"/>
  <c r="L50" i="1"/>
  <c r="L49" i="1"/>
  <c r="L48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2" i="1"/>
  <c r="L21" i="1"/>
  <c r="L20" i="1"/>
  <c r="L19" i="1"/>
  <c r="L18" i="1"/>
  <c r="L17" i="1"/>
  <c r="L16" i="1"/>
  <c r="L15" i="1"/>
  <c r="L14" i="1"/>
  <c r="L13" i="1"/>
  <c r="L12" i="1"/>
  <c r="E6" i="1"/>
  <c r="G37" i="446" a="1"/>
  <c r="G37" i="446"/>
  <c r="G27" i="446" a="1"/>
  <c r="G27" i="446"/>
  <c r="F37" i="446" a="1"/>
  <c r="F37" i="446"/>
  <c r="F27" i="446" a="1"/>
  <c r="F27" i="446"/>
  <c r="E7" i="1"/>
  <c r="D27" i="446" a="1"/>
  <c r="D27" i="446"/>
  <c r="D30" i="446" a="1"/>
  <c r="D30" i="446"/>
  <c r="D37" i="446" a="1"/>
  <c r="D37" i="446"/>
  <c r="G30" i="446" a="1"/>
  <c r="G30" i="446"/>
  <c r="J8" i="1"/>
  <c r="F30" i="446" a="1"/>
  <c r="F30" i="446"/>
  <c r="Z14" i="2"/>
  <c r="AV14" i="2" s="1" a="1"/>
  <c r="AG14" i="1"/>
  <c r="AG27" i="1"/>
  <c r="AG40" i="1"/>
  <c r="AG39" i="1"/>
  <c r="J9" i="1"/>
  <c r="J6" i="1"/>
  <c r="J5" i="1"/>
  <c r="E1" i="1"/>
  <c r="AJ12" i="338" a="1"/>
  <c r="AV14" i="2" l="1"/>
  <c r="AJ12" i="338"/>
  <c r="K30" i="1"/>
  <c r="AC31" i="1"/>
  <c r="AC30" i="1"/>
  <c r="AI31" i="1"/>
  <c r="AI30" i="1"/>
  <c r="AH12" i="338" a="1"/>
  <c r="AH12" i="338"/>
  <c r="AB31" i="1"/>
  <c r="AB30" i="1"/>
  <c r="AF12" i="338"/>
  <c r="AF31" i="1"/>
  <c r="AF30" i="1"/>
  <c r="E14" i="2" a="1"/>
  <c r="E14" i="2"/>
  <c r="F14" i="2" a="1"/>
  <c r="F14" i="2"/>
  <c r="AR14" i="2" a="1"/>
  <c r="AR14" i="2"/>
  <c r="C14" i="2" a="1"/>
  <c r="C14" i="2"/>
  <c r="D14" i="2" a="1"/>
  <c r="D14" i="2"/>
  <c r="AA14" i="2" a="1"/>
  <c r="AA14" i="2"/>
  <c r="T14" i="2" a="1"/>
  <c r="T14" i="2"/>
  <c r="AD14" i="2" a="1"/>
  <c r="AD14" i="2"/>
  <c r="AI8" i="338" a="1"/>
  <c r="AI8" i="338"/>
  <c r="AK8" i="338" a="1"/>
  <c r="AK8" i="338"/>
  <c r="N2" i="1"/>
  <c r="AG8" i="338"/>
  <c r="G9" i="446" a="1"/>
  <c r="G9" i="446"/>
  <c r="F9" i="446" a="1"/>
  <c r="F9" i="446"/>
  <c r="AI17" i="1"/>
  <c r="AI16" i="1"/>
  <c r="AB17" i="1"/>
  <c r="AB16" i="1"/>
  <c r="AC17" i="1"/>
  <c r="AC16" i="1"/>
  <c r="AG17" i="1"/>
  <c r="AG16" i="1"/>
  <c r="AF17" i="1"/>
  <c r="AF16" i="1"/>
  <c r="K16" i="1"/>
  <c r="AC38" i="1"/>
  <c r="AB38" i="1"/>
  <c r="AI38" i="1"/>
  <c r="AF38" i="1"/>
  <c r="E10" i="1"/>
  <c r="AF10" i="1"/>
  <c r="E87" i="89" a="1"/>
  <c r="E87" i="89"/>
  <c r="E86" i="89" a="1"/>
  <c r="E86" i="89"/>
  <c r="E62" i="89" a="1"/>
  <c r="E62" i="89"/>
  <c r="E44" i="89" a="1"/>
  <c r="E44" i="89"/>
  <c r="E43" i="89" a="1"/>
  <c r="E43" i="89"/>
  <c r="C62" i="89" a="1"/>
  <c r="C62" i="89"/>
  <c r="V87" i="89" a="1"/>
  <c r="V87" i="89"/>
  <c r="V86" i="89" a="1"/>
  <c r="V86" i="89"/>
  <c r="V44" i="89" a="1"/>
  <c r="V44" i="89"/>
  <c r="V43" i="89" a="1"/>
  <c r="V43" i="89"/>
  <c r="D62" i="89" a="1"/>
  <c r="D62" i="89"/>
  <c r="D44" i="89" a="1"/>
  <c r="D44" i="89"/>
  <c r="D43" i="89" a="1"/>
  <c r="D43" i="89"/>
  <c r="T62" i="89" a="1"/>
  <c r="T62" i="89"/>
  <c r="T87" i="89" a="1"/>
  <c r="T87" i="89"/>
  <c r="T86" i="89" a="1"/>
  <c r="T86" i="89"/>
  <c r="T44" i="89" a="1"/>
  <c r="T44" i="89"/>
  <c r="T43" i="89" a="1"/>
  <c r="T43" i="89"/>
  <c r="O87" i="89" a="1"/>
  <c r="O87" i="89"/>
  <c r="O86" i="89" a="1"/>
  <c r="O86" i="89"/>
  <c r="O44" i="89" a="1"/>
  <c r="O44" i="89"/>
  <c r="O43" i="89" a="1"/>
  <c r="O43" i="89"/>
  <c r="J1" i="24" a="1"/>
  <c r="J1" i="24"/>
  <c r="K2" i="2" a="1"/>
  <c r="K2" i="2"/>
  <c r="Z87" i="89" a="1"/>
  <c r="Z87" i="89"/>
  <c r="Z86" i="89" a="1"/>
  <c r="Z86" i="89"/>
  <c r="Z44" i="89" a="1"/>
  <c r="Z44" i="89"/>
  <c r="Z43" i="89" a="1"/>
  <c r="Z43" i="89"/>
  <c r="AA87" i="89" a="1"/>
  <c r="AA87" i="89"/>
  <c r="AA86" i="89" a="1"/>
  <c r="AA86" i="89"/>
  <c r="AA44" i="89" a="1"/>
  <c r="AA44" i="89"/>
  <c r="AA43" i="89" a="1"/>
  <c r="AA43" i="89"/>
  <c r="Z62" i="89" a="1"/>
  <c r="Z62" i="89"/>
  <c r="AA62" i="89" a="1"/>
  <c r="AA62" i="89"/>
  <c r="AD2" i="1" a="1"/>
  <c r="AD2" i="1"/>
  <c r="AC2" i="1" a="1"/>
  <c r="AC2" i="1"/>
  <c r="AB2" i="1" a="1"/>
  <c r="AB2" i="1"/>
  <c r="V62" i="89" a="1"/>
  <c r="V62" i="89"/>
  <c r="C87" i="89" a="1"/>
  <c r="C87" i="89"/>
  <c r="C86" i="89" a="1"/>
  <c r="C86" i="89"/>
  <c r="C44" i="89" a="1"/>
  <c r="C44" i="89"/>
  <c r="C43" i="89" a="1"/>
  <c r="C43" i="89"/>
  <c r="J43" i="24"/>
  <c r="J46" i="24"/>
  <c r="I42" i="1" a="1"/>
  <c r="I31" i="1" a="1"/>
  <c r="I29" i="1" a="1"/>
  <c r="I31" i="1" l="1"/>
  <c r="I42" i="1"/>
  <c r="J42" i="1"/>
  <c r="W42" i="1"/>
  <c r="N42" i="1"/>
  <c r="I29" i="1"/>
  <c r="T42" i="1" l="1"/>
  <c r="O42" i="1"/>
  <c r="P42" i="1"/>
  <c r="N29" i="1"/>
  <c r="J29" i="1"/>
  <c r="I34" i="1" a="1"/>
  <c r="AD42" i="1" l="1"/>
  <c r="V42" i="1"/>
  <c r="AH42" i="1"/>
  <c r="U42" i="1"/>
  <c r="T29" i="1"/>
  <c r="N31" i="1"/>
  <c r="J31" i="1"/>
  <c r="I34" i="1"/>
  <c r="AA42" i="1" l="1"/>
  <c r="Y42" i="1"/>
  <c r="Z42" i="1"/>
  <c r="T31" i="1"/>
  <c r="N34" i="1"/>
  <c r="J34" i="1"/>
  <c r="T34" i="1" l="1"/>
  <c r="AD7" i="1" l="1"/>
  <c r="I57" i="1" a="1"/>
  <c r="I36" i="1" a="1"/>
  <c r="I13" i="1" a="1"/>
  <c r="C10" i="1" a="1"/>
  <c r="I51" i="1" a="1"/>
  <c r="I25" i="1" a="1"/>
  <c r="I24" i="1" a="1"/>
  <c r="C8" i="1" a="1"/>
  <c r="I45" i="1" a="1"/>
  <c r="I18" i="1" a="1"/>
  <c r="I17" i="1" a="1"/>
  <c r="I15" i="1" a="1"/>
  <c r="I56" i="1" a="1"/>
  <c r="I35" i="1" a="1"/>
  <c r="I12" i="1" a="1"/>
  <c r="I32" i="1" a="1"/>
  <c r="I53" i="1" a="1"/>
  <c r="I52" i="1" a="1"/>
  <c r="L9" i="1" a="1"/>
  <c r="I27" i="1" a="1"/>
  <c r="I50" i="1" a="1"/>
  <c r="I49" i="1" a="1"/>
  <c r="L8" i="1" a="1"/>
  <c r="H8" i="1" a="1"/>
  <c r="I23" i="1" a="1"/>
  <c r="I21" i="1" a="1"/>
  <c r="I19" i="1" a="1"/>
  <c r="I16" i="1" a="1"/>
  <c r="I55" i="1" a="1"/>
  <c r="I33" i="1" a="1"/>
  <c r="L10" i="1" a="1"/>
  <c r="I54" i="1" a="1"/>
  <c r="H10" i="1" a="1"/>
  <c r="I30" i="1" a="1"/>
  <c r="I28" i="1" a="1"/>
  <c r="H9" i="1" a="1"/>
  <c r="I26" i="1" a="1"/>
  <c r="I48" i="1" a="1"/>
  <c r="I47" i="1" a="1"/>
  <c r="I22" i="1" a="1"/>
  <c r="I44" i="1" a="1"/>
  <c r="I20" i="1" a="1"/>
  <c r="I43" i="1" a="1"/>
  <c r="I41" i="1" a="1"/>
  <c r="I39" i="1" a="1"/>
  <c r="I38" i="1" a="1"/>
  <c r="I37" i="1" a="1"/>
  <c r="I14" i="1" a="1"/>
  <c r="C9" i="1" a="1"/>
  <c r="I40" i="1" a="1"/>
  <c r="I46" i="1" a="1"/>
  <c r="I57" i="1" l="1"/>
  <c r="C8" i="1"/>
  <c r="D8" i="1" s="1"/>
  <c r="H8" i="1"/>
  <c r="I8" i="1" s="1"/>
  <c r="L8" i="1"/>
  <c r="M8" i="1" s="1"/>
  <c r="C9" i="1"/>
  <c r="D9" i="1" s="1"/>
  <c r="H9" i="1"/>
  <c r="I9" i="1" s="1"/>
  <c r="L9" i="1"/>
  <c r="M9" i="1" s="1"/>
  <c r="C10" i="1"/>
  <c r="D10" i="1" s="1"/>
  <c r="H10" i="1"/>
  <c r="I10" i="1" s="1"/>
  <c r="L10" i="1"/>
  <c r="M10" i="1" s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30" i="1"/>
  <c r="I32" i="1"/>
  <c r="I33" i="1"/>
  <c r="I35" i="1"/>
  <c r="I36" i="1"/>
  <c r="I37" i="1"/>
  <c r="I38" i="1"/>
  <c r="I39" i="1"/>
  <c r="I40" i="1"/>
  <c r="I41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P29" i="1"/>
  <c r="AH29" i="1"/>
  <c r="P31" i="1"/>
  <c r="AH31" i="1"/>
  <c r="P34" i="1"/>
  <c r="AD34" i="1" s="1"/>
  <c r="AH34" i="1"/>
  <c r="AD8" i="1"/>
  <c r="L7" i="1" a="1"/>
  <c r="N57" i="1" l="1"/>
  <c r="P57" i="1" s="1"/>
  <c r="J57" i="1"/>
  <c r="N32" i="1"/>
  <c r="P32" i="1" s="1"/>
  <c r="AD32" i="1" s="1"/>
  <c r="J32" i="1"/>
  <c r="N52" i="1"/>
  <c r="J52" i="1"/>
  <c r="N51" i="1"/>
  <c r="J51" i="1"/>
  <c r="N20" i="1"/>
  <c r="P20" i="1" s="1"/>
  <c r="AD20" i="1" s="1"/>
  <c r="J20" i="1"/>
  <c r="N33" i="1"/>
  <c r="P33" i="1" s="1"/>
  <c r="AD33" i="1" s="1"/>
  <c r="J33" i="1"/>
  <c r="N27" i="1"/>
  <c r="J27" i="1"/>
  <c r="N45" i="1"/>
  <c r="K45" i="1"/>
  <c r="J45" i="1" s="1"/>
  <c r="N43" i="1"/>
  <c r="J43" i="1"/>
  <c r="N40" i="1"/>
  <c r="K40" i="1"/>
  <c r="J40" i="1" s="1"/>
  <c r="N17" i="1"/>
  <c r="J17" i="1"/>
  <c r="N30" i="1"/>
  <c r="P30" i="1" s="1"/>
  <c r="AD30" i="1" s="1"/>
  <c r="J30" i="1"/>
  <c r="N46" i="1"/>
  <c r="J46" i="1"/>
  <c r="N21" i="1"/>
  <c r="P21" i="1" s="1"/>
  <c r="AD21" i="1" s="1"/>
  <c r="J21" i="1"/>
  <c r="N19" i="1"/>
  <c r="P19" i="1" s="1"/>
  <c r="AD19" i="1" s="1"/>
  <c r="J19" i="1"/>
  <c r="N41" i="1"/>
  <c r="P41" i="1" s="1"/>
  <c r="AD41" i="1" s="1"/>
  <c r="J41" i="1"/>
  <c r="N39" i="1"/>
  <c r="J39" i="1"/>
  <c r="N16" i="1"/>
  <c r="J16" i="1"/>
  <c r="N55" i="1"/>
  <c r="J55" i="1"/>
  <c r="N53" i="1"/>
  <c r="J53" i="1"/>
  <c r="N18" i="1"/>
  <c r="J18" i="1"/>
  <c r="N38" i="1"/>
  <c r="J38" i="1"/>
  <c r="N15" i="1"/>
  <c r="P15" i="1" s="1"/>
  <c r="AD15" i="1" s="1"/>
  <c r="J15" i="1"/>
  <c r="N22" i="1"/>
  <c r="J22" i="1"/>
  <c r="N37" i="1"/>
  <c r="K37" i="1"/>
  <c r="J37" i="1" s="1"/>
  <c r="N14" i="1"/>
  <c r="P14" i="1" s="1"/>
  <c r="AD14" i="1" s="1"/>
  <c r="J14" i="1"/>
  <c r="N54" i="1"/>
  <c r="J54" i="1"/>
  <c r="N44" i="1"/>
  <c r="J44" i="1"/>
  <c r="N36" i="1"/>
  <c r="P36" i="1" s="1"/>
  <c r="AD36" i="1" s="1"/>
  <c r="J36" i="1"/>
  <c r="N13" i="1"/>
  <c r="J13" i="1"/>
  <c r="N56" i="1"/>
  <c r="J56" i="1"/>
  <c r="N35" i="1"/>
  <c r="P35" i="1" s="1"/>
  <c r="AD35" i="1" s="1"/>
  <c r="J35" i="1"/>
  <c r="N12" i="1"/>
  <c r="J12" i="1"/>
  <c r="N24" i="1"/>
  <c r="J24" i="1"/>
  <c r="N28" i="1"/>
  <c r="P28" i="1" s="1"/>
  <c r="AD28" i="1" s="1"/>
  <c r="J28" i="1"/>
  <c r="N50" i="1"/>
  <c r="J50" i="1"/>
  <c r="N26" i="1"/>
  <c r="J26" i="1"/>
  <c r="N49" i="1"/>
  <c r="J49" i="1"/>
  <c r="N25" i="1"/>
  <c r="J25" i="1"/>
  <c r="N48" i="1"/>
  <c r="J48" i="1"/>
  <c r="N47" i="1"/>
  <c r="J47" i="1"/>
  <c r="N23" i="1"/>
  <c r="J23" i="1"/>
  <c r="AD31" i="1"/>
  <c r="V31" i="1"/>
  <c r="AD29" i="1"/>
  <c r="V29" i="1"/>
  <c r="L7" i="1"/>
  <c r="M7" i="1" s="1"/>
  <c r="AD57" i="1"/>
  <c r="H7" i="1" a="1"/>
  <c r="P18" i="1" l="1"/>
  <c r="P43" i="1"/>
  <c r="T17" i="1"/>
  <c r="P17" i="1"/>
  <c r="P26" i="1"/>
  <c r="P54" i="1"/>
  <c r="P39" i="1"/>
  <c r="P27" i="1"/>
  <c r="P40" i="1"/>
  <c r="T16" i="1"/>
  <c r="P16" i="1"/>
  <c r="P56" i="1"/>
  <c r="P49" i="1"/>
  <c r="P53" i="1"/>
  <c r="P51" i="1"/>
  <c r="P47" i="1"/>
  <c r="P13" i="1"/>
  <c r="P48" i="1"/>
  <c r="P25" i="1"/>
  <c r="P46" i="1"/>
  <c r="P52" i="1"/>
  <c r="P45" i="1"/>
  <c r="P50" i="1"/>
  <c r="P24" i="1"/>
  <c r="P12" i="1"/>
  <c r="P55" i="1"/>
  <c r="P44" i="1"/>
  <c r="T37" i="1"/>
  <c r="AH37" i="1" s="1"/>
  <c r="P37" i="1"/>
  <c r="P22" i="1"/>
  <c r="P23" i="1"/>
  <c r="P38" i="1"/>
  <c r="H7" i="1"/>
  <c r="I7" i="1" s="1"/>
  <c r="C7" i="1" a="1"/>
  <c r="AD56" i="1" l="1"/>
  <c r="AD46" i="1"/>
  <c r="AD23" i="1"/>
  <c r="AD52" i="1"/>
  <c r="AD25" i="1"/>
  <c r="AD44" i="1"/>
  <c r="AD22" i="1"/>
  <c r="AD17" i="1"/>
  <c r="V17" i="1"/>
  <c r="AD48" i="1"/>
  <c r="F17" i="1"/>
  <c r="AH17" i="1"/>
  <c r="AD39" i="1"/>
  <c r="AD53" i="1"/>
  <c r="AD16" i="1"/>
  <c r="V16" i="1"/>
  <c r="AD47" i="1"/>
  <c r="AD38" i="1"/>
  <c r="F16" i="1"/>
  <c r="AH16" i="1"/>
  <c r="AD27" i="1"/>
  <c r="AD13" i="1"/>
  <c r="AD26" i="1"/>
  <c r="P10" i="1"/>
  <c r="P7" i="1"/>
  <c r="AD12" i="1"/>
  <c r="AD24" i="1"/>
  <c r="AD50" i="1"/>
  <c r="AD49" i="1"/>
  <c r="AD18" i="1"/>
  <c r="AD45" i="1"/>
  <c r="AD40" i="1"/>
  <c r="AD37" i="1"/>
  <c r="V37" i="1"/>
  <c r="AD54" i="1"/>
  <c r="AD55" i="1"/>
  <c r="AD51" i="1"/>
  <c r="AD43" i="1"/>
  <c r="C7" i="1"/>
  <c r="D7" i="1" s="1"/>
  <c r="AE6" i="1"/>
  <c r="L6" i="1" a="1"/>
  <c r="AD10" i="1" l="1"/>
  <c r="L6" i="1"/>
  <c r="M6" i="1" s="1"/>
  <c r="H6" i="1" a="1"/>
  <c r="H6" i="1" l="1"/>
  <c r="I6" i="1" s="1"/>
  <c r="C6" i="1" a="1"/>
  <c r="C6" i="1" l="1"/>
  <c r="D6" i="1" s="1"/>
  <c r="AE5" i="1"/>
  <c r="AE7" i="1" s="1"/>
  <c r="O29" i="1" l="1"/>
  <c r="O31" i="1"/>
  <c r="U29" i="1"/>
  <c r="U31" i="1"/>
  <c r="O34" i="1"/>
  <c r="U34" i="1"/>
  <c r="O57" i="1"/>
  <c r="O56" i="1"/>
  <c r="O55" i="1"/>
  <c r="O54" i="1"/>
  <c r="O53" i="1"/>
  <c r="O52" i="1"/>
  <c r="O51" i="1"/>
  <c r="O50" i="1"/>
  <c r="O49" i="1"/>
  <c r="O48" i="1"/>
  <c r="O47" i="1"/>
  <c r="O46" i="1"/>
  <c r="O45" i="1"/>
  <c r="O44" i="1"/>
  <c r="O43" i="1"/>
  <c r="O41" i="1"/>
  <c r="O40" i="1"/>
  <c r="O39" i="1"/>
  <c r="O38" i="1"/>
  <c r="O37" i="1"/>
  <c r="U37" i="1"/>
  <c r="O36" i="1"/>
  <c r="O35" i="1"/>
  <c r="O33" i="1"/>
  <c r="O32" i="1"/>
  <c r="O30" i="1"/>
  <c r="O28" i="1"/>
  <c r="O27" i="1"/>
  <c r="O26" i="1"/>
  <c r="O25" i="1"/>
  <c r="O24" i="1"/>
  <c r="O23" i="1"/>
  <c r="O22" i="1"/>
  <c r="O21" i="1"/>
  <c r="O20" i="1"/>
  <c r="O19" i="1"/>
  <c r="O18" i="1"/>
  <c r="O17" i="1"/>
  <c r="U17" i="1"/>
  <c r="O16" i="1"/>
  <c r="U16" i="1"/>
  <c r="O15" i="1"/>
  <c r="O14" i="1"/>
  <c r="O13" i="1"/>
  <c r="W10" i="1"/>
  <c r="O12" i="1"/>
  <c r="L5" i="1" a="1"/>
  <c r="Y34" i="1" l="1"/>
  <c r="Z34" i="1"/>
  <c r="AA34" i="1"/>
  <c r="AA31" i="1"/>
  <c r="Z31" i="1"/>
  <c r="Y31" i="1"/>
  <c r="AA29" i="1"/>
  <c r="Y29" i="1"/>
  <c r="Z29" i="1"/>
  <c r="W29" i="1"/>
  <c r="W31" i="1"/>
  <c r="W34" i="1"/>
  <c r="L5" i="1"/>
  <c r="M5" i="1" s="1"/>
  <c r="Z16" i="1"/>
  <c r="Y16" i="1"/>
  <c r="Y17" i="1"/>
  <c r="Z17" i="1"/>
  <c r="O6" i="1"/>
  <c r="O5" i="1"/>
  <c r="W57" i="1"/>
  <c r="W56" i="1"/>
  <c r="W55" i="1"/>
  <c r="W54" i="1"/>
  <c r="W53" i="1"/>
  <c r="W52" i="1"/>
  <c r="W51" i="1"/>
  <c r="W50" i="1"/>
  <c r="W49" i="1"/>
  <c r="W48" i="1"/>
  <c r="W47" i="1"/>
  <c r="W46" i="1"/>
  <c r="W45" i="1"/>
  <c r="W44" i="1"/>
  <c r="W43" i="1"/>
  <c r="W41" i="1"/>
  <c r="W40" i="1"/>
  <c r="W39" i="1"/>
  <c r="W38" i="1"/>
  <c r="W37" i="1"/>
  <c r="W36" i="1"/>
  <c r="W35" i="1"/>
  <c r="W33" i="1"/>
  <c r="W32" i="1"/>
  <c r="W30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W15" i="1"/>
  <c r="W14" i="1"/>
  <c r="W13" i="1"/>
  <c r="W12" i="1"/>
  <c r="AA37" i="1"/>
  <c r="Z37" i="1"/>
  <c r="Y37" i="1"/>
  <c r="H5" i="1" a="1"/>
  <c r="H5" i="1" l="1"/>
  <c r="I5" i="1" s="1"/>
  <c r="O8" i="1"/>
  <c r="O7" i="1"/>
  <c r="C5" i="1" a="1"/>
  <c r="C5" i="1" l="1"/>
  <c r="D5" i="1" s="1"/>
  <c r="L4" i="1" a="1"/>
  <c r="L4" i="1" l="1"/>
  <c r="M4" i="1" s="1"/>
  <c r="H4" i="1" a="1"/>
  <c r="H4" i="1" l="1"/>
  <c r="I4" i="1" s="1"/>
  <c r="C4" i="1" a="1"/>
  <c r="C4" i="1" l="1"/>
  <c r="D4" i="1" s="1"/>
  <c r="AC3" i="1" a="1"/>
  <c r="AC3" i="1" l="1"/>
  <c r="AD3" i="1" s="1"/>
  <c r="Z1" i="1" l="1"/>
  <c r="L3" i="1" a="1"/>
  <c r="C2" i="1" a="1"/>
  <c r="L1" i="1" a="1"/>
  <c r="H3" i="1" a="1"/>
  <c r="L2" i="1" a="1"/>
  <c r="H2" i="1" a="1"/>
  <c r="AG1" i="1"/>
  <c r="C3" i="1" a="1"/>
  <c r="AI1" i="1"/>
  <c r="AH5" i="1" l="1"/>
  <c r="AH4" i="1"/>
  <c r="AH3" i="1"/>
  <c r="AJ5" i="1"/>
  <c r="AJ4" i="1"/>
  <c r="AJ3" i="1"/>
  <c r="C2" i="1"/>
  <c r="D2" i="1" s="1"/>
  <c r="H2" i="1"/>
  <c r="I2" i="1" s="1"/>
  <c r="L2" i="1"/>
  <c r="M2" i="1" s="1"/>
  <c r="C3" i="1"/>
  <c r="D3" i="1" s="1"/>
  <c r="H3" i="1"/>
  <c r="I3" i="1" s="1"/>
  <c r="L3" i="1"/>
  <c r="M3" i="1" s="1"/>
  <c r="L1" i="1"/>
  <c r="M1" i="1" s="1"/>
  <c r="H1" i="1" a="1"/>
  <c r="H1" i="1" l="1"/>
  <c r="I1" i="1" s="1"/>
  <c r="C1" i="1" a="1"/>
  <c r="C1" i="1" l="1"/>
  <c r="D1" i="1" s="1"/>
  <c r="L6" i="2"/>
  <c r="L7" i="2"/>
  <c r="P6" i="2" a="1"/>
  <c r="P6" i="2" l="1"/>
  <c r="P7" i="2" a="1"/>
  <c r="P7" i="2" l="1"/>
  <c r="H45" i="2" l="1"/>
  <c r="H44" i="2"/>
  <c r="H43" i="2"/>
  <c r="H42" i="2"/>
  <c r="J40" i="2"/>
  <c r="J39" i="2"/>
  <c r="J38" i="2"/>
  <c r="J37" i="2"/>
  <c r="J36" i="2"/>
  <c r="J45" i="2" s="1"/>
  <c r="I45" i="2" s="1"/>
  <c r="J35" i="2"/>
  <c r="J44" i="2" s="1"/>
  <c r="I44" i="2" s="1"/>
  <c r="J34" i="2"/>
  <c r="J43" i="2" s="1"/>
  <c r="I43" i="2" s="1"/>
  <c r="J33" i="2"/>
  <c r="J42" i="2" s="1"/>
  <c r="I42" i="2" s="1"/>
  <c r="BA28" i="2"/>
  <c r="AN28" i="2" a="1"/>
  <c r="AN28" i="2" l="1"/>
  <c r="AF28" i="2" a="1"/>
  <c r="Q57" i="1" l="1"/>
  <c r="S57" i="1"/>
  <c r="V57" i="1" s="1"/>
  <c r="S56" i="1"/>
  <c r="V56" i="1" s="1"/>
  <c r="Q56" i="1"/>
  <c r="Q55" i="1"/>
  <c r="S55" i="1"/>
  <c r="V55" i="1" s="1"/>
  <c r="S54" i="1"/>
  <c r="V54" i="1" s="1"/>
  <c r="Q54" i="1"/>
  <c r="S53" i="1"/>
  <c r="V53" i="1" s="1"/>
  <c r="Q53" i="1"/>
  <c r="S52" i="1"/>
  <c r="V52" i="1" s="1"/>
  <c r="Q52" i="1"/>
  <c r="S51" i="1"/>
  <c r="V51" i="1" s="1"/>
  <c r="Q51" i="1"/>
  <c r="S50" i="1"/>
  <c r="V50" i="1" s="1"/>
  <c r="Q50" i="1"/>
  <c r="S49" i="1"/>
  <c r="V49" i="1" s="1"/>
  <c r="V9" i="1" s="1"/>
  <c r="Q49" i="1"/>
  <c r="S48" i="1"/>
  <c r="V48" i="1" s="1"/>
  <c r="Q48" i="1"/>
  <c r="S47" i="1"/>
  <c r="V47" i="1" s="1"/>
  <c r="Q47" i="1"/>
  <c r="S46" i="1"/>
  <c r="V46" i="1" s="1"/>
  <c r="Q46" i="1"/>
  <c r="S45" i="1"/>
  <c r="V45" i="1" s="1"/>
  <c r="Q45" i="1"/>
  <c r="S44" i="1"/>
  <c r="V44" i="1" s="1"/>
  <c r="Q44" i="1"/>
  <c r="S43" i="1"/>
  <c r="V43" i="1" s="1"/>
  <c r="Q43" i="1"/>
  <c r="S40" i="1"/>
  <c r="V40" i="1" s="1"/>
  <c r="Q40" i="1"/>
  <c r="Q39" i="1"/>
  <c r="S39" i="1"/>
  <c r="V39" i="1" s="1"/>
  <c r="S38" i="1"/>
  <c r="V38" i="1" s="1"/>
  <c r="Q38" i="1"/>
  <c r="S27" i="1"/>
  <c r="V27" i="1" s="1"/>
  <c r="Q27" i="1"/>
  <c r="S26" i="1"/>
  <c r="V26" i="1" s="1"/>
  <c r="Q26" i="1"/>
  <c r="Q25" i="1"/>
  <c r="S25" i="1"/>
  <c r="V25" i="1" s="1"/>
  <c r="S24" i="1"/>
  <c r="V24" i="1" s="1"/>
  <c r="Q24" i="1"/>
  <c r="S23" i="1"/>
  <c r="V23" i="1" s="1"/>
  <c r="Q23" i="1"/>
  <c r="S22" i="1"/>
  <c r="V22" i="1" s="1"/>
  <c r="Q22" i="1"/>
  <c r="S18" i="1"/>
  <c r="V18" i="1" s="1"/>
  <c r="Q18" i="1"/>
  <c r="S13" i="1"/>
  <c r="V13" i="1" s="1"/>
  <c r="Q13" i="1"/>
  <c r="S12" i="1"/>
  <c r="V12" i="1" s="1"/>
  <c r="Q12" i="1"/>
  <c r="AF28" i="2"/>
  <c r="Q28" i="2" a="1"/>
  <c r="AQ28" i="2" a="1"/>
  <c r="AC10" i="2" a="1"/>
  <c r="Z11" i="2"/>
  <c r="AV11" i="2" s="1" a="1"/>
  <c r="AC26" i="2" a="1"/>
  <c r="AQ20" i="2" a="1"/>
  <c r="AC20" i="2" a="1"/>
  <c r="Z5" i="2"/>
  <c r="AV5" i="2" s="1" a="1"/>
  <c r="AC18" i="2" a="1"/>
  <c r="AQ18" i="2" a="1"/>
  <c r="AQ26" i="2" a="1"/>
  <c r="Z15" i="2"/>
  <c r="AC13" i="2" a="1"/>
  <c r="AQ13" i="2" a="1"/>
  <c r="AQ15" i="2" a="1"/>
  <c r="AC28" i="2" a="1"/>
  <c r="AC9" i="2" a="1"/>
  <c r="AC6" i="2" a="1"/>
  <c r="Z26" i="2"/>
  <c r="AQ10" i="2" a="1"/>
  <c r="AQ6" i="2" a="1"/>
  <c r="AQ9" i="2" a="1"/>
  <c r="AV5" i="2" l="1"/>
  <c r="AV11" i="2"/>
  <c r="T3" i="1"/>
  <c r="T2" i="1"/>
  <c r="AQ9" i="2"/>
  <c r="AC9" i="2"/>
  <c r="AQ15" i="2"/>
  <c r="AC20" i="2"/>
  <c r="AQ20" i="2"/>
  <c r="AQ6" i="2"/>
  <c r="AQ18" i="2"/>
  <c r="AC18" i="2"/>
  <c r="AC10" i="2"/>
  <c r="AQ10" i="2"/>
  <c r="AQ13" i="2"/>
  <c r="AC13" i="2"/>
  <c r="AQ26" i="2"/>
  <c r="AC26" i="2"/>
  <c r="AQ28" i="2"/>
  <c r="AC6" i="2"/>
  <c r="AC28" i="2"/>
  <c r="T40" i="1"/>
  <c r="R40" i="1"/>
  <c r="T18" i="1"/>
  <c r="R18" i="1"/>
  <c r="T43" i="1"/>
  <c r="R43" i="1"/>
  <c r="T53" i="1"/>
  <c r="R53" i="1"/>
  <c r="T54" i="1"/>
  <c r="R54" i="1"/>
  <c r="T23" i="1"/>
  <c r="R23" i="1"/>
  <c r="T45" i="1"/>
  <c r="R45" i="1"/>
  <c r="T56" i="1"/>
  <c r="R56" i="1"/>
  <c r="T47" i="1"/>
  <c r="R47" i="1"/>
  <c r="T25" i="1"/>
  <c r="R25" i="1"/>
  <c r="T57" i="1"/>
  <c r="R57" i="1"/>
  <c r="T26" i="1"/>
  <c r="R26" i="1"/>
  <c r="T48" i="1"/>
  <c r="R48" i="1"/>
  <c r="T46" i="1"/>
  <c r="R46" i="1"/>
  <c r="T22" i="1"/>
  <c r="R22" i="1"/>
  <c r="T49" i="1"/>
  <c r="R49" i="1"/>
  <c r="T44" i="1"/>
  <c r="R44" i="1"/>
  <c r="T38" i="1"/>
  <c r="R38" i="1"/>
  <c r="T50" i="1"/>
  <c r="R50" i="1"/>
  <c r="T27" i="1"/>
  <c r="R27" i="1"/>
  <c r="T12" i="1"/>
  <c r="R12" i="1"/>
  <c r="T51" i="1"/>
  <c r="R51" i="1"/>
  <c r="T55" i="1"/>
  <c r="R55" i="1"/>
  <c r="T39" i="1"/>
  <c r="R39" i="1"/>
  <c r="T52" i="1"/>
  <c r="R52" i="1"/>
  <c r="T24" i="1"/>
  <c r="R24" i="1"/>
  <c r="T13" i="1"/>
  <c r="R13" i="1"/>
  <c r="Q28" i="2"/>
  <c r="P28" i="2" a="1"/>
  <c r="AV15" i="2" a="1"/>
  <c r="AV26" i="2" a="1"/>
  <c r="AV15" i="2" l="1"/>
  <c r="AV26" i="2"/>
  <c r="AH53" i="1"/>
  <c r="U53" i="1"/>
  <c r="AH52" i="1"/>
  <c r="U52" i="1"/>
  <c r="AH46" i="1"/>
  <c r="U46" i="1"/>
  <c r="AH51" i="1"/>
  <c r="U51" i="1"/>
  <c r="AH43" i="1"/>
  <c r="U43" i="1"/>
  <c r="AH22" i="1"/>
  <c r="U22" i="1"/>
  <c r="AH27" i="1"/>
  <c r="U27" i="1"/>
  <c r="AH40" i="1"/>
  <c r="U40" i="1"/>
  <c r="AH25" i="1"/>
  <c r="U25" i="1"/>
  <c r="AH50" i="1"/>
  <c r="U50" i="1"/>
  <c r="AH47" i="1"/>
  <c r="U47" i="1"/>
  <c r="AH55" i="1"/>
  <c r="U55" i="1"/>
  <c r="AH48" i="1"/>
  <c r="U48" i="1"/>
  <c r="AH57" i="1"/>
  <c r="U57" i="1"/>
  <c r="AH39" i="1"/>
  <c r="U39" i="1"/>
  <c r="AH26" i="1"/>
  <c r="U26" i="1"/>
  <c r="F12" i="1"/>
  <c r="AH12" i="1"/>
  <c r="AH10" i="1" s="1"/>
  <c r="U12" i="1"/>
  <c r="AH18" i="1"/>
  <c r="U18" i="1"/>
  <c r="AH38" i="1"/>
  <c r="U38" i="1"/>
  <c r="AH56" i="1"/>
  <c r="U56" i="1"/>
  <c r="AH54" i="1"/>
  <c r="U54" i="1"/>
  <c r="F13" i="1"/>
  <c r="AH13" i="1"/>
  <c r="U13" i="1"/>
  <c r="AH45" i="1"/>
  <c r="U45" i="1"/>
  <c r="AH24" i="1"/>
  <c r="U24" i="1"/>
  <c r="AH44" i="1"/>
  <c r="U44" i="1"/>
  <c r="AH49" i="1"/>
  <c r="U49" i="1"/>
  <c r="AH23" i="1"/>
  <c r="U23" i="1"/>
  <c r="P28" i="2"/>
  <c r="R28" i="2" s="1"/>
  <c r="L28" i="2" a="1"/>
  <c r="AA53" i="1" l="1"/>
  <c r="Z53" i="1"/>
  <c r="Y53" i="1"/>
  <c r="Z50" i="1"/>
  <c r="Y50" i="1"/>
  <c r="AA50" i="1"/>
  <c r="Y55" i="1"/>
  <c r="Z55" i="1"/>
  <c r="AA55" i="1"/>
  <c r="AA52" i="1"/>
  <c r="Z52" i="1"/>
  <c r="Y52" i="1"/>
  <c r="AA56" i="1"/>
  <c r="Z56" i="1"/>
  <c r="Y56" i="1"/>
  <c r="Z38" i="1"/>
  <c r="Y38" i="1"/>
  <c r="AA38" i="1"/>
  <c r="Y25" i="1"/>
  <c r="AA25" i="1"/>
  <c r="Z25" i="1"/>
  <c r="Z18" i="1"/>
  <c r="Y18" i="1"/>
  <c r="AA18" i="1"/>
  <c r="U9" i="1"/>
  <c r="Z49" i="1"/>
  <c r="AA49" i="1"/>
  <c r="Y49" i="1"/>
  <c r="Y40" i="1"/>
  <c r="Z40" i="1"/>
  <c r="AA40" i="1"/>
  <c r="AA57" i="1"/>
  <c r="Z57" i="1"/>
  <c r="Y57" i="1"/>
  <c r="Z27" i="1"/>
  <c r="Y27" i="1"/>
  <c r="AA27" i="1"/>
  <c r="Y44" i="1"/>
  <c r="AA44" i="1"/>
  <c r="Z44" i="1"/>
  <c r="Z22" i="1"/>
  <c r="AA22" i="1"/>
  <c r="Y22" i="1"/>
  <c r="Y24" i="1"/>
  <c r="Z24" i="1"/>
  <c r="AA24" i="1"/>
  <c r="Z43" i="1"/>
  <c r="AA43" i="1"/>
  <c r="Y43" i="1"/>
  <c r="R3" i="1"/>
  <c r="S3" i="1" s="1"/>
  <c r="P3" i="1" s="1"/>
  <c r="Z54" i="1"/>
  <c r="AA54" i="1"/>
  <c r="Y54" i="1"/>
  <c r="AA47" i="1"/>
  <c r="Y47" i="1"/>
  <c r="Z47" i="1"/>
  <c r="AA23" i="1"/>
  <c r="Z23" i="1"/>
  <c r="Y23" i="1"/>
  <c r="R2" i="1"/>
  <c r="S2" i="1" s="1"/>
  <c r="P2" i="1" s="1"/>
  <c r="AA12" i="1"/>
  <c r="Y12" i="1"/>
  <c r="Z12" i="1"/>
  <c r="AA26" i="1"/>
  <c r="Y26" i="1"/>
  <c r="Z26" i="1"/>
  <c r="AA39" i="1"/>
  <c r="Z39" i="1"/>
  <c r="Y39" i="1"/>
  <c r="Y45" i="1"/>
  <c r="AA45" i="1"/>
  <c r="Z45" i="1"/>
  <c r="Y51" i="1"/>
  <c r="AA51" i="1"/>
  <c r="Z51" i="1"/>
  <c r="Z13" i="1"/>
  <c r="AA13" i="1"/>
  <c r="Y13" i="1"/>
  <c r="AA48" i="1"/>
  <c r="Y48" i="1"/>
  <c r="Z48" i="1"/>
  <c r="AA46" i="1"/>
  <c r="Z46" i="1"/>
  <c r="Y46" i="1"/>
  <c r="L28" i="2"/>
  <c r="J28" i="2"/>
  <c r="BB28" i="2" s="1"/>
  <c r="BC28" i="2" s="1"/>
  <c r="BD28" i="2" s="1"/>
  <c r="G28" i="2" a="1"/>
  <c r="G28" i="2" l="1"/>
  <c r="K28" i="2"/>
  <c r="O28" i="2"/>
  <c r="S28" i="2" a="1"/>
  <c r="S28" i="2" l="1"/>
  <c r="AO28" i="2"/>
  <c r="AI28" i="2" s="1"/>
  <c r="AP28" i="2"/>
  <c r="AK28" i="2" s="1"/>
  <c r="U28" i="2"/>
  <c r="V28" i="2" s="1"/>
  <c r="Z28" i="2"/>
  <c r="AE28" i="2" l="1"/>
  <c r="AT28" i="2"/>
  <c r="AS28" i="2"/>
  <c r="AL28" i="2"/>
  <c r="AG28" i="2" s="1"/>
  <c r="AB28" i="2"/>
  <c r="M28" i="2"/>
  <c r="BA27" i="2"/>
  <c r="AV28" i="2" a="1"/>
  <c r="AV28" i="2" l="1"/>
  <c r="AM28" i="2"/>
  <c r="AH28" i="2" s="1"/>
  <c r="X28" i="2"/>
  <c r="Y28" i="2" s="1"/>
  <c r="W28" i="2" s="1"/>
  <c r="AN27" i="2" a="1"/>
  <c r="AN27" i="2" l="1"/>
  <c r="AF27" i="2" a="1"/>
  <c r="AF27" i="2" l="1"/>
  <c r="Q27" i="2" a="1"/>
  <c r="Q27" i="2" l="1"/>
  <c r="P27" i="2" a="1"/>
  <c r="P27" i="2" l="1"/>
  <c r="R27" i="2" s="1"/>
  <c r="L27" i="2" a="1"/>
  <c r="L27" i="2" l="1"/>
  <c r="J27" i="2"/>
  <c r="BB27" i="2" s="1"/>
  <c r="BC27" i="2" s="1"/>
  <c r="BD27" i="2" s="1"/>
  <c r="K27" i="2" l="1"/>
  <c r="O27" i="2"/>
  <c r="AP27" i="2" l="1"/>
  <c r="AK27" i="2" s="1"/>
  <c r="S28" i="1" s="1"/>
  <c r="V28" i="1" s="1"/>
  <c r="AO27" i="2" l="1"/>
  <c r="AI27" i="2" s="1"/>
  <c r="U27" i="2"/>
  <c r="V27" i="2" s="1"/>
  <c r="AE27" i="2" l="1"/>
  <c r="AT27" i="2"/>
  <c r="AS27" i="2"/>
  <c r="AL27" i="2"/>
  <c r="Q28" i="1" s="1"/>
  <c r="AB27" i="2"/>
  <c r="M27" i="2"/>
  <c r="BA26" i="2"/>
  <c r="T28" i="1" l="1"/>
  <c r="R28" i="1"/>
  <c r="AG27" i="2"/>
  <c r="AM27" i="2"/>
  <c r="AH27" i="2" s="1"/>
  <c r="X27" i="2"/>
  <c r="Y27" i="2" s="1"/>
  <c r="W27" i="2" s="1"/>
  <c r="AN26" i="2" a="1"/>
  <c r="AH28" i="1" l="1"/>
  <c r="U28" i="1"/>
  <c r="AN26" i="2"/>
  <c r="AF26" i="2" a="1"/>
  <c r="Y28" i="1" l="1"/>
  <c r="AA28" i="1"/>
  <c r="Z28" i="1"/>
  <c r="AF26" i="2"/>
  <c r="Q26" i="2" a="1"/>
  <c r="Q26" i="2" l="1"/>
  <c r="P26" i="2" a="1"/>
  <c r="P26" i="2" l="1"/>
  <c r="R26" i="2" s="1"/>
  <c r="L26" i="2" a="1"/>
  <c r="L26" i="2" l="1"/>
  <c r="J26" i="2"/>
  <c r="BB26" i="2" s="1"/>
  <c r="BC26" i="2" s="1"/>
  <c r="BD26" i="2" s="1"/>
  <c r="K26" i="2" l="1"/>
  <c r="O26" i="2"/>
  <c r="AP26" i="2" l="1"/>
  <c r="AK26" i="2" s="1"/>
  <c r="AO26" i="2" l="1"/>
  <c r="AI26" i="2" s="1"/>
  <c r="U26" i="2"/>
  <c r="V26" i="2" s="1"/>
  <c r="AE26" i="2" l="1"/>
  <c r="AT26" i="2"/>
  <c r="AS26" i="2"/>
  <c r="AL26" i="2"/>
  <c r="AG26" i="2" s="1"/>
  <c r="AB26" i="2"/>
  <c r="M26" i="2"/>
  <c r="BA25" i="2"/>
  <c r="AM26" i="2" l="1"/>
  <c r="AH26" i="2" s="1"/>
  <c r="X26" i="2"/>
  <c r="Y26" i="2" s="1"/>
  <c r="W26" i="2" s="1"/>
  <c r="AN25" i="2" a="1"/>
  <c r="AN25" i="2" l="1"/>
  <c r="AF25" i="2" a="1"/>
  <c r="AF25" i="2" l="1"/>
  <c r="Q25" i="2" a="1"/>
  <c r="Q25" i="2" l="1"/>
  <c r="P25" i="2" a="1"/>
  <c r="P25" i="2" l="1"/>
  <c r="R25" i="2" s="1"/>
  <c r="L25" i="2" a="1"/>
  <c r="L25" i="2" l="1"/>
  <c r="J25" i="2"/>
  <c r="BB25" i="2" s="1"/>
  <c r="BC25" i="2" s="1"/>
  <c r="BD25" i="2" s="1"/>
  <c r="K25" i="2" l="1"/>
  <c r="O25" i="2"/>
  <c r="AO25" i="2" l="1"/>
  <c r="AI25" i="2" s="1"/>
  <c r="AP25" i="2"/>
  <c r="AK25" i="2" s="1"/>
  <c r="U25" i="2"/>
  <c r="V25" i="2" s="1"/>
  <c r="Z25" i="2"/>
  <c r="AV25" i="2" s="1" a="1"/>
  <c r="AV25" i="2" l="1"/>
  <c r="AE25" i="2"/>
  <c r="AT25" i="2"/>
  <c r="AS25" i="2"/>
  <c r="AL25" i="2"/>
  <c r="AG25" i="2" s="1"/>
  <c r="AB25" i="2"/>
  <c r="M25" i="2"/>
  <c r="BA24" i="2"/>
  <c r="AM25" i="2" l="1"/>
  <c r="AH25" i="2" s="1"/>
  <c r="X25" i="2"/>
  <c r="Y25" i="2" s="1"/>
  <c r="W25" i="2" s="1"/>
  <c r="AN24" i="2" a="1"/>
  <c r="AN24" i="2" l="1"/>
  <c r="AF24" i="2" a="1"/>
  <c r="AF24" i="2" l="1"/>
  <c r="Q24" i="2" a="1"/>
  <c r="Q24" i="2" l="1"/>
  <c r="P24" i="2" a="1"/>
  <c r="P24" i="2" l="1"/>
  <c r="R24" i="2" s="1"/>
  <c r="L24" i="2" a="1"/>
  <c r="L24" i="2" l="1"/>
  <c r="J24" i="2"/>
  <c r="BB24" i="2" s="1"/>
  <c r="BC24" i="2" s="1"/>
  <c r="BD24" i="2" s="1"/>
  <c r="G24" i="2" a="1"/>
  <c r="G24" i="2" l="1"/>
  <c r="K24" i="2"/>
  <c r="O24" i="2"/>
  <c r="S24" i="2" a="1"/>
  <c r="S24" i="2" l="1"/>
  <c r="AO24" i="2"/>
  <c r="AI24" i="2" s="1"/>
  <c r="AP24" i="2"/>
  <c r="AK24" i="2" s="1"/>
  <c r="U24" i="2"/>
  <c r="V24" i="2" s="1"/>
  <c r="Z24" i="2"/>
  <c r="AV24" i="2" s="1" a="1"/>
  <c r="AV24" i="2" l="1"/>
  <c r="AE24" i="2"/>
  <c r="AT24" i="2"/>
  <c r="AS24" i="2"/>
  <c r="AL24" i="2"/>
  <c r="AG24" i="2" s="1"/>
  <c r="AB24" i="2"/>
  <c r="M24" i="2"/>
  <c r="BA23" i="2"/>
  <c r="AM24" i="2" l="1"/>
  <c r="AH24" i="2" s="1"/>
  <c r="X24" i="2"/>
  <c r="Y24" i="2" s="1"/>
  <c r="W24" i="2" s="1"/>
  <c r="AN23" i="2" a="1"/>
  <c r="AN23" i="2" l="1"/>
  <c r="AF23" i="2" a="1"/>
  <c r="AF23" i="2" l="1"/>
  <c r="Q23" i="2" a="1"/>
  <c r="Q23" i="2" l="1"/>
  <c r="P23" i="2" a="1"/>
  <c r="P23" i="2" l="1"/>
  <c r="R23" i="2" s="1"/>
  <c r="L23" i="2" a="1"/>
  <c r="L23" i="2" l="1"/>
  <c r="J23" i="2"/>
  <c r="BB23" i="2" s="1"/>
  <c r="BC23" i="2" s="1"/>
  <c r="BD23" i="2" s="1"/>
  <c r="G23" i="2" a="1"/>
  <c r="G23" i="2" l="1"/>
  <c r="K23" i="2"/>
  <c r="S23" i="2" a="1"/>
  <c r="S23" i="2" l="1"/>
  <c r="AP23" i="2"/>
  <c r="AK23" i="2" s="1"/>
  <c r="S15" i="1" s="1"/>
  <c r="V15" i="1" s="1"/>
  <c r="V1" i="1" s="1"/>
  <c r="O23" i="2"/>
  <c r="AO23" i="2" l="1"/>
  <c r="AI23" i="2" s="1"/>
  <c r="U23" i="2"/>
  <c r="V23" i="2" s="1"/>
  <c r="Z23" i="2"/>
  <c r="AV23" i="2" s="1" a="1"/>
  <c r="AV23" i="2" l="1"/>
  <c r="AE23" i="2"/>
  <c r="AT23" i="2"/>
  <c r="AS23" i="2"/>
  <c r="AL23" i="2"/>
  <c r="Q15" i="1" s="1"/>
  <c r="AB23" i="2"/>
  <c r="M23" i="2"/>
  <c r="BA22" i="2"/>
  <c r="T15" i="1" l="1"/>
  <c r="R15" i="1"/>
  <c r="AG23" i="2"/>
  <c r="AM23" i="2"/>
  <c r="AH23" i="2" s="1"/>
  <c r="X23" i="2"/>
  <c r="Y23" i="2" s="1"/>
  <c r="W23" i="2" s="1"/>
  <c r="AN22" i="2" a="1"/>
  <c r="F15" i="1" l="1"/>
  <c r="AH15" i="1"/>
  <c r="U15" i="1"/>
  <c r="AN22" i="2"/>
  <c r="AF22" i="2" a="1"/>
  <c r="AA15" i="1" l="1"/>
  <c r="Z15" i="1"/>
  <c r="Y15" i="1"/>
  <c r="U1" i="1"/>
  <c r="AF22" i="2"/>
  <c r="Q22" i="2" a="1"/>
  <c r="Q22" i="2" l="1"/>
  <c r="P22" i="2" a="1"/>
  <c r="P22" i="2" l="1"/>
  <c r="R22" i="2" s="1"/>
  <c r="L22" i="2" a="1"/>
  <c r="L22" i="2" l="1"/>
  <c r="J22" i="2"/>
  <c r="BB22" i="2" s="1"/>
  <c r="BC22" i="2" s="1"/>
  <c r="BD22" i="2" s="1"/>
  <c r="G22" i="2" a="1"/>
  <c r="G22" i="2" l="1"/>
  <c r="K22" i="2"/>
  <c r="O22" i="2"/>
  <c r="S22" i="2" a="1"/>
  <c r="S22" i="2" l="1"/>
  <c r="AO22" i="2"/>
  <c r="AI22" i="2" s="1"/>
  <c r="AP22" i="2"/>
  <c r="AK22" i="2" s="1"/>
  <c r="U22" i="2"/>
  <c r="V22" i="2" s="1"/>
  <c r="AE22" i="2" l="1"/>
  <c r="AT22" i="2"/>
  <c r="AS22" i="2"/>
  <c r="AL22" i="2"/>
  <c r="AG22" i="2" s="1"/>
  <c r="AB22" i="2"/>
  <c r="M22" i="2"/>
  <c r="BA21" i="2"/>
  <c r="AM22" i="2" l="1"/>
  <c r="AH22" i="2" s="1"/>
  <c r="X22" i="2"/>
  <c r="Y22" i="2" s="1"/>
  <c r="W22" i="2" s="1"/>
  <c r="AN21" i="2" a="1"/>
  <c r="AN21" i="2" l="1"/>
  <c r="AF21" i="2" a="1"/>
  <c r="AF21" i="2" l="1"/>
  <c r="Q21" i="2" a="1"/>
  <c r="Q21" i="2" l="1"/>
  <c r="P21" i="2" a="1"/>
  <c r="P21" i="2" l="1"/>
  <c r="R21" i="2" s="1"/>
  <c r="L21" i="2" a="1"/>
  <c r="L21" i="2" l="1"/>
  <c r="J21" i="2"/>
  <c r="BB21" i="2" s="1"/>
  <c r="BC21" i="2" s="1"/>
  <c r="BD21" i="2" s="1"/>
  <c r="G21" i="2" a="1"/>
  <c r="G21" i="2" l="1"/>
  <c r="K21" i="2"/>
  <c r="O21" i="2"/>
  <c r="S21" i="2" a="1"/>
  <c r="S21" i="2" l="1"/>
  <c r="AO21" i="2"/>
  <c r="AI21" i="2" s="1"/>
  <c r="AP21" i="2"/>
  <c r="AK21" i="2" s="1"/>
  <c r="U21" i="2"/>
  <c r="V21" i="2" s="1"/>
  <c r="Z21" i="2"/>
  <c r="AV21" i="2" s="1" a="1"/>
  <c r="AV21" i="2" l="1"/>
  <c r="AE21" i="2"/>
  <c r="AT21" i="2"/>
  <c r="AS21" i="2"/>
  <c r="AL21" i="2"/>
  <c r="AG21" i="2" s="1"/>
  <c r="AB21" i="2"/>
  <c r="M21" i="2"/>
  <c r="BA20" i="2"/>
  <c r="AM21" i="2" l="1"/>
  <c r="AH21" i="2" s="1"/>
  <c r="X21" i="2"/>
  <c r="Y21" i="2" s="1"/>
  <c r="W21" i="2" s="1"/>
  <c r="AN20" i="2" a="1"/>
  <c r="AN20" i="2" l="1"/>
  <c r="AF20" i="2" a="1"/>
  <c r="AF20" i="2" l="1"/>
  <c r="Q20" i="2" a="1"/>
  <c r="Q20" i="2" l="1"/>
  <c r="P20" i="2" a="1"/>
  <c r="P20" i="2" l="1"/>
  <c r="R20" i="2" s="1"/>
  <c r="L20" i="2" a="1"/>
  <c r="L20" i="2" l="1"/>
  <c r="J20" i="2"/>
  <c r="BB20" i="2" s="1"/>
  <c r="BC20" i="2" s="1"/>
  <c r="BD20" i="2" s="1"/>
  <c r="G20" i="2" a="1"/>
  <c r="G20" i="2" l="1"/>
  <c r="K20" i="2"/>
  <c r="O20" i="2"/>
  <c r="S20" i="2" a="1"/>
  <c r="S20" i="2" l="1"/>
  <c r="AO20" i="2"/>
  <c r="AI20" i="2" s="1"/>
  <c r="U20" i="2"/>
  <c r="V20" i="2" s="1"/>
  <c r="AP20" i="2"/>
  <c r="AK20" i="2" s="1"/>
  <c r="S33" i="1" s="1"/>
  <c r="Z20" i="2"/>
  <c r="V33" i="1" l="1"/>
  <c r="AE20" i="2"/>
  <c r="AT20" i="2"/>
  <c r="AS20" i="2"/>
  <c r="AL20" i="2"/>
  <c r="Q33" i="1" s="1"/>
  <c r="AB20" i="2"/>
  <c r="M20" i="2"/>
  <c r="BA19" i="2"/>
  <c r="AV20" i="2" a="1"/>
  <c r="AV20" i="2" l="1"/>
  <c r="T33" i="1"/>
  <c r="R33" i="1"/>
  <c r="V34" i="1" s="1"/>
  <c r="AG20" i="2"/>
  <c r="AM20" i="2"/>
  <c r="AH20" i="2" s="1"/>
  <c r="X20" i="2"/>
  <c r="Y20" i="2" s="1"/>
  <c r="W20" i="2" s="1"/>
  <c r="AN19" i="2" a="1"/>
  <c r="AH33" i="1" l="1"/>
  <c r="U33" i="1"/>
  <c r="AN19" i="2"/>
  <c r="AF19" i="2" a="1"/>
  <c r="AA33" i="1" l="1"/>
  <c r="Z33" i="1"/>
  <c r="Y33" i="1"/>
  <c r="AF19" i="2"/>
  <c r="Q19" i="2" a="1"/>
  <c r="Q19" i="2" l="1"/>
  <c r="P19" i="2" a="1"/>
  <c r="P19" i="2" l="1"/>
  <c r="R19" i="2" s="1"/>
  <c r="L19" i="2" a="1"/>
  <c r="L19" i="2" l="1"/>
  <c r="J19" i="2"/>
  <c r="BB19" i="2" s="1"/>
  <c r="BC19" i="2" s="1"/>
  <c r="BD19" i="2" s="1"/>
  <c r="G19" i="2" a="1"/>
  <c r="G19" i="2" l="1"/>
  <c r="K19" i="2"/>
  <c r="O19" i="2"/>
  <c r="S19" i="2" a="1"/>
  <c r="S19" i="2" l="1"/>
  <c r="U19" i="2" s="1"/>
  <c r="V19" i="2" s="1"/>
  <c r="AO19" i="2"/>
  <c r="AI19" i="2" s="1"/>
  <c r="AP19" i="2"/>
  <c r="AK19" i="2" s="1"/>
  <c r="AE19" i="2" l="1"/>
  <c r="AT19" i="2"/>
  <c r="AS19" i="2"/>
  <c r="AL19" i="2"/>
  <c r="AG19" i="2" s="1"/>
  <c r="AB19" i="2"/>
  <c r="M19" i="2"/>
  <c r="BA18" i="2"/>
  <c r="AM19" i="2" l="1"/>
  <c r="AH19" i="2" s="1"/>
  <c r="X19" i="2"/>
  <c r="Y19" i="2" s="1"/>
  <c r="W19" i="2" s="1"/>
  <c r="AN18" i="2" a="1"/>
  <c r="AN18" i="2" l="1"/>
  <c r="AF18" i="2" a="1"/>
  <c r="AF18" i="2" l="1"/>
  <c r="Q18" i="2" a="1"/>
  <c r="Q18" i="2" l="1"/>
  <c r="P18" i="2" a="1"/>
  <c r="P18" i="2" l="1"/>
  <c r="R18" i="2" s="1"/>
  <c r="L18" i="2" a="1"/>
  <c r="L18" i="2" l="1"/>
  <c r="J18" i="2"/>
  <c r="BB18" i="2" s="1"/>
  <c r="BC18" i="2" s="1"/>
  <c r="BD18" i="2" s="1"/>
  <c r="K18" i="2" l="1"/>
  <c r="O18" i="2"/>
  <c r="AO18" i="2" l="1"/>
  <c r="AI18" i="2" s="1"/>
  <c r="AP18" i="2"/>
  <c r="AK18" i="2" s="1"/>
  <c r="S21" i="1" s="1"/>
  <c r="V21" i="1" s="1"/>
  <c r="U18" i="2"/>
  <c r="V18" i="2" s="1"/>
  <c r="Z18" i="2"/>
  <c r="AE18" i="2" l="1"/>
  <c r="AT18" i="2"/>
  <c r="AS18" i="2"/>
  <c r="AL18" i="2"/>
  <c r="Q21" i="1" s="1"/>
  <c r="AB18" i="2"/>
  <c r="M18" i="2"/>
  <c r="BA17" i="2"/>
  <c r="AV18" i="2" a="1"/>
  <c r="AV18" i="2" l="1"/>
  <c r="T21" i="1"/>
  <c r="R21" i="1"/>
  <c r="AG18" i="2"/>
  <c r="AM18" i="2"/>
  <c r="AH18" i="2" s="1"/>
  <c r="X18" i="2"/>
  <c r="Y18" i="2" s="1"/>
  <c r="W18" i="2" s="1"/>
  <c r="AN17" i="2" a="1"/>
  <c r="AH21" i="1" l="1"/>
  <c r="U21" i="1"/>
  <c r="AN17" i="2"/>
  <c r="AF17" i="2" a="1"/>
  <c r="AA21" i="1" l="1"/>
  <c r="Z21" i="1"/>
  <c r="Y21" i="1"/>
  <c r="AF17" i="2"/>
  <c r="Q17" i="2" a="1"/>
  <c r="Q17" i="2" l="1"/>
  <c r="P17" i="2" a="1"/>
  <c r="P17" i="2" l="1"/>
  <c r="R17" i="2" s="1"/>
  <c r="L17" i="2" a="1"/>
  <c r="L17" i="2" l="1"/>
  <c r="J17" i="2"/>
  <c r="BB17" i="2" s="1"/>
  <c r="BC17" i="2" s="1"/>
  <c r="BD17" i="2" s="1"/>
  <c r="K17" i="2" l="1"/>
  <c r="O17" i="2"/>
  <c r="AP17" i="2" l="1"/>
  <c r="AK17" i="2" s="1"/>
  <c r="AO17" i="2" l="1"/>
  <c r="AI17" i="2" s="1"/>
  <c r="U17" i="2"/>
  <c r="V17" i="2" s="1"/>
  <c r="AE17" i="2" l="1"/>
  <c r="AT17" i="2"/>
  <c r="AS17" i="2"/>
  <c r="AL17" i="2"/>
  <c r="AG17" i="2" s="1"/>
  <c r="AB17" i="2"/>
  <c r="M17" i="2"/>
  <c r="BA16" i="2"/>
  <c r="AM17" i="2" l="1"/>
  <c r="AH17" i="2" s="1"/>
  <c r="X17" i="2"/>
  <c r="Y17" i="2" s="1"/>
  <c r="W17" i="2" s="1"/>
  <c r="AN16" i="2" a="1"/>
  <c r="AN16" i="2" l="1"/>
  <c r="AF16" i="2" a="1"/>
  <c r="AF16" i="2" l="1"/>
  <c r="Q16" i="2" a="1"/>
  <c r="Q16" i="2" l="1"/>
  <c r="P16" i="2" a="1"/>
  <c r="P16" i="2" l="1"/>
  <c r="R16" i="2" s="1"/>
  <c r="L16" i="2" a="1"/>
  <c r="L16" i="2" l="1"/>
  <c r="J16" i="2"/>
  <c r="BB16" i="2" s="1"/>
  <c r="BC16" i="2" s="1"/>
  <c r="BD16" i="2" s="1"/>
  <c r="G16" i="2" a="1"/>
  <c r="G16" i="2" l="1"/>
  <c r="K16" i="2"/>
  <c r="O16" i="2"/>
  <c r="S16" i="2" a="1"/>
  <c r="S16" i="2" l="1"/>
  <c r="AO16" i="2"/>
  <c r="AI16" i="2" s="1"/>
  <c r="AP16" i="2"/>
  <c r="AK16" i="2" s="1"/>
  <c r="S35" i="1" s="1"/>
  <c r="V35" i="1" s="1"/>
  <c r="U16" i="2"/>
  <c r="V16" i="2" s="1"/>
  <c r="Z16" i="2"/>
  <c r="AV16" i="2" s="1" a="1"/>
  <c r="AV16" i="2" l="1"/>
  <c r="AE16" i="2"/>
  <c r="AT16" i="2"/>
  <c r="AS16" i="2"/>
  <c r="AL16" i="2"/>
  <c r="Q35" i="1" s="1"/>
  <c r="AB16" i="2"/>
  <c r="M16" i="2"/>
  <c r="BA15" i="2"/>
  <c r="T35" i="1" l="1"/>
  <c r="R35" i="1"/>
  <c r="AG16" i="2"/>
  <c r="AM16" i="2"/>
  <c r="AH16" i="2" s="1"/>
  <c r="X16" i="2"/>
  <c r="Y16" i="2" s="1"/>
  <c r="W16" i="2" s="1"/>
  <c r="AN15" i="2" a="1"/>
  <c r="AH35" i="1" l="1"/>
  <c r="U35" i="1"/>
  <c r="AN15" i="2"/>
  <c r="AF15" i="2" a="1"/>
  <c r="AA35" i="1" l="1"/>
  <c r="Y35" i="1"/>
  <c r="Z35" i="1"/>
  <c r="AF15" i="2"/>
  <c r="Q15" i="2" a="1"/>
  <c r="Q15" i="2" l="1"/>
  <c r="P15" i="2" a="1"/>
  <c r="P15" i="2" l="1"/>
  <c r="R15" i="2" s="1"/>
  <c r="L15" i="2" a="1"/>
  <c r="L15" i="2" l="1"/>
  <c r="J15" i="2"/>
  <c r="BB15" i="2" s="1"/>
  <c r="BC15" i="2" s="1"/>
  <c r="BD15" i="2" s="1"/>
  <c r="G15" i="2" a="1"/>
  <c r="G15" i="2" l="1"/>
  <c r="K15" i="2"/>
  <c r="O15" i="2"/>
  <c r="S15" i="2" a="1"/>
  <c r="S15" i="2" l="1"/>
  <c r="AP15" i="2" s="1"/>
  <c r="AK15" i="2" s="1"/>
  <c r="S19" i="1" s="1"/>
  <c r="AO15" i="2"/>
  <c r="AI15" i="2" s="1"/>
  <c r="V19" i="1" l="1"/>
  <c r="U15" i="2"/>
  <c r="V15" i="2" s="1"/>
  <c r="AE15" i="2"/>
  <c r="AT15" i="2"/>
  <c r="AS15" i="2"/>
  <c r="AL15" i="2"/>
  <c r="Q19" i="1" s="1"/>
  <c r="AB15" i="2"/>
  <c r="M15" i="2"/>
  <c r="BA14" i="2"/>
  <c r="T19" i="1" l="1"/>
  <c r="R19" i="1"/>
  <c r="AG15" i="2"/>
  <c r="AM15" i="2"/>
  <c r="AH15" i="2" s="1"/>
  <c r="X15" i="2"/>
  <c r="Y15" i="2" s="1"/>
  <c r="W15" i="2" s="1"/>
  <c r="AN14" i="2" a="1"/>
  <c r="AH19" i="1" l="1"/>
  <c r="U19" i="1"/>
  <c r="AN14" i="2"/>
  <c r="AF14" i="2" a="1"/>
  <c r="Z19" i="1" l="1"/>
  <c r="Y19" i="1"/>
  <c r="AA19" i="1"/>
  <c r="AF14" i="2"/>
  <c r="Q14" i="2" a="1"/>
  <c r="Q14" i="2" l="1"/>
  <c r="P14" i="2" a="1"/>
  <c r="P14" i="2" l="1"/>
  <c r="R14" i="2" s="1"/>
  <c r="L14" i="2" a="1"/>
  <c r="L14" i="2" l="1"/>
  <c r="J14" i="2"/>
  <c r="BB14" i="2" s="1"/>
  <c r="BC14" i="2" s="1"/>
  <c r="BD14" i="2" s="1"/>
  <c r="G14" i="2" a="1"/>
  <c r="G14" i="2" l="1"/>
  <c r="K14" i="2"/>
  <c r="O14" i="2"/>
  <c r="S14" i="2" a="1"/>
  <c r="S14" i="2" l="1"/>
  <c r="AO14" i="2"/>
  <c r="AI14" i="2" s="1"/>
  <c r="AP14" i="2"/>
  <c r="AK14" i="2" s="1"/>
  <c r="U14" i="2"/>
  <c r="V14" i="2" s="1"/>
  <c r="AE14" i="2" l="1"/>
  <c r="AT14" i="2"/>
  <c r="AS14" i="2"/>
  <c r="AL14" i="2"/>
  <c r="AG14" i="2" s="1"/>
  <c r="AB14" i="2"/>
  <c r="M14" i="2"/>
  <c r="BA13" i="2"/>
  <c r="AM14" i="2" l="1"/>
  <c r="AH14" i="2" s="1"/>
  <c r="X14" i="2"/>
  <c r="Y14" i="2" s="1"/>
  <c r="W14" i="2" s="1"/>
  <c r="AN13" i="2" a="1"/>
  <c r="AN13" i="2" l="1"/>
  <c r="AF13" i="2" a="1"/>
  <c r="AF13" i="2" l="1"/>
  <c r="Q13" i="2" a="1"/>
  <c r="Q13" i="2" l="1"/>
  <c r="P13" i="2" a="1"/>
  <c r="P13" i="2" l="1"/>
  <c r="R13" i="2" s="1"/>
  <c r="L13" i="2" a="1"/>
  <c r="L13" i="2" l="1"/>
  <c r="J13" i="2"/>
  <c r="BB13" i="2" s="1"/>
  <c r="BC13" i="2" s="1"/>
  <c r="BD13" i="2" s="1"/>
  <c r="K13" i="2" l="1"/>
  <c r="O13" i="2"/>
  <c r="AO13" i="2" l="1"/>
  <c r="AI13" i="2" s="1"/>
  <c r="U13" i="2"/>
  <c r="V13" i="2" s="1"/>
  <c r="AP13" i="2"/>
  <c r="AK13" i="2" s="1"/>
  <c r="S36" i="1" s="1"/>
  <c r="V36" i="1" s="1"/>
  <c r="Z13" i="2"/>
  <c r="AE13" i="2" l="1"/>
  <c r="AT13" i="2"/>
  <c r="AS13" i="2"/>
  <c r="AL13" i="2"/>
  <c r="Q36" i="1" s="1"/>
  <c r="AB13" i="2"/>
  <c r="M13" i="2"/>
  <c r="BA12" i="2"/>
  <c r="AV13" i="2" a="1"/>
  <c r="AV13" i="2" l="1"/>
  <c r="T36" i="1"/>
  <c r="R36" i="1"/>
  <c r="AG13" i="2"/>
  <c r="AM13" i="2"/>
  <c r="AH13" i="2" s="1"/>
  <c r="X13" i="2"/>
  <c r="Y13" i="2" s="1"/>
  <c r="W13" i="2" s="1"/>
  <c r="AN12" i="2" a="1"/>
  <c r="AH36" i="1" l="1"/>
  <c r="U36" i="1"/>
  <c r="AN12" i="2"/>
  <c r="AF12" i="2" a="1"/>
  <c r="AA36" i="1" l="1"/>
  <c r="Z36" i="1"/>
  <c r="Y36" i="1"/>
  <c r="AF12" i="2"/>
  <c r="Q12" i="2" a="1"/>
  <c r="Q12" i="2" l="1"/>
  <c r="P12" i="2" a="1"/>
  <c r="P12" i="2" l="1"/>
  <c r="R12" i="2" s="1"/>
  <c r="L12" i="2" a="1"/>
  <c r="L12" i="2" l="1"/>
  <c r="J12" i="2"/>
  <c r="BB12" i="2" s="1"/>
  <c r="BC12" i="2" s="1"/>
  <c r="BD12" i="2" s="1"/>
  <c r="G12" i="2" a="1"/>
  <c r="G12" i="2" l="1"/>
  <c r="K12" i="2"/>
  <c r="O12" i="2"/>
  <c r="S12" i="2" a="1"/>
  <c r="S12" i="2" l="1"/>
  <c r="AO12" i="2"/>
  <c r="AI12" i="2" s="1"/>
  <c r="AP12" i="2"/>
  <c r="AK12" i="2" s="1"/>
  <c r="S32" i="1" s="1"/>
  <c r="V32" i="1" s="1"/>
  <c r="U12" i="2"/>
  <c r="V12" i="2" s="1"/>
  <c r="AE12" i="2" l="1"/>
  <c r="AT12" i="2"/>
  <c r="AS12" i="2"/>
  <c r="AL12" i="2"/>
  <c r="Q32" i="1" s="1"/>
  <c r="AB12" i="2"/>
  <c r="M12" i="2"/>
  <c r="BA11" i="2"/>
  <c r="T32" i="1" l="1"/>
  <c r="R32" i="1"/>
  <c r="AG12" i="2"/>
  <c r="AM12" i="2"/>
  <c r="AH12" i="2" s="1"/>
  <c r="X12" i="2"/>
  <c r="Y12" i="2" s="1"/>
  <c r="W12" i="2" s="1"/>
  <c r="AN11" i="2" a="1"/>
  <c r="AH32" i="1" l="1"/>
  <c r="U32" i="1"/>
  <c r="AN11" i="2"/>
  <c r="AF11" i="2" a="1"/>
  <c r="AA32" i="1" l="1"/>
  <c r="Y32" i="1"/>
  <c r="Z32" i="1"/>
  <c r="AF11" i="2"/>
  <c r="Q11" i="2" a="1"/>
  <c r="Q11" i="2" l="1"/>
  <c r="P11" i="2" a="1"/>
  <c r="P11" i="2" l="1"/>
  <c r="R11" i="2" s="1"/>
  <c r="L11" i="2" a="1"/>
  <c r="L11" i="2" l="1"/>
  <c r="J11" i="2"/>
  <c r="BB11" i="2" s="1"/>
  <c r="BC11" i="2" s="1"/>
  <c r="BD11" i="2" s="1"/>
  <c r="G11" i="2" a="1"/>
  <c r="G11" i="2" l="1"/>
  <c r="K11" i="2"/>
  <c r="O11" i="2"/>
  <c r="S11" i="2" a="1"/>
  <c r="S11" i="2" l="1"/>
  <c r="AO11" i="2"/>
  <c r="AI11" i="2" s="1"/>
  <c r="U11" i="2"/>
  <c r="V11" i="2" s="1"/>
  <c r="AP11" i="2"/>
  <c r="AK11" i="2" s="1"/>
  <c r="AE11" i="2" l="1"/>
  <c r="AT11" i="2"/>
  <c r="AS11" i="2"/>
  <c r="AL11" i="2"/>
  <c r="AG11" i="2" s="1"/>
  <c r="AB11" i="2"/>
  <c r="M11" i="2"/>
  <c r="BA10" i="2"/>
  <c r="AM11" i="2" l="1"/>
  <c r="AH11" i="2" s="1"/>
  <c r="X11" i="2"/>
  <c r="Y11" i="2" s="1"/>
  <c r="W11" i="2" s="1"/>
  <c r="AN10" i="2" a="1"/>
  <c r="AN10" i="2" l="1"/>
  <c r="AF10" i="2" a="1"/>
  <c r="AF10" i="2" l="1"/>
  <c r="Q10" i="2" a="1"/>
  <c r="Q10" i="2" l="1"/>
  <c r="P10" i="2" a="1"/>
  <c r="P10" i="2" l="1"/>
  <c r="R10" i="2" s="1"/>
  <c r="L10" i="2" a="1"/>
  <c r="L10" i="2" l="1"/>
  <c r="J10" i="2"/>
  <c r="BB10" i="2" s="1"/>
  <c r="BC10" i="2" s="1"/>
  <c r="BD10" i="2" s="1"/>
  <c r="K10" i="2" l="1"/>
  <c r="O10" i="2"/>
  <c r="AP10" i="2" l="1"/>
  <c r="AK10" i="2" s="1"/>
  <c r="AO10" i="2" l="1"/>
  <c r="AI10" i="2" s="1"/>
  <c r="U10" i="2"/>
  <c r="V10" i="2" s="1"/>
  <c r="Z10" i="2"/>
  <c r="AE10" i="2" l="1"/>
  <c r="AT10" i="2"/>
  <c r="AS10" i="2"/>
  <c r="AL10" i="2"/>
  <c r="AG10" i="2" s="1"/>
  <c r="AB10" i="2"/>
  <c r="M10" i="2"/>
  <c r="BA9" i="2"/>
  <c r="AV10" i="2" a="1"/>
  <c r="AV10" i="2" l="1"/>
  <c r="AM10" i="2"/>
  <c r="AH10" i="2" s="1"/>
  <c r="X10" i="2"/>
  <c r="Y10" i="2" s="1"/>
  <c r="W10" i="2" s="1"/>
  <c r="AN9" i="2" a="1"/>
  <c r="AN9" i="2" l="1"/>
  <c r="AF9" i="2" a="1"/>
  <c r="AF9" i="2" l="1"/>
  <c r="Q9" i="2" a="1"/>
  <c r="Q9" i="2" l="1"/>
  <c r="P9" i="2" a="1"/>
  <c r="P9" i="2" l="1"/>
  <c r="R9" i="2" s="1"/>
  <c r="L9" i="2" a="1"/>
  <c r="L9" i="2" l="1"/>
  <c r="J9" i="2"/>
  <c r="BB9" i="2" s="1"/>
  <c r="BC9" i="2" s="1"/>
  <c r="BD9" i="2" s="1"/>
  <c r="K9" i="2" l="1"/>
  <c r="O9" i="2"/>
  <c r="AP9" i="2" l="1"/>
  <c r="AK9" i="2" s="1"/>
  <c r="S41" i="1" s="1"/>
  <c r="V41" i="1" s="1"/>
  <c r="AO9" i="2" l="1"/>
  <c r="AI9" i="2" s="1"/>
  <c r="U9" i="2"/>
  <c r="V9" i="2" s="1"/>
  <c r="Z9" i="2"/>
  <c r="AE9" i="2" l="1"/>
  <c r="AT9" i="2"/>
  <c r="AS9" i="2"/>
  <c r="AL9" i="2"/>
  <c r="Q41" i="1" s="1"/>
  <c r="AB9" i="2"/>
  <c r="M9" i="2"/>
  <c r="BA8" i="2"/>
  <c r="AV9" i="2" a="1"/>
  <c r="AV9" i="2" l="1"/>
  <c r="T41" i="1"/>
  <c r="R41" i="1"/>
  <c r="AG9" i="2"/>
  <c r="AM9" i="2"/>
  <c r="AH9" i="2" s="1"/>
  <c r="X9" i="2"/>
  <c r="Y9" i="2" s="1"/>
  <c r="W9" i="2" s="1"/>
  <c r="AN8" i="2" a="1"/>
  <c r="AH41" i="1" l="1"/>
  <c r="U41" i="1"/>
  <c r="AN8" i="2"/>
  <c r="AF8" i="2" a="1"/>
  <c r="Z41" i="1" l="1"/>
  <c r="Y41" i="1"/>
  <c r="AA41" i="1"/>
  <c r="AF8" i="2"/>
  <c r="Q8" i="2" a="1"/>
  <c r="Q8" i="2" l="1"/>
  <c r="P8" i="2" a="1"/>
  <c r="P8" i="2" l="1"/>
  <c r="R8" i="2" s="1"/>
  <c r="L8" i="2" a="1"/>
  <c r="L8" i="2" l="1"/>
  <c r="J8" i="2"/>
  <c r="BB8" i="2" s="1"/>
  <c r="BC8" i="2" s="1"/>
  <c r="BD8" i="2" s="1"/>
  <c r="G8" i="2" a="1"/>
  <c r="G8" i="2" l="1"/>
  <c r="K8" i="2"/>
  <c r="O8" i="2"/>
  <c r="S8" i="2" a="1"/>
  <c r="S8" i="2" l="1"/>
  <c r="AP8" i="2" s="1"/>
  <c r="AK8" i="2" s="1"/>
  <c r="S30" i="1" s="1"/>
  <c r="AO8" i="2"/>
  <c r="AI8" i="2" s="1"/>
  <c r="V30" i="1" l="1"/>
  <c r="U8" i="2"/>
  <c r="V8" i="2" s="1"/>
  <c r="AE8" i="2"/>
  <c r="AT8" i="2"/>
  <c r="AS8" i="2"/>
  <c r="AL8" i="2"/>
  <c r="Q30" i="1" s="1"/>
  <c r="AB8" i="2"/>
  <c r="M8" i="2"/>
  <c r="BA7" i="2"/>
  <c r="T30" i="1" l="1"/>
  <c r="R30" i="1"/>
  <c r="AG8" i="2"/>
  <c r="AM8" i="2"/>
  <c r="AH8" i="2" s="1"/>
  <c r="X8" i="2"/>
  <c r="Y8" i="2" s="1"/>
  <c r="W8" i="2" s="1"/>
  <c r="AN7" i="2" a="1"/>
  <c r="AH30" i="1" l="1"/>
  <c r="U30" i="1"/>
  <c r="AN7" i="2"/>
  <c r="AF7" i="2" a="1"/>
  <c r="Y30" i="1" l="1"/>
  <c r="Z30" i="1"/>
  <c r="AA30" i="1"/>
  <c r="AF7" i="2"/>
  <c r="Q7" i="2" a="1"/>
  <c r="Q7" i="2" l="1"/>
  <c r="R7" i="2" l="1"/>
  <c r="J7" i="2" l="1"/>
  <c r="BB7" i="2" s="1"/>
  <c r="BC7" i="2" s="1"/>
  <c r="BD7" i="2" s="1"/>
  <c r="G7" i="2" a="1"/>
  <c r="G7" i="2" l="1"/>
  <c r="K7" i="2"/>
  <c r="S7" i="2" a="1"/>
  <c r="S7" i="2" l="1"/>
  <c r="AP7" i="2"/>
  <c r="AK7" i="2" s="1"/>
  <c r="O7" i="2"/>
  <c r="AO7" i="2" l="1"/>
  <c r="AI7" i="2" s="1"/>
  <c r="U7" i="2"/>
  <c r="V7" i="2" s="1"/>
  <c r="AE7" i="2" l="1"/>
  <c r="AT7" i="2"/>
  <c r="AS7" i="2"/>
  <c r="AL7" i="2"/>
  <c r="AG7" i="2" s="1"/>
  <c r="AB7" i="2"/>
  <c r="M7" i="2"/>
  <c r="BA6" i="2"/>
  <c r="AM7" i="2" l="1"/>
  <c r="AH7" i="2" s="1"/>
  <c r="X7" i="2"/>
  <c r="Y7" i="2" s="1"/>
  <c r="W7" i="2" s="1"/>
  <c r="AN6" i="2" a="1"/>
  <c r="AN6" i="2" l="1"/>
  <c r="AF6" i="2" a="1"/>
  <c r="AF6" i="2" l="1"/>
  <c r="Q6" i="2" a="1"/>
  <c r="Q6" i="2" l="1"/>
  <c r="R6" i="2" l="1"/>
  <c r="J6" i="2" l="1"/>
  <c r="BB6" i="2" s="1"/>
  <c r="BC6" i="2" s="1"/>
  <c r="BD6" i="2" s="1"/>
  <c r="G6" i="2" a="1"/>
  <c r="G6" i="2" l="1"/>
  <c r="K6" i="2"/>
  <c r="O6" i="2"/>
  <c r="S6" i="2" a="1"/>
  <c r="S6" i="2" l="1"/>
  <c r="AP6" i="2"/>
  <c r="AK6" i="2" s="1"/>
  <c r="S14" i="1" s="1"/>
  <c r="V14" i="1" l="1"/>
  <c r="AO6" i="2"/>
  <c r="AI6" i="2" s="1"/>
  <c r="U6" i="2"/>
  <c r="V6" i="2" s="1"/>
  <c r="Z6" i="2"/>
  <c r="AE6" i="2" l="1"/>
  <c r="AT6" i="2"/>
  <c r="AS6" i="2"/>
  <c r="AL6" i="2"/>
  <c r="Q14" i="1" s="1"/>
  <c r="AB6" i="2"/>
  <c r="M6" i="2"/>
  <c r="BA5" i="2"/>
  <c r="AV6" i="2" a="1"/>
  <c r="AV6" i="2" l="1"/>
  <c r="T14" i="1"/>
  <c r="R14" i="1"/>
  <c r="AG6" i="2"/>
  <c r="AM6" i="2"/>
  <c r="AH6" i="2" s="1"/>
  <c r="X6" i="2"/>
  <c r="Y6" i="2" s="1"/>
  <c r="W6" i="2" s="1"/>
  <c r="AN5" i="2" a="1"/>
  <c r="F14" i="1" l="1"/>
  <c r="AH14" i="1"/>
  <c r="U14" i="1"/>
  <c r="AN5" i="2"/>
  <c r="AF5" i="2" a="1"/>
  <c r="AA14" i="1" l="1"/>
  <c r="AA5" i="1" s="1"/>
  <c r="Z14" i="1"/>
  <c r="Y14" i="1"/>
  <c r="P6" i="1"/>
  <c r="P5" i="1"/>
  <c r="U5" i="1"/>
  <c r="S5" i="1"/>
  <c r="V5" i="1"/>
  <c r="AF5" i="2"/>
  <c r="Q5" i="2" a="1"/>
  <c r="W5" i="1" l="1"/>
  <c r="X5" i="1" s="1"/>
  <c r="Y5" i="1" s="1"/>
  <c r="AB5" i="1"/>
  <c r="Z5" i="1"/>
  <c r="Q5" i="2"/>
  <c r="P5" i="2" a="1"/>
  <c r="P5" i="2" l="1"/>
  <c r="R5" i="2" s="1"/>
  <c r="L5" i="2" a="1"/>
  <c r="L5" i="2" l="1"/>
  <c r="J5" i="2"/>
  <c r="BB5" i="2" s="1"/>
  <c r="BC5" i="2" s="1"/>
  <c r="BD5" i="2" s="1"/>
  <c r="G5" i="2" a="1"/>
  <c r="G5" i="2" l="1"/>
  <c r="K5" i="2"/>
  <c r="O5" i="2"/>
  <c r="S5" i="2" a="1"/>
  <c r="S5" i="2" l="1"/>
  <c r="AO5" i="2"/>
  <c r="AI5" i="2" s="1"/>
  <c r="AP5" i="2"/>
  <c r="AK5" i="2" s="1"/>
  <c r="U5" i="2"/>
  <c r="V5" i="2" s="1"/>
  <c r="AE5" i="2" l="1"/>
  <c r="AT5" i="2"/>
  <c r="AS5" i="2"/>
  <c r="AL5" i="2"/>
  <c r="AG5" i="2" s="1"/>
  <c r="AB5" i="2"/>
  <c r="M5" i="2"/>
  <c r="BA4" i="2"/>
  <c r="AM5" i="2" l="1"/>
  <c r="AH5" i="2" s="1"/>
  <c r="X5" i="2"/>
  <c r="Y5" i="2" s="1"/>
  <c r="W5" i="2" s="1"/>
  <c r="AN4" i="2" a="1"/>
  <c r="AN4" i="2" l="1"/>
  <c r="AF4" i="2" a="1"/>
  <c r="AF4" i="2" l="1"/>
  <c r="Q4" i="2" a="1"/>
  <c r="Q4" i="2" l="1"/>
  <c r="P4" i="2" a="1"/>
  <c r="P4" i="2" l="1"/>
  <c r="R4" i="2" s="1"/>
  <c r="L4" i="2" a="1"/>
  <c r="L4" i="2" l="1"/>
  <c r="J4" i="2"/>
  <c r="BB4" i="2" s="1"/>
  <c r="BC4" i="2" s="1"/>
  <c r="BD4" i="2" s="1"/>
  <c r="G4" i="2" a="1"/>
  <c r="G4" i="2" l="1"/>
  <c r="K4" i="2"/>
  <c r="S4" i="2" a="1"/>
  <c r="S4" i="2" l="1"/>
  <c r="AP4" i="2"/>
  <c r="AK4" i="2" s="1"/>
  <c r="S20" i="1" s="1"/>
  <c r="O4" i="2"/>
  <c r="V20" i="1" l="1"/>
  <c r="S6" i="1"/>
  <c r="S10" i="1"/>
  <c r="S7" i="1"/>
  <c r="AO4" i="2"/>
  <c r="AI4" i="2" s="1"/>
  <c r="AI1" i="2" s="1"/>
  <c r="U4" i="2"/>
  <c r="V4" i="2" s="1"/>
  <c r="Z4" i="2"/>
  <c r="AV4" i="2" s="1" a="1"/>
  <c r="AV4" i="2" l="1"/>
  <c r="V6" i="1"/>
  <c r="T1" i="1"/>
  <c r="AE4" i="2"/>
  <c r="AT4" i="2"/>
  <c r="AS4" i="2"/>
  <c r="AL4" i="2"/>
  <c r="Q20" i="1" s="1"/>
  <c r="AB4" i="2"/>
  <c r="M4" i="2"/>
  <c r="U2" i="2"/>
  <c r="R2" i="2"/>
  <c r="Q2" i="2" a="1"/>
  <c r="T20" i="1" l="1"/>
  <c r="R20" i="1"/>
  <c r="V7" i="1"/>
  <c r="V10" i="1" s="1"/>
  <c r="AG4" i="2"/>
  <c r="Q2" i="2"/>
  <c r="S2" i="2" s="1"/>
  <c r="AM4" i="2"/>
  <c r="AH4" i="2" s="1"/>
  <c r="X4" i="2"/>
  <c r="Y4" i="2" s="1"/>
  <c r="W4" i="2" s="1"/>
  <c r="P2" i="2" a="1"/>
  <c r="R5" i="1" l="1"/>
  <c r="R6" i="1"/>
  <c r="AH20" i="1"/>
  <c r="U20" i="1"/>
  <c r="P2" i="2"/>
  <c r="L2" i="2" a="1"/>
  <c r="AA20" i="1" l="1"/>
  <c r="Y20" i="1"/>
  <c r="Z20" i="1"/>
  <c r="Z10" i="1" s="1"/>
  <c r="R1" i="1"/>
  <c r="S1" i="1" s="1"/>
  <c r="P1" i="1" s="1"/>
  <c r="U6" i="1"/>
  <c r="R7" i="1"/>
  <c r="R8" i="1"/>
  <c r="L2" i="2"/>
  <c r="Z6" i="1" l="1"/>
  <c r="Z7" i="1" s="1"/>
  <c r="U8" i="1"/>
  <c r="U7" i="1"/>
  <c r="U3" i="1"/>
  <c r="W6" i="1"/>
  <c r="AA6" i="1"/>
  <c r="AA10" i="1"/>
  <c r="I2" i="2"/>
  <c r="X1" i="2"/>
  <c r="W1" i="2"/>
  <c r="V1" i="2"/>
  <c r="R1" i="2"/>
  <c r="O1" i="2"/>
  <c r="X6" i="1" l="1"/>
  <c r="Y6" i="1" s="1"/>
  <c r="Y7" i="1" s="1"/>
  <c r="W2" i="1"/>
  <c r="AB6" i="1"/>
  <c r="AA7" i="1"/>
  <c r="AA8" i="1"/>
  <c r="U10" i="1"/>
  <c r="W7" i="1"/>
  <c r="AJ28" i="2"/>
  <c r="AJ27" i="2"/>
  <c r="AJ26" i="2"/>
  <c r="AJ25" i="2"/>
  <c r="AJ24" i="2"/>
  <c r="AJ23" i="2"/>
  <c r="AJ22" i="2"/>
  <c r="AJ21" i="2"/>
  <c r="AJ20" i="2"/>
  <c r="AJ19" i="2"/>
  <c r="AJ18" i="2"/>
  <c r="AJ17" i="2"/>
  <c r="AJ16" i="2"/>
  <c r="AJ15" i="2"/>
  <c r="AJ14" i="2"/>
  <c r="AJ13" i="2"/>
  <c r="AJ12" i="2"/>
  <c r="AJ11" i="2"/>
  <c r="AJ10" i="2"/>
  <c r="AJ9" i="2"/>
  <c r="AJ8" i="2"/>
  <c r="AJ7" i="2"/>
  <c r="AJ6" i="2"/>
  <c r="AJ5" i="2"/>
  <c r="AJ4" i="2"/>
  <c r="H1" i="2"/>
  <c r="H37" i="89" l="1"/>
  <c r="W78" i="89" a="1"/>
  <c r="F103" i="89" a="1"/>
  <c r="K96" i="89" a="1"/>
  <c r="I10" i="338" a="1"/>
  <c r="W7" i="89" a="1"/>
  <c r="L6" i="446" a="1"/>
  <c r="K36" i="89" a="1"/>
  <c r="F30" i="89" a="1"/>
  <c r="F78" i="89" a="1"/>
  <c r="K77" i="89" a="1"/>
  <c r="G8" i="338" a="1"/>
  <c r="L9" i="446" a="1"/>
  <c r="W77" i="89" a="1"/>
  <c r="L68" i="89" a="1"/>
  <c r="K19" i="89"/>
  <c r="F105" i="89" a="1"/>
  <c r="W79" i="89" a="1"/>
  <c r="L77" i="89" a="1"/>
  <c r="L8" i="446" a="1"/>
  <c r="W19" i="89"/>
  <c r="W96" i="89" a="1"/>
  <c r="L61" i="89" a="1"/>
  <c r="W105" i="89" a="1"/>
  <c r="F36" i="89" a="1"/>
  <c r="W95" i="89" a="1"/>
  <c r="L11" i="446" a="1"/>
  <c r="W13" i="89" a="1"/>
  <c r="W94" i="89" a="1"/>
  <c r="L88" i="89" a="1"/>
  <c r="K31" i="89" a="1"/>
  <c r="L103" i="89" a="1"/>
  <c r="W53" i="89" a="1"/>
  <c r="L104" i="89" a="1"/>
  <c r="L36" i="89" a="1"/>
  <c r="L96" i="89" a="1"/>
  <c r="L95" i="89" a="1"/>
  <c r="L10" i="446" a="1"/>
  <c r="F52" i="89" a="1"/>
  <c r="L30" i="89" a="1"/>
  <c r="I8" i="338" a="1"/>
  <c r="W104" i="89" a="1"/>
  <c r="L78" i="89" a="1"/>
  <c r="W68" i="89" a="1"/>
  <c r="K61" i="89" a="1"/>
  <c r="K68" i="89" a="1"/>
  <c r="K88" i="89" a="1"/>
  <c r="G9" i="338" a="1"/>
  <c r="K105" i="89" a="1"/>
  <c r="F104" i="89" a="1"/>
  <c r="G12" i="338" a="1"/>
  <c r="F95" i="89" a="1"/>
  <c r="K8" i="89" a="1"/>
  <c r="K14" i="89" a="1"/>
  <c r="W30" i="89" a="1"/>
  <c r="K104" i="89" a="1"/>
  <c r="K78" i="89" a="1"/>
  <c r="W31" i="89" a="1"/>
  <c r="L13" i="446" a="1"/>
  <c r="G11" i="338" a="1"/>
  <c r="K52" i="89" a="1"/>
  <c r="F37" i="89" a="1"/>
  <c r="W61" i="89" a="1"/>
  <c r="K20" i="89" a="1"/>
  <c r="F79" i="89" a="1"/>
  <c r="F7" i="89" a="1"/>
  <c r="I12" i="338" a="1"/>
  <c r="F8" i="89" a="1"/>
  <c r="L14" i="89" a="1"/>
  <c r="I50" i="54" a="1"/>
  <c r="F13" i="89" a="1"/>
  <c r="K79" i="89" a="1"/>
  <c r="F88" i="89" a="1"/>
  <c r="K95" i="89" a="1"/>
  <c r="F96" i="89" a="1"/>
  <c r="L20" i="89" a="1"/>
  <c r="W37" i="89" a="1"/>
  <c r="W14" i="89" a="1"/>
  <c r="L79" i="89" a="1"/>
  <c r="L52" i="89" a="1"/>
  <c r="F14" i="89" a="1"/>
  <c r="L13" i="89" a="1"/>
  <c r="F31" i="89" a="1"/>
  <c r="L53" i="89" a="1"/>
  <c r="F20" i="89" a="1"/>
  <c r="W36" i="89" a="1"/>
  <c r="K7" i="89" a="1"/>
  <c r="F77" i="89" a="1"/>
  <c r="F94" i="89" a="1"/>
  <c r="W8" i="89" a="1"/>
  <c r="G10" i="338" a="1"/>
  <c r="F53" i="89" a="1"/>
  <c r="L37" i="89" a="1"/>
  <c r="K13" i="89" a="1"/>
  <c r="L7" i="446" a="1"/>
  <c r="L8" i="89" a="1"/>
  <c r="K94" i="89" a="1"/>
  <c r="K30" i="89" a="1"/>
  <c r="K53" i="89" a="1"/>
  <c r="L94" i="89" a="1"/>
  <c r="L12" i="446" a="1"/>
  <c r="W103" i="89" a="1"/>
  <c r="I9" i="338" a="1"/>
  <c r="K103" i="89" a="1"/>
  <c r="F61" i="89" a="1"/>
  <c r="I11" i="338" a="1"/>
  <c r="L105" i="89" a="1"/>
  <c r="L7" i="89" a="1"/>
  <c r="W88" i="89" a="1"/>
  <c r="W20" i="89" a="1"/>
  <c r="L19" i="89"/>
  <c r="K37" i="89" a="1"/>
  <c r="W52" i="89" a="1"/>
  <c r="L5" i="446" a="1"/>
  <c r="F19" i="89"/>
  <c r="L31" i="89" a="1"/>
  <c r="W43" i="89" a="1"/>
  <c r="W87" i="89" a="1"/>
  <c r="W86" i="89" a="1"/>
  <c r="W44" i="89" a="1"/>
  <c r="F62" i="89" a="1"/>
  <c r="L87" i="89" a="1"/>
  <c r="F87" i="89" a="1"/>
  <c r="L44" i="89" a="1"/>
  <c r="F86" i="89" a="1"/>
  <c r="L62" i="89" a="1"/>
  <c r="F43" i="89" a="1"/>
  <c r="F44" i="89" a="1"/>
  <c r="L86" i="89" a="1"/>
  <c r="K62" i="89" a="1"/>
  <c r="L43" i="89" a="1"/>
  <c r="W62" i="89" a="1"/>
  <c r="K43" i="89" a="1"/>
  <c r="K44" i="89" a="1"/>
  <c r="K86" i="89" a="1"/>
  <c r="K87" i="89" a="1"/>
  <c r="F105" i="89" l="1"/>
  <c r="F61" i="89"/>
  <c r="K105" i="89"/>
  <c r="K104" i="89"/>
  <c r="I50" i="54"/>
  <c r="W44" i="89"/>
  <c r="L62" i="89"/>
  <c r="K53" i="89"/>
  <c r="W52" i="89"/>
  <c r="L30" i="89"/>
  <c r="F7" i="89"/>
  <c r="K88" i="89"/>
  <c r="L87" i="89"/>
  <c r="W43" i="89"/>
  <c r="K62" i="89"/>
  <c r="W36" i="89"/>
  <c r="K20" i="89"/>
  <c r="K94" i="89"/>
  <c r="K13" i="89"/>
  <c r="W103" i="89"/>
  <c r="W8" i="89"/>
  <c r="L53" i="89"/>
  <c r="L14" i="89"/>
  <c r="L88" i="89"/>
  <c r="F36" i="89"/>
  <c r="K8" i="89"/>
  <c r="F20" i="89"/>
  <c r="L95" i="89"/>
  <c r="W88" i="89"/>
  <c r="W86" i="89"/>
  <c r="F43" i="89"/>
  <c r="L61" i="89"/>
  <c r="F53" i="89"/>
  <c r="L31" i="89"/>
  <c r="W37" i="89"/>
  <c r="F8" i="89"/>
  <c r="L20" i="89"/>
  <c r="K43" i="89"/>
  <c r="F94" i="89"/>
  <c r="W87" i="89"/>
  <c r="F44" i="89"/>
  <c r="L52" i="89"/>
  <c r="F62" i="89"/>
  <c r="W13" i="89"/>
  <c r="F103" i="89"/>
  <c r="K96" i="89"/>
  <c r="F31" i="89"/>
  <c r="L36" i="89"/>
  <c r="W20" i="89"/>
  <c r="K44" i="89"/>
  <c r="L79" i="89"/>
  <c r="L12" i="446"/>
  <c r="F86" i="89"/>
  <c r="K95" i="89"/>
  <c r="F95" i="89"/>
  <c r="L94" i="89"/>
  <c r="W53" i="89"/>
  <c r="K31" i="89"/>
  <c r="L37" i="89"/>
  <c r="W7" i="89"/>
  <c r="K86" i="89"/>
  <c r="F104" i="89"/>
  <c r="W79" i="89"/>
  <c r="F87" i="89"/>
  <c r="F79" i="89"/>
  <c r="L13" i="446"/>
  <c r="W94" i="89"/>
  <c r="F96" i="89"/>
  <c r="F14" i="89"/>
  <c r="F37" i="89"/>
  <c r="L7" i="89"/>
  <c r="K79" i="89"/>
  <c r="K68" i="89"/>
  <c r="K52" i="89"/>
  <c r="W105" i="89"/>
  <c r="F30" i="89"/>
  <c r="K87" i="89"/>
  <c r="K61" i="89"/>
  <c r="F52" i="89"/>
  <c r="L103" i="89"/>
  <c r="W95" i="89"/>
  <c r="W30" i="89"/>
  <c r="K37" i="89"/>
  <c r="W14" i="89"/>
  <c r="L43" i="89"/>
  <c r="L78" i="89"/>
  <c r="F88" i="89"/>
  <c r="W77" i="89"/>
  <c r="W78" i="89"/>
  <c r="L10" i="446"/>
  <c r="L13" i="89"/>
  <c r="L105" i="89"/>
  <c r="W96" i="89"/>
  <c r="L96" i="89"/>
  <c r="W31" i="89"/>
  <c r="K36" i="89"/>
  <c r="K7" i="89"/>
  <c r="L44" i="89"/>
  <c r="K78" i="89"/>
  <c r="L77" i="89"/>
  <c r="W68" i="89"/>
  <c r="F77" i="89"/>
  <c r="W61" i="89"/>
  <c r="K103" i="89"/>
  <c r="W104" i="89"/>
  <c r="K30" i="89"/>
  <c r="L8" i="89"/>
  <c r="K14" i="89"/>
  <c r="F13" i="89"/>
  <c r="L86" i="89"/>
  <c r="K77" i="89"/>
  <c r="L68" i="89"/>
  <c r="L104" i="89"/>
  <c r="W62" i="89"/>
  <c r="G12" i="338"/>
  <c r="L8" i="446"/>
  <c r="L11" i="446"/>
  <c r="L9" i="446"/>
  <c r="G8" i="338"/>
  <c r="I10" i="338"/>
  <c r="I11" i="338"/>
  <c r="L5" i="446"/>
  <c r="I12" i="338"/>
  <c r="L7" i="446"/>
  <c r="L6" i="446"/>
  <c r="G10" i="338"/>
  <c r="I9" i="338"/>
  <c r="G9" i="338"/>
  <c r="G11" i="338"/>
  <c r="I8" i="338"/>
  <c r="F78" i="89"/>
  <c r="J11" i="338" a="1"/>
  <c r="J12" i="338" a="1"/>
  <c r="H10" i="338" a="1"/>
  <c r="J9" i="338" a="1"/>
  <c r="H9" i="338" a="1"/>
  <c r="J8" i="338" a="1"/>
  <c r="H12" i="338" a="1"/>
  <c r="J10" i="338" a="1"/>
  <c r="H11" i="338" a="1"/>
  <c r="H8" i="338" a="1"/>
  <c r="S88" i="89" a="1"/>
  <c r="H8" i="338" l="1"/>
  <c r="H11" i="338"/>
  <c r="J10" i="338"/>
  <c r="H12" i="338"/>
  <c r="J8" i="338"/>
  <c r="H9" i="338"/>
  <c r="J9" i="338"/>
  <c r="H10" i="338"/>
  <c r="J12" i="338"/>
  <c r="J11" i="338"/>
  <c r="S88" i="89"/>
  <c r="R88" i="89" a="1"/>
  <c r="S20" i="89" a="1"/>
  <c r="R88" i="89" l="1"/>
  <c r="S20" i="89"/>
  <c r="R20" i="89" a="1"/>
  <c r="S37" i="89" a="1"/>
  <c r="S105" i="89" a="1"/>
  <c r="R20" i="89" l="1"/>
  <c r="S105" i="89"/>
  <c r="S37" i="89"/>
  <c r="R105" i="89" a="1"/>
  <c r="R37" i="89" a="1"/>
  <c r="R37" i="89" l="1"/>
  <c r="R105" i="89"/>
  <c r="X2" i="527"/>
  <c r="U2" i="527"/>
  <c r="R2" i="527"/>
  <c r="R165" i="444"/>
  <c r="T165" i="444" s="1"/>
  <c r="U165" i="444" s="1"/>
  <c r="G165" i="444"/>
  <c r="R164" i="444"/>
  <c r="T164" i="444" s="1"/>
  <c r="U164" i="444" s="1"/>
  <c r="G164" i="444"/>
  <c r="R163" i="444"/>
  <c r="T163" i="444" s="1"/>
  <c r="U163" i="444" s="1"/>
  <c r="G163" i="444"/>
  <c r="R162" i="444"/>
  <c r="T162" i="444" s="1"/>
  <c r="U162" i="444" s="1"/>
  <c r="G162" i="444"/>
  <c r="R161" i="444"/>
  <c r="T161" i="444" s="1"/>
  <c r="U161" i="444" s="1"/>
  <c r="G161" i="444"/>
  <c r="R160" i="444"/>
  <c r="T160" i="444" s="1"/>
  <c r="U160" i="444" s="1"/>
  <c r="G160" i="444"/>
  <c r="T159" i="444"/>
  <c r="U159" i="444" s="1"/>
  <c r="S159" i="444"/>
  <c r="R159" i="444"/>
  <c r="G159" i="444"/>
  <c r="R158" i="444"/>
  <c r="T158" i="444" s="1"/>
  <c r="U158" i="444" s="1"/>
  <c r="G158" i="444"/>
  <c r="R157" i="444"/>
  <c r="T157" i="444" s="1"/>
  <c r="U157" i="444" s="1"/>
  <c r="G157" i="444"/>
  <c r="T156" i="444"/>
  <c r="U156" i="444" s="1"/>
  <c r="V156" i="444" s="1"/>
  <c r="W156" i="444" s="1"/>
  <c r="S156" i="444"/>
  <c r="R156" i="444"/>
  <c r="G156" i="444"/>
  <c r="R155" i="444"/>
  <c r="G155" i="444"/>
  <c r="S154" i="444"/>
  <c r="R154" i="444"/>
  <c r="T154" i="444" s="1"/>
  <c r="U154" i="444" s="1"/>
  <c r="G154" i="444"/>
  <c r="T153" i="444"/>
  <c r="U153" i="444" s="1"/>
  <c r="V153" i="444" s="1"/>
  <c r="W153" i="444" s="1"/>
  <c r="S153" i="444"/>
  <c r="R153" i="444"/>
  <c r="G153" i="444"/>
  <c r="R152" i="444"/>
  <c r="T152" i="444" s="1"/>
  <c r="U152" i="444" s="1"/>
  <c r="G152" i="444"/>
  <c r="T151" i="444"/>
  <c r="U151" i="444" s="1"/>
  <c r="S151" i="444"/>
  <c r="R151" i="444"/>
  <c r="G151" i="444"/>
  <c r="T150" i="444"/>
  <c r="U150" i="444" s="1"/>
  <c r="R150" i="444"/>
  <c r="S150" i="444" s="1"/>
  <c r="G150" i="444"/>
  <c r="T149" i="444"/>
  <c r="U149" i="444" s="1"/>
  <c r="S149" i="444"/>
  <c r="R149" i="444"/>
  <c r="G149" i="444"/>
  <c r="T148" i="444"/>
  <c r="U148" i="444" s="1"/>
  <c r="R148" i="444"/>
  <c r="S148" i="444" s="1"/>
  <c r="G148" i="444"/>
  <c r="S147" i="444"/>
  <c r="R147" i="444"/>
  <c r="T147" i="444" s="1"/>
  <c r="U147" i="444" s="1"/>
  <c r="V147" i="444" s="1"/>
  <c r="W147" i="444" s="1"/>
  <c r="G147" i="444"/>
  <c r="T146" i="444"/>
  <c r="U146" i="444" s="1"/>
  <c r="R146" i="444"/>
  <c r="S146" i="444" s="1"/>
  <c r="G146" i="444"/>
  <c r="R145" i="444"/>
  <c r="G145" i="444"/>
  <c r="T144" i="444"/>
  <c r="U144" i="444" s="1"/>
  <c r="R144" i="444"/>
  <c r="S144" i="444" s="1"/>
  <c r="G144" i="444"/>
  <c r="R143" i="444"/>
  <c r="T143" i="444" s="1"/>
  <c r="U143" i="444" s="1"/>
  <c r="G143" i="444"/>
  <c r="R142" i="444"/>
  <c r="T142" i="444" s="1"/>
  <c r="U142" i="444" s="1"/>
  <c r="G142" i="444"/>
  <c r="R141" i="444"/>
  <c r="T141" i="444" s="1"/>
  <c r="U141" i="444" s="1"/>
  <c r="G141" i="444"/>
  <c r="R140" i="444"/>
  <c r="T140" i="444" s="1"/>
  <c r="U140" i="444" s="1"/>
  <c r="G140" i="444"/>
  <c r="R139" i="444"/>
  <c r="T139" i="444" s="1"/>
  <c r="U139" i="444" s="1"/>
  <c r="G139" i="444"/>
  <c r="R138" i="444"/>
  <c r="T138" i="444" s="1"/>
  <c r="U138" i="444" s="1"/>
  <c r="G138" i="444"/>
  <c r="R137" i="444"/>
  <c r="G137" i="444"/>
  <c r="R136" i="444"/>
  <c r="T136" i="444" s="1"/>
  <c r="U136" i="444" s="1"/>
  <c r="G136" i="444"/>
  <c r="R135" i="444"/>
  <c r="G135" i="444"/>
  <c r="R134" i="444"/>
  <c r="T134" i="444" s="1"/>
  <c r="U134" i="444" s="1"/>
  <c r="G134" i="444"/>
  <c r="T133" i="444"/>
  <c r="U133" i="444" s="1"/>
  <c r="S133" i="444"/>
  <c r="R133" i="444"/>
  <c r="G133" i="444"/>
  <c r="R132" i="444"/>
  <c r="T132" i="444" s="1"/>
  <c r="U132" i="444" s="1"/>
  <c r="G132" i="444"/>
  <c r="T131" i="444"/>
  <c r="U131" i="444" s="1"/>
  <c r="S131" i="444"/>
  <c r="R131" i="444"/>
  <c r="G131" i="444"/>
  <c r="T130" i="444"/>
  <c r="U130" i="444" s="1"/>
  <c r="R130" i="444"/>
  <c r="S130" i="444" s="1"/>
  <c r="G130" i="444"/>
  <c r="T129" i="444"/>
  <c r="U129" i="444" s="1"/>
  <c r="S129" i="444"/>
  <c r="R129" i="444"/>
  <c r="G129" i="444"/>
  <c r="T128" i="444"/>
  <c r="U128" i="444" s="1"/>
  <c r="R128" i="444"/>
  <c r="S128" i="444" s="1"/>
  <c r="G128" i="444"/>
  <c r="S127" i="444"/>
  <c r="R127" i="444"/>
  <c r="T127" i="444" s="1"/>
  <c r="U127" i="444" s="1"/>
  <c r="V127" i="444" s="1"/>
  <c r="W127" i="444" s="1"/>
  <c r="G127" i="444"/>
  <c r="T126" i="444"/>
  <c r="U126" i="444" s="1"/>
  <c r="R126" i="444"/>
  <c r="S126" i="444" s="1"/>
  <c r="G126" i="444"/>
  <c r="R125" i="444"/>
  <c r="T125" i="444" s="1"/>
  <c r="U125" i="444" s="1"/>
  <c r="G125" i="444"/>
  <c r="T124" i="444"/>
  <c r="U124" i="444" s="1"/>
  <c r="V124" i="444" s="1"/>
  <c r="W124" i="444" s="1"/>
  <c r="R124" i="444"/>
  <c r="S124" i="444" s="1"/>
  <c r="G124" i="444"/>
  <c r="R123" i="444"/>
  <c r="T123" i="444" s="1"/>
  <c r="U123" i="444" s="1"/>
  <c r="G123" i="444"/>
  <c r="R122" i="444"/>
  <c r="T122" i="444" s="1"/>
  <c r="U122" i="444" s="1"/>
  <c r="G122" i="444"/>
  <c r="R121" i="444"/>
  <c r="T121" i="444" s="1"/>
  <c r="U121" i="444" s="1"/>
  <c r="G121" i="444"/>
  <c r="R120" i="444"/>
  <c r="T120" i="444" s="1"/>
  <c r="U120" i="444" s="1"/>
  <c r="G120" i="444"/>
  <c r="R119" i="444"/>
  <c r="T119" i="444" s="1"/>
  <c r="U119" i="444" s="1"/>
  <c r="G119" i="444"/>
  <c r="R118" i="444"/>
  <c r="G118" i="444"/>
  <c r="R117" i="444"/>
  <c r="G117" i="444"/>
  <c r="R116" i="444"/>
  <c r="T116" i="444" s="1"/>
  <c r="U116" i="444" s="1"/>
  <c r="G116" i="444"/>
  <c r="R115" i="444"/>
  <c r="T115" i="444" s="1"/>
  <c r="U115" i="444" s="1"/>
  <c r="G115" i="444"/>
  <c r="S114" i="444"/>
  <c r="R114" i="444"/>
  <c r="T114" i="444" s="1"/>
  <c r="U114" i="444" s="1"/>
  <c r="G114" i="444"/>
  <c r="T113" i="444"/>
  <c r="U113" i="444" s="1"/>
  <c r="S113" i="444"/>
  <c r="R113" i="444"/>
  <c r="G113" i="444"/>
  <c r="R112" i="444"/>
  <c r="T112" i="444" s="1"/>
  <c r="U112" i="444" s="1"/>
  <c r="G112" i="444"/>
  <c r="T111" i="444"/>
  <c r="U111" i="444" s="1"/>
  <c r="S111" i="444"/>
  <c r="R111" i="444"/>
  <c r="G111" i="444"/>
  <c r="R110" i="444"/>
  <c r="S110" i="444" s="1"/>
  <c r="G110" i="444"/>
  <c r="T109" i="444"/>
  <c r="U109" i="444" s="1"/>
  <c r="S109" i="444"/>
  <c r="R109" i="444"/>
  <c r="G109" i="444"/>
  <c r="R108" i="444"/>
  <c r="S108" i="444" s="1"/>
  <c r="G108" i="444"/>
  <c r="S107" i="444"/>
  <c r="R107" i="444"/>
  <c r="T107" i="444" s="1"/>
  <c r="U107" i="444" s="1"/>
  <c r="V107" i="444" s="1"/>
  <c r="W107" i="444" s="1"/>
  <c r="G107" i="444"/>
  <c r="T106" i="444"/>
  <c r="U106" i="444" s="1"/>
  <c r="R106" i="444"/>
  <c r="S106" i="444" s="1"/>
  <c r="G106" i="444"/>
  <c r="R105" i="444"/>
  <c r="T105" i="444" s="1"/>
  <c r="U105" i="444" s="1"/>
  <c r="G105" i="444"/>
  <c r="T104" i="444"/>
  <c r="U104" i="444" s="1"/>
  <c r="R104" i="444"/>
  <c r="S104" i="444" s="1"/>
  <c r="G104" i="444"/>
  <c r="R103" i="444"/>
  <c r="T103" i="444" s="1"/>
  <c r="U103" i="444" s="1"/>
  <c r="G103" i="444"/>
  <c r="S102" i="444"/>
  <c r="R102" i="444"/>
  <c r="T102" i="444" s="1"/>
  <c r="U102" i="444" s="1"/>
  <c r="G102" i="444"/>
  <c r="R101" i="444"/>
  <c r="T101" i="444" s="1"/>
  <c r="U101" i="444" s="1"/>
  <c r="G101" i="444"/>
  <c r="R100" i="444"/>
  <c r="T100" i="444" s="1"/>
  <c r="U100" i="444" s="1"/>
  <c r="G100" i="444"/>
  <c r="S99" i="444"/>
  <c r="R99" i="444"/>
  <c r="T99" i="444" s="1"/>
  <c r="U99" i="444" s="1"/>
  <c r="G99" i="444"/>
  <c r="R98" i="444"/>
  <c r="G98" i="444"/>
  <c r="R97" i="444"/>
  <c r="G97" i="444"/>
  <c r="T96" i="444"/>
  <c r="U96" i="444" s="1"/>
  <c r="S96" i="444"/>
  <c r="R96" i="444"/>
  <c r="G96" i="444"/>
  <c r="S95" i="444"/>
  <c r="R95" i="444"/>
  <c r="T95" i="444" s="1"/>
  <c r="U95" i="444" s="1"/>
  <c r="G95" i="444"/>
  <c r="R94" i="444"/>
  <c r="T94" i="444" s="1"/>
  <c r="U94" i="444" s="1"/>
  <c r="G94" i="444"/>
  <c r="T93" i="444"/>
  <c r="U93" i="444" s="1"/>
  <c r="S93" i="444"/>
  <c r="R93" i="444"/>
  <c r="G93" i="444"/>
  <c r="R92" i="444"/>
  <c r="S92" i="444" s="1"/>
  <c r="G92" i="444"/>
  <c r="R91" i="444"/>
  <c r="T91" i="444" s="1"/>
  <c r="U91" i="444" s="1"/>
  <c r="G91" i="444"/>
  <c r="T90" i="444"/>
  <c r="U90" i="444" s="1"/>
  <c r="V90" i="444" s="1"/>
  <c r="W90" i="444" s="1"/>
  <c r="R90" i="444"/>
  <c r="S90" i="444" s="1"/>
  <c r="G90" i="444"/>
  <c r="T89" i="444"/>
  <c r="U89" i="444" s="1"/>
  <c r="S89" i="444"/>
  <c r="R89" i="444"/>
  <c r="G89" i="444"/>
  <c r="R88" i="444"/>
  <c r="S88" i="444" s="1"/>
  <c r="G88" i="444"/>
  <c r="S87" i="444"/>
  <c r="R87" i="444"/>
  <c r="T87" i="444" s="1"/>
  <c r="U87" i="444" s="1"/>
  <c r="G87" i="444"/>
  <c r="T86" i="444"/>
  <c r="U86" i="444" s="1"/>
  <c r="V86" i="444" s="1"/>
  <c r="W86" i="444" s="1"/>
  <c r="R86" i="444"/>
  <c r="S86" i="444" s="1"/>
  <c r="G86" i="444"/>
  <c r="T85" i="444"/>
  <c r="U85" i="444" s="1"/>
  <c r="S85" i="444"/>
  <c r="R85" i="444"/>
  <c r="G85" i="444"/>
  <c r="T84" i="444"/>
  <c r="U84" i="444" s="1"/>
  <c r="V84" i="444" s="1"/>
  <c r="W84" i="444" s="1"/>
  <c r="R84" i="444"/>
  <c r="S84" i="444" s="1"/>
  <c r="G84" i="444"/>
  <c r="R83" i="444"/>
  <c r="T83" i="444" s="1"/>
  <c r="U83" i="444" s="1"/>
  <c r="G83" i="444"/>
  <c r="R82" i="444"/>
  <c r="T82" i="444" s="1"/>
  <c r="U82" i="444" s="1"/>
  <c r="G82" i="444"/>
  <c r="R81" i="444"/>
  <c r="T81" i="444" s="1"/>
  <c r="U81" i="444" s="1"/>
  <c r="G81" i="444"/>
  <c r="R80" i="444"/>
  <c r="S80" i="444" s="1"/>
  <c r="G80" i="444"/>
  <c r="T79" i="444"/>
  <c r="U79" i="444" s="1"/>
  <c r="R79" i="444"/>
  <c r="S79" i="444" s="1"/>
  <c r="G79" i="444"/>
  <c r="R78" i="444"/>
  <c r="G78" i="444"/>
  <c r="R77" i="444"/>
  <c r="G77" i="444"/>
  <c r="T76" i="444"/>
  <c r="U76" i="444" s="1"/>
  <c r="S76" i="444"/>
  <c r="R76" i="444"/>
  <c r="G76" i="444"/>
  <c r="S75" i="444"/>
  <c r="R75" i="444"/>
  <c r="T75" i="444" s="1"/>
  <c r="U75" i="444" s="1"/>
  <c r="G75" i="444"/>
  <c r="R74" i="444"/>
  <c r="T74" i="444" s="1"/>
  <c r="U74" i="444" s="1"/>
  <c r="G74" i="444"/>
  <c r="T73" i="444"/>
  <c r="U73" i="444" s="1"/>
  <c r="S73" i="444"/>
  <c r="R73" i="444"/>
  <c r="G73" i="444"/>
  <c r="R72" i="444"/>
  <c r="S72" i="444" s="1"/>
  <c r="G72" i="444"/>
  <c r="R71" i="444"/>
  <c r="T71" i="444" s="1"/>
  <c r="U71" i="444" s="1"/>
  <c r="G71" i="444"/>
  <c r="T70" i="444"/>
  <c r="U70" i="444" s="1"/>
  <c r="V70" i="444" s="1"/>
  <c r="W70" i="444" s="1"/>
  <c r="R70" i="444"/>
  <c r="S70" i="444" s="1"/>
  <c r="G70" i="444"/>
  <c r="T69" i="444"/>
  <c r="U69" i="444" s="1"/>
  <c r="S69" i="444"/>
  <c r="R69" i="444"/>
  <c r="G69" i="444"/>
  <c r="R68" i="444"/>
  <c r="S68" i="444" s="1"/>
  <c r="G68" i="444"/>
  <c r="S67" i="444"/>
  <c r="R67" i="444"/>
  <c r="T67" i="444" s="1"/>
  <c r="U67" i="444" s="1"/>
  <c r="G67" i="444"/>
  <c r="T66" i="444"/>
  <c r="U66" i="444" s="1"/>
  <c r="V66" i="444" s="1"/>
  <c r="W66" i="444" s="1"/>
  <c r="R66" i="444"/>
  <c r="S66" i="444" s="1"/>
  <c r="G66" i="444"/>
  <c r="T65" i="444"/>
  <c r="U65" i="444" s="1"/>
  <c r="S65" i="444"/>
  <c r="R65" i="444"/>
  <c r="G65" i="444"/>
  <c r="T64" i="444"/>
  <c r="U64" i="444" s="1"/>
  <c r="V64" i="444" s="1"/>
  <c r="W64" i="444" s="1"/>
  <c r="R64" i="444"/>
  <c r="S64" i="444" s="1"/>
  <c r="G64" i="444"/>
  <c r="R63" i="444"/>
  <c r="T63" i="444" s="1"/>
  <c r="U63" i="444" s="1"/>
  <c r="G63" i="444"/>
  <c r="R62" i="444"/>
  <c r="T62" i="444" s="1"/>
  <c r="U62" i="444" s="1"/>
  <c r="G62" i="444"/>
  <c r="R61" i="444"/>
  <c r="T61" i="444" s="1"/>
  <c r="U61" i="444" s="1"/>
  <c r="G61" i="444"/>
  <c r="R60" i="444"/>
  <c r="T60" i="444" s="1"/>
  <c r="U60" i="444" s="1"/>
  <c r="G60" i="444"/>
  <c r="R59" i="444"/>
  <c r="T59" i="444" s="1"/>
  <c r="U59" i="444" s="1"/>
  <c r="G59" i="444"/>
  <c r="R58" i="444"/>
  <c r="G58" i="444"/>
  <c r="R57" i="444"/>
  <c r="G57" i="444"/>
  <c r="T56" i="444"/>
  <c r="U56" i="444" s="1"/>
  <c r="S56" i="444"/>
  <c r="R56" i="444"/>
  <c r="G56" i="444"/>
  <c r="S55" i="444"/>
  <c r="R55" i="444"/>
  <c r="T55" i="444" s="1"/>
  <c r="U55" i="444" s="1"/>
  <c r="G55" i="444"/>
  <c r="R54" i="444"/>
  <c r="T54" i="444" s="1"/>
  <c r="U54" i="444" s="1"/>
  <c r="G54" i="444"/>
  <c r="T53" i="444"/>
  <c r="U53" i="444" s="1"/>
  <c r="S53" i="444"/>
  <c r="R53" i="444"/>
  <c r="G53" i="444"/>
  <c r="R52" i="444"/>
  <c r="S52" i="444" s="1"/>
  <c r="G52" i="444"/>
  <c r="R51" i="444"/>
  <c r="T51" i="444" s="1"/>
  <c r="U51" i="444" s="1"/>
  <c r="G51" i="444"/>
  <c r="R50" i="444"/>
  <c r="S50" i="444" s="1"/>
  <c r="G50" i="444"/>
  <c r="T49" i="444"/>
  <c r="U49" i="444" s="1"/>
  <c r="S49" i="444"/>
  <c r="R49" i="444"/>
  <c r="G49" i="444"/>
  <c r="R48" i="444"/>
  <c r="S48" i="444" s="1"/>
  <c r="G48" i="444"/>
  <c r="S47" i="444"/>
  <c r="R47" i="444"/>
  <c r="T47" i="444" s="1"/>
  <c r="U47" i="444" s="1"/>
  <c r="G47" i="444"/>
  <c r="T46" i="444"/>
  <c r="U46" i="444" s="1"/>
  <c r="V46" i="444" s="1"/>
  <c r="W46" i="444" s="1"/>
  <c r="R46" i="444"/>
  <c r="S46" i="444" s="1"/>
  <c r="G46" i="444"/>
  <c r="T45" i="444"/>
  <c r="U45" i="444" s="1"/>
  <c r="S45" i="444"/>
  <c r="R45" i="444"/>
  <c r="G45" i="444"/>
  <c r="T44" i="444"/>
  <c r="U44" i="444" s="1"/>
  <c r="V44" i="444" s="1"/>
  <c r="W44" i="444" s="1"/>
  <c r="R44" i="444"/>
  <c r="S44" i="444" s="1"/>
  <c r="G44" i="444"/>
  <c r="R43" i="444"/>
  <c r="T43" i="444" s="1"/>
  <c r="U43" i="444" s="1"/>
  <c r="G43" i="444"/>
  <c r="R42" i="444"/>
  <c r="T42" i="444" s="1"/>
  <c r="U42" i="444" s="1"/>
  <c r="G42" i="444"/>
  <c r="R41" i="444"/>
  <c r="T41" i="444" s="1"/>
  <c r="U41" i="444" s="1"/>
  <c r="G41" i="444"/>
  <c r="R40" i="444"/>
  <c r="T40" i="444" s="1"/>
  <c r="U40" i="444" s="1"/>
  <c r="G40" i="444"/>
  <c r="R39" i="444"/>
  <c r="T39" i="444" s="1"/>
  <c r="U39" i="444" s="1"/>
  <c r="G39" i="444"/>
  <c r="R38" i="444"/>
  <c r="G38" i="444"/>
  <c r="R37" i="444"/>
  <c r="G37" i="444"/>
  <c r="T36" i="444"/>
  <c r="U36" i="444" s="1"/>
  <c r="S36" i="444"/>
  <c r="R36" i="444"/>
  <c r="G36" i="444"/>
  <c r="R35" i="444"/>
  <c r="T35" i="444" s="1"/>
  <c r="U35" i="444" s="1"/>
  <c r="G35" i="444"/>
  <c r="R34" i="444"/>
  <c r="T34" i="444" s="1"/>
  <c r="U34" i="444" s="1"/>
  <c r="G34" i="444"/>
  <c r="T33" i="444"/>
  <c r="U33" i="444" s="1"/>
  <c r="S33" i="444"/>
  <c r="R33" i="444"/>
  <c r="G33" i="444"/>
  <c r="R32" i="444"/>
  <c r="T32" i="444" s="1"/>
  <c r="U32" i="444" s="1"/>
  <c r="G32" i="444"/>
  <c r="R31" i="444"/>
  <c r="T31" i="444" s="1"/>
  <c r="U31" i="444" s="1"/>
  <c r="G31" i="444"/>
  <c r="R30" i="444"/>
  <c r="S30" i="444" s="1"/>
  <c r="G30" i="444"/>
  <c r="T29" i="444"/>
  <c r="U29" i="444" s="1"/>
  <c r="S29" i="444"/>
  <c r="R29" i="444"/>
  <c r="G29" i="444"/>
  <c r="R28" i="444"/>
  <c r="S28" i="444" s="1"/>
  <c r="G28" i="444"/>
  <c r="S27" i="444"/>
  <c r="R27" i="444"/>
  <c r="T27" i="444" s="1"/>
  <c r="U27" i="444" s="1"/>
  <c r="G27" i="444"/>
  <c r="T26" i="444"/>
  <c r="U26" i="444" s="1"/>
  <c r="R26" i="444"/>
  <c r="S26" i="444" s="1"/>
  <c r="G26" i="444"/>
  <c r="T25" i="444"/>
  <c r="U25" i="444" s="1"/>
  <c r="S25" i="444"/>
  <c r="R25" i="444"/>
  <c r="G25" i="444"/>
  <c r="T24" i="444"/>
  <c r="U24" i="444" s="1"/>
  <c r="V24" i="444" s="1"/>
  <c r="W24" i="444" s="1"/>
  <c r="R24" i="444"/>
  <c r="S24" i="444" s="1"/>
  <c r="G24" i="444"/>
  <c r="R23" i="444"/>
  <c r="T23" i="444" s="1"/>
  <c r="U23" i="444" s="1"/>
  <c r="G23" i="444"/>
  <c r="R22" i="444"/>
  <c r="S22" i="444" s="1"/>
  <c r="G22" i="444"/>
  <c r="R21" i="444"/>
  <c r="T21" i="444" s="1"/>
  <c r="U21" i="444" s="1"/>
  <c r="G21" i="444"/>
  <c r="R20" i="444"/>
  <c r="T20" i="444" s="1"/>
  <c r="U20" i="444" s="1"/>
  <c r="G20" i="444"/>
  <c r="R19" i="444"/>
  <c r="T19" i="444" s="1"/>
  <c r="U19" i="444" s="1"/>
  <c r="G19" i="444"/>
  <c r="R18" i="444"/>
  <c r="G18" i="444"/>
  <c r="R17" i="444"/>
  <c r="G17" i="444"/>
  <c r="T16" i="444"/>
  <c r="U16" i="444" s="1"/>
  <c r="S16" i="444"/>
  <c r="R16" i="444"/>
  <c r="G16" i="444"/>
  <c r="R15" i="444"/>
  <c r="T15" i="444" s="1"/>
  <c r="U15" i="444" s="1"/>
  <c r="G15" i="444"/>
  <c r="R14" i="444"/>
  <c r="T14" i="444" s="1"/>
  <c r="U14" i="444" s="1"/>
  <c r="G14" i="444"/>
  <c r="T13" i="444"/>
  <c r="U13" i="444" s="1"/>
  <c r="S13" i="444"/>
  <c r="R13" i="444"/>
  <c r="G13" i="444"/>
  <c r="R12" i="444"/>
  <c r="S12" i="444" s="1"/>
  <c r="G12" i="444"/>
  <c r="R11" i="444"/>
  <c r="T11" i="444" s="1"/>
  <c r="U11" i="444" s="1"/>
  <c r="G11" i="444"/>
  <c r="R10" i="444"/>
  <c r="S10" i="444" s="1"/>
  <c r="G10" i="444"/>
  <c r="T9" i="444"/>
  <c r="U9" i="444" s="1"/>
  <c r="S9" i="444"/>
  <c r="R9" i="444"/>
  <c r="G9" i="444"/>
  <c r="R8" i="444"/>
  <c r="T8" i="444" s="1"/>
  <c r="U8" i="444" s="1"/>
  <c r="G8" i="444"/>
  <c r="S7" i="444"/>
  <c r="R7" i="444"/>
  <c r="T7" i="444" s="1"/>
  <c r="U7" i="444" s="1"/>
  <c r="G7" i="444"/>
  <c r="T6" i="444"/>
  <c r="U6" i="444" s="1"/>
  <c r="V6" i="444" s="1"/>
  <c r="W6" i="444" s="1"/>
  <c r="S6" i="444"/>
  <c r="R6" i="444"/>
  <c r="G6" i="444"/>
  <c r="R5" i="444"/>
  <c r="S5" i="444" s="1"/>
  <c r="G5" i="444"/>
  <c r="T4" i="444"/>
  <c r="U4" i="444" s="1"/>
  <c r="R4" i="444"/>
  <c r="S4" i="444" s="1"/>
  <c r="G4" i="444"/>
  <c r="R3" i="444"/>
  <c r="T3" i="444" s="1"/>
  <c r="U3" i="444" s="1"/>
  <c r="G3" i="444"/>
  <c r="T2" i="444"/>
  <c r="U2" i="444" s="1"/>
  <c r="S2" i="444"/>
  <c r="R2" i="444"/>
  <c r="G2" i="444"/>
  <c r="C73" i="54"/>
  <c r="C72" i="54"/>
  <c r="C67" i="54"/>
  <c r="G54" i="54"/>
  <c r="E54" i="54"/>
  <c r="F53" i="54"/>
  <c r="F52" i="54"/>
  <c r="I51" i="54"/>
  <c r="H51" i="54"/>
  <c r="F54" i="54" l="1"/>
  <c r="V65" i="444"/>
  <c r="W65" i="444" s="1"/>
  <c r="V16" i="444"/>
  <c r="W16" i="444" s="1"/>
  <c r="V4" i="444"/>
  <c r="W4" i="444" s="1"/>
  <c r="V26" i="444"/>
  <c r="W26" i="444" s="1"/>
  <c r="V130" i="444"/>
  <c r="W130" i="444" s="1"/>
  <c r="V53" i="444"/>
  <c r="W53" i="444" s="1"/>
  <c r="V55" i="444"/>
  <c r="W55" i="444" s="1"/>
  <c r="V133" i="444"/>
  <c r="W133" i="444" s="1"/>
  <c r="V144" i="444"/>
  <c r="W144" i="444" s="1"/>
  <c r="V73" i="444"/>
  <c r="W73" i="444" s="1"/>
  <c r="V95" i="444"/>
  <c r="W95" i="444" s="1"/>
  <c r="V96" i="444"/>
  <c r="W96" i="444" s="1"/>
  <c r="V104" i="444"/>
  <c r="W104" i="444" s="1"/>
  <c r="V126" i="444"/>
  <c r="W126" i="444" s="1"/>
  <c r="V36" i="444"/>
  <c r="W36" i="444" s="1"/>
  <c r="V75" i="444"/>
  <c r="W75" i="444" s="1"/>
  <c r="V146" i="444"/>
  <c r="W146" i="444" s="1"/>
  <c r="V106" i="444"/>
  <c r="W106" i="444" s="1"/>
  <c r="V149" i="444"/>
  <c r="W149" i="444" s="1"/>
  <c r="V76" i="444"/>
  <c r="W76" i="444" s="1"/>
  <c r="V85" i="444"/>
  <c r="W85" i="444" s="1"/>
  <c r="V113" i="444"/>
  <c r="W113" i="444" s="1"/>
  <c r="V2" i="444"/>
  <c r="W2" i="444" s="1"/>
  <c r="V25" i="444"/>
  <c r="W25" i="444" s="1"/>
  <c r="V129" i="444"/>
  <c r="W129" i="444" s="1"/>
  <c r="V33" i="444"/>
  <c r="W33" i="444" s="1"/>
  <c r="V56" i="444"/>
  <c r="W56" i="444" s="1"/>
  <c r="V79" i="444"/>
  <c r="W79" i="444" s="1"/>
  <c r="V114" i="444"/>
  <c r="W114" i="444" s="1"/>
  <c r="V102" i="444"/>
  <c r="W102" i="444" s="1"/>
  <c r="V87" i="444"/>
  <c r="W87" i="444" s="1"/>
  <c r="V67" i="444"/>
  <c r="W67" i="444" s="1"/>
  <c r="V13" i="444"/>
  <c r="W13" i="444" s="1"/>
  <c r="V45" i="444"/>
  <c r="W45" i="444" s="1"/>
  <c r="V7" i="444"/>
  <c r="W7" i="444" s="1"/>
  <c r="V150" i="444"/>
  <c r="W150" i="444" s="1"/>
  <c r="V27" i="444"/>
  <c r="W27" i="444" s="1"/>
  <c r="V93" i="444"/>
  <c r="W93" i="444" s="1"/>
  <c r="V47" i="444"/>
  <c r="W47" i="444" s="1"/>
  <c r="S8" i="444"/>
  <c r="V8" i="444" s="1"/>
  <c r="W8" i="444" s="1"/>
  <c r="S32" i="444"/>
  <c r="V32" i="444" s="1"/>
  <c r="W32" i="444" s="1"/>
  <c r="T28" i="444"/>
  <c r="U28" i="444" s="1"/>
  <c r="V28" i="444" s="1"/>
  <c r="W28" i="444" s="1"/>
  <c r="T68" i="444"/>
  <c r="U68" i="444" s="1"/>
  <c r="V68" i="444" s="1"/>
  <c r="W68" i="444" s="1"/>
  <c r="T72" i="444"/>
  <c r="U72" i="444" s="1"/>
  <c r="V72" i="444" s="1"/>
  <c r="W72" i="444" s="1"/>
  <c r="T88" i="444"/>
  <c r="U88" i="444" s="1"/>
  <c r="V88" i="444" s="1"/>
  <c r="W88" i="444" s="1"/>
  <c r="T92" i="444"/>
  <c r="U92" i="444" s="1"/>
  <c r="V92" i="444" s="1"/>
  <c r="W92" i="444" s="1"/>
  <c r="T118" i="444"/>
  <c r="U118" i="444" s="1"/>
  <c r="S118" i="444"/>
  <c r="S135" i="444"/>
  <c r="T135" i="444"/>
  <c r="U135" i="444" s="1"/>
  <c r="V154" i="444"/>
  <c r="W154" i="444" s="1"/>
  <c r="S134" i="444"/>
  <c r="V134" i="444" s="1"/>
  <c r="W134" i="444" s="1"/>
  <c r="S105" i="444"/>
  <c r="V105" i="444" s="1"/>
  <c r="W105" i="444" s="1"/>
  <c r="T48" i="444"/>
  <c r="U48" i="444" s="1"/>
  <c r="V48" i="444" s="1"/>
  <c r="W48" i="444" s="1"/>
  <c r="T52" i="444"/>
  <c r="U52" i="444" s="1"/>
  <c r="V52" i="444" s="1"/>
  <c r="W52" i="444" s="1"/>
  <c r="T97" i="444"/>
  <c r="U97" i="444" s="1"/>
  <c r="S97" i="444"/>
  <c r="T5" i="444"/>
  <c r="U5" i="444" s="1"/>
  <c r="V5" i="444" s="1"/>
  <c r="W5" i="444" s="1"/>
  <c r="T12" i="444"/>
  <c r="U12" i="444" s="1"/>
  <c r="V12" i="444" s="1"/>
  <c r="W12" i="444" s="1"/>
  <c r="S77" i="444"/>
  <c r="T77" i="444"/>
  <c r="U77" i="444" s="1"/>
  <c r="S136" i="444"/>
  <c r="V136" i="444" s="1"/>
  <c r="W136" i="444" s="1"/>
  <c r="S155" i="444"/>
  <c r="T155" i="444"/>
  <c r="U155" i="444" s="1"/>
  <c r="V49" i="444"/>
  <c r="W49" i="444" s="1"/>
  <c r="V69" i="444"/>
  <c r="W69" i="444" s="1"/>
  <c r="V89" i="444"/>
  <c r="W89" i="444" s="1"/>
  <c r="T110" i="444"/>
  <c r="U110" i="444" s="1"/>
  <c r="V110" i="444" s="1"/>
  <c r="W110" i="444" s="1"/>
  <c r="S119" i="444"/>
  <c r="V119" i="444" s="1"/>
  <c r="W119" i="444" s="1"/>
  <c r="V131" i="444"/>
  <c r="W131" i="444" s="1"/>
  <c r="S62" i="444"/>
  <c r="V62" i="444" s="1"/>
  <c r="W62" i="444" s="1"/>
  <c r="T145" i="444"/>
  <c r="U145" i="444" s="1"/>
  <c r="S145" i="444"/>
  <c r="T37" i="444"/>
  <c r="U37" i="444" s="1"/>
  <c r="S37" i="444"/>
  <c r="S42" i="444"/>
  <c r="V42" i="444" s="1"/>
  <c r="W42" i="444" s="1"/>
  <c r="S82" i="444"/>
  <c r="V82" i="444" s="1"/>
  <c r="W82" i="444" s="1"/>
  <c r="T98" i="444"/>
  <c r="U98" i="444" s="1"/>
  <c r="S98" i="444"/>
  <c r="T18" i="444"/>
  <c r="U18" i="444" s="1"/>
  <c r="S18" i="444"/>
  <c r="T22" i="444"/>
  <c r="U22" i="444" s="1"/>
  <c r="V22" i="444" s="1"/>
  <c r="W22" i="444" s="1"/>
  <c r="T38" i="444"/>
  <c r="U38" i="444" s="1"/>
  <c r="S38" i="444"/>
  <c r="T58" i="444"/>
  <c r="U58" i="444" s="1"/>
  <c r="S58" i="444"/>
  <c r="T78" i="444"/>
  <c r="U78" i="444" s="1"/>
  <c r="S78" i="444"/>
  <c r="S142" i="444"/>
  <c r="V142" i="444" s="1"/>
  <c r="W142" i="444" s="1"/>
  <c r="T17" i="444"/>
  <c r="U17" i="444" s="1"/>
  <c r="S17" i="444"/>
  <c r="T57" i="444"/>
  <c r="U57" i="444" s="1"/>
  <c r="S57" i="444"/>
  <c r="V9" i="444"/>
  <c r="W9" i="444" s="1"/>
  <c r="V29" i="444"/>
  <c r="W29" i="444" s="1"/>
  <c r="S122" i="444"/>
  <c r="V122" i="444" s="1"/>
  <c r="W122" i="444" s="1"/>
  <c r="S115" i="444"/>
  <c r="V115" i="444" s="1"/>
  <c r="W115" i="444" s="1"/>
  <c r="S132" i="444"/>
  <c r="V132" i="444" s="1"/>
  <c r="W132" i="444" s="1"/>
  <c r="S137" i="444"/>
  <c r="T137" i="444"/>
  <c r="U137" i="444" s="1"/>
  <c r="V151" i="444"/>
  <c r="W151" i="444" s="1"/>
  <c r="T50" i="444"/>
  <c r="U50" i="444" s="1"/>
  <c r="V50" i="444" s="1"/>
  <c r="W50" i="444" s="1"/>
  <c r="V99" i="444"/>
  <c r="W99" i="444" s="1"/>
  <c r="V128" i="444"/>
  <c r="W128" i="444" s="1"/>
  <c r="S14" i="444"/>
  <c r="V14" i="444" s="1"/>
  <c r="W14" i="444" s="1"/>
  <c r="S19" i="444"/>
  <c r="V19" i="444" s="1"/>
  <c r="W19" i="444" s="1"/>
  <c r="S34" i="444"/>
  <c r="V34" i="444" s="1"/>
  <c r="W34" i="444" s="1"/>
  <c r="S39" i="444"/>
  <c r="V39" i="444" s="1"/>
  <c r="W39" i="444" s="1"/>
  <c r="S54" i="444"/>
  <c r="V54" i="444" s="1"/>
  <c r="W54" i="444" s="1"/>
  <c r="S59" i="444"/>
  <c r="V59" i="444" s="1"/>
  <c r="W59" i="444" s="1"/>
  <c r="S74" i="444"/>
  <c r="V74" i="444" s="1"/>
  <c r="W74" i="444" s="1"/>
  <c r="S94" i="444"/>
  <c r="V94" i="444" s="1"/>
  <c r="W94" i="444" s="1"/>
  <c r="V111" i="444"/>
  <c r="W111" i="444" s="1"/>
  <c r="S116" i="444"/>
  <c r="V116" i="444" s="1"/>
  <c r="W116" i="444" s="1"/>
  <c r="S152" i="444"/>
  <c r="V152" i="444" s="1"/>
  <c r="W152" i="444" s="1"/>
  <c r="V109" i="444"/>
  <c r="W109" i="444" s="1"/>
  <c r="T30" i="444"/>
  <c r="U30" i="444" s="1"/>
  <c r="V30" i="444" s="1"/>
  <c r="W30" i="444" s="1"/>
  <c r="S15" i="444"/>
  <c r="V15" i="444" s="1"/>
  <c r="W15" i="444" s="1"/>
  <c r="V148" i="444"/>
  <c r="W148" i="444" s="1"/>
  <c r="S112" i="444"/>
  <c r="V112" i="444" s="1"/>
  <c r="W112" i="444" s="1"/>
  <c r="S125" i="444"/>
  <c r="V125" i="444" s="1"/>
  <c r="W125" i="444" s="1"/>
  <c r="T10" i="444"/>
  <c r="U10" i="444" s="1"/>
  <c r="V10" i="444" s="1"/>
  <c r="W10" i="444" s="1"/>
  <c r="S35" i="444"/>
  <c r="V35" i="444" s="1"/>
  <c r="W35" i="444" s="1"/>
  <c r="S139" i="444"/>
  <c r="V139" i="444" s="1"/>
  <c r="W139" i="444" s="1"/>
  <c r="S11" i="444"/>
  <c r="V11" i="444" s="1"/>
  <c r="W11" i="444" s="1"/>
  <c r="S31" i="444"/>
  <c r="V31" i="444" s="1"/>
  <c r="W31" i="444" s="1"/>
  <c r="S51" i="444"/>
  <c r="V51" i="444" s="1"/>
  <c r="W51" i="444" s="1"/>
  <c r="S71" i="444"/>
  <c r="V71" i="444" s="1"/>
  <c r="W71" i="444" s="1"/>
  <c r="S91" i="444"/>
  <c r="V91" i="444" s="1"/>
  <c r="W91" i="444" s="1"/>
  <c r="T108" i="444"/>
  <c r="U108" i="444" s="1"/>
  <c r="V108" i="444" s="1"/>
  <c r="W108" i="444" s="1"/>
  <c r="T117" i="444"/>
  <c r="U117" i="444" s="1"/>
  <c r="S117" i="444"/>
  <c r="V159" i="444"/>
  <c r="W159" i="444" s="1"/>
  <c r="S138" i="444"/>
  <c r="V138" i="444" s="1"/>
  <c r="W138" i="444" s="1"/>
  <c r="S158" i="444"/>
  <c r="V158" i="444" s="1"/>
  <c r="W158" i="444" s="1"/>
  <c r="S61" i="444"/>
  <c r="V61" i="444" s="1"/>
  <c r="W61" i="444" s="1"/>
  <c r="S81" i="444"/>
  <c r="V81" i="444" s="1"/>
  <c r="W81" i="444" s="1"/>
  <c r="S101" i="444"/>
  <c r="V101" i="444" s="1"/>
  <c r="W101" i="444" s="1"/>
  <c r="S121" i="444"/>
  <c r="V121" i="444" s="1"/>
  <c r="W121" i="444" s="1"/>
  <c r="S141" i="444"/>
  <c r="V141" i="444" s="1"/>
  <c r="W141" i="444" s="1"/>
  <c r="S161" i="444"/>
  <c r="V161" i="444" s="1"/>
  <c r="W161" i="444" s="1"/>
  <c r="S21" i="444"/>
  <c r="V21" i="444" s="1"/>
  <c r="W21" i="444" s="1"/>
  <c r="S41" i="444"/>
  <c r="V41" i="444" s="1"/>
  <c r="W41" i="444" s="1"/>
  <c r="S164" i="444"/>
  <c r="V164" i="444" s="1"/>
  <c r="W164" i="444" s="1"/>
  <c r="S162" i="444"/>
  <c r="V162" i="444" s="1"/>
  <c r="W162" i="444" s="1"/>
  <c r="S165" i="444"/>
  <c r="V165" i="444" s="1"/>
  <c r="W165" i="444" s="1"/>
  <c r="S157" i="444"/>
  <c r="V157" i="444" s="1"/>
  <c r="W157" i="444" s="1"/>
  <c r="S20" i="444"/>
  <c r="V20" i="444" s="1"/>
  <c r="W20" i="444" s="1"/>
  <c r="S40" i="444"/>
  <c r="V40" i="444" s="1"/>
  <c r="W40" i="444" s="1"/>
  <c r="S60" i="444"/>
  <c r="V60" i="444" s="1"/>
  <c r="W60" i="444" s="1"/>
  <c r="S100" i="444"/>
  <c r="V100" i="444" s="1"/>
  <c r="W100" i="444" s="1"/>
  <c r="S120" i="444"/>
  <c r="V120" i="444" s="1"/>
  <c r="W120" i="444" s="1"/>
  <c r="S140" i="444"/>
  <c r="V140" i="444" s="1"/>
  <c r="W140" i="444" s="1"/>
  <c r="S160" i="444"/>
  <c r="V160" i="444" s="1"/>
  <c r="W160" i="444" s="1"/>
  <c r="S3" i="444"/>
  <c r="V3" i="444" s="1"/>
  <c r="W3" i="444" s="1"/>
  <c r="S23" i="444"/>
  <c r="V23" i="444" s="1"/>
  <c r="W23" i="444" s="1"/>
  <c r="S43" i="444"/>
  <c r="V43" i="444" s="1"/>
  <c r="W43" i="444" s="1"/>
  <c r="S63" i="444"/>
  <c r="V63" i="444" s="1"/>
  <c r="W63" i="444" s="1"/>
  <c r="T80" i="444"/>
  <c r="U80" i="444" s="1"/>
  <c r="V80" i="444" s="1"/>
  <c r="W80" i="444" s="1"/>
  <c r="S83" i="444"/>
  <c r="V83" i="444" s="1"/>
  <c r="W83" i="444" s="1"/>
  <c r="S103" i="444"/>
  <c r="V103" i="444" s="1"/>
  <c r="W103" i="444" s="1"/>
  <c r="S123" i="444"/>
  <c r="V123" i="444" s="1"/>
  <c r="W123" i="444" s="1"/>
  <c r="S143" i="444"/>
  <c r="V143" i="444" s="1"/>
  <c r="W143" i="444" s="1"/>
  <c r="S163" i="444"/>
  <c r="V163" i="444" s="1"/>
  <c r="W163" i="444" s="1"/>
  <c r="H53" i="54"/>
  <c r="C43" i="54"/>
  <c r="C45" i="54" s="1"/>
  <c r="D45" i="54" s="1"/>
  <c r="F41" i="54"/>
  <c r="C36" i="54"/>
  <c r="C38" i="54" s="1"/>
  <c r="D38" i="54" s="1"/>
  <c r="I31" i="54"/>
  <c r="I30" i="54"/>
  <c r="I32" i="54" s="1"/>
  <c r="C29" i="54"/>
  <c r="C31" i="54" s="1"/>
  <c r="D31" i="54" s="1"/>
  <c r="E23" i="54"/>
  <c r="I22" i="54"/>
  <c r="K21" i="54"/>
  <c r="K19" i="54"/>
  <c r="E18" i="54"/>
  <c r="E17" i="54"/>
  <c r="G14" i="54"/>
  <c r="H14" i="54" s="1"/>
  <c r="G13" i="54"/>
  <c r="H13" i="54" s="1"/>
  <c r="G12" i="54"/>
  <c r="H12" i="54" s="1"/>
  <c r="G11" i="54"/>
  <c r="H11" i="54" s="1"/>
  <c r="H10" i="54"/>
  <c r="G10" i="54"/>
  <c r="G9" i="54"/>
  <c r="H9" i="54" s="1"/>
  <c r="C3" i="54"/>
  <c r="D3" i="54" s="1"/>
  <c r="D2" i="54"/>
  <c r="B2" i="383"/>
  <c r="B3" i="383" s="1"/>
  <c r="E151" i="415"/>
  <c r="D151" i="415"/>
  <c r="C151" i="415"/>
  <c r="E150" i="415"/>
  <c r="D150" i="415"/>
  <c r="C150" i="415"/>
  <c r="E149" i="415"/>
  <c r="D149" i="415"/>
  <c r="C149" i="415"/>
  <c r="E148" i="415"/>
  <c r="D148" i="415"/>
  <c r="C148" i="415"/>
  <c r="E147" i="415"/>
  <c r="D147" i="415"/>
  <c r="C147" i="415"/>
  <c r="E146" i="415"/>
  <c r="D146" i="415"/>
  <c r="C146" i="415"/>
  <c r="E145" i="415"/>
  <c r="D145" i="415"/>
  <c r="C145" i="415"/>
  <c r="E144" i="415"/>
  <c r="D144" i="415"/>
  <c r="C144" i="415"/>
  <c r="E143" i="415"/>
  <c r="D143" i="415"/>
  <c r="C143" i="415"/>
  <c r="E142" i="415"/>
  <c r="D142" i="415"/>
  <c r="C142" i="415"/>
  <c r="E141" i="415"/>
  <c r="D141" i="415"/>
  <c r="C141" i="415"/>
  <c r="E140" i="415"/>
  <c r="D140" i="415"/>
  <c r="C140" i="415"/>
  <c r="E139" i="415"/>
  <c r="D139" i="415"/>
  <c r="C139" i="415"/>
  <c r="E138" i="415"/>
  <c r="D138" i="415"/>
  <c r="C138" i="415"/>
  <c r="E137" i="415"/>
  <c r="D137" i="415"/>
  <c r="C137" i="415"/>
  <c r="E136" i="415"/>
  <c r="D136" i="415"/>
  <c r="C136" i="415"/>
  <c r="E135" i="415"/>
  <c r="D135" i="415"/>
  <c r="C135" i="415"/>
  <c r="E134" i="415"/>
  <c r="D134" i="415"/>
  <c r="C134" i="415"/>
  <c r="E133" i="415"/>
  <c r="D133" i="415"/>
  <c r="C133" i="415"/>
  <c r="E132" i="415"/>
  <c r="D132" i="415"/>
  <c r="C132" i="415"/>
  <c r="E131" i="415"/>
  <c r="D131" i="415"/>
  <c r="C131" i="415"/>
  <c r="E130" i="415"/>
  <c r="D130" i="415"/>
  <c r="C130" i="415"/>
  <c r="E129" i="415"/>
  <c r="D129" i="415"/>
  <c r="C129" i="415"/>
  <c r="E128" i="415"/>
  <c r="D128" i="415"/>
  <c r="C128" i="415"/>
  <c r="E127" i="415"/>
  <c r="D127" i="415"/>
  <c r="C127" i="415"/>
  <c r="E126" i="415"/>
  <c r="D126" i="415"/>
  <c r="C126" i="415"/>
  <c r="E125" i="415"/>
  <c r="D125" i="415"/>
  <c r="C125" i="415"/>
  <c r="E124" i="415"/>
  <c r="D124" i="415"/>
  <c r="C124" i="415"/>
  <c r="E123" i="415"/>
  <c r="D123" i="415"/>
  <c r="C123" i="415"/>
  <c r="E122" i="415"/>
  <c r="D122" i="415"/>
  <c r="C122" i="415"/>
  <c r="E121" i="415"/>
  <c r="D121" i="415"/>
  <c r="C121" i="415"/>
  <c r="E120" i="415"/>
  <c r="D120" i="415"/>
  <c r="C120" i="415"/>
  <c r="E119" i="415"/>
  <c r="D119" i="415"/>
  <c r="C119" i="415"/>
  <c r="E118" i="415"/>
  <c r="D118" i="415"/>
  <c r="C118" i="415"/>
  <c r="E117" i="415"/>
  <c r="D117" i="415"/>
  <c r="C117" i="415"/>
  <c r="E116" i="415"/>
  <c r="D116" i="415"/>
  <c r="C116" i="415"/>
  <c r="E115" i="415"/>
  <c r="D115" i="415"/>
  <c r="C115" i="415"/>
  <c r="E114" i="415"/>
  <c r="D114" i="415"/>
  <c r="C114" i="415"/>
  <c r="E113" i="415"/>
  <c r="D113" i="415"/>
  <c r="C113" i="415"/>
  <c r="E112" i="415"/>
  <c r="D112" i="415"/>
  <c r="C112" i="415"/>
  <c r="E111" i="415"/>
  <c r="D111" i="415"/>
  <c r="C111" i="415"/>
  <c r="E110" i="415"/>
  <c r="D110" i="415"/>
  <c r="C110" i="415"/>
  <c r="E109" i="415"/>
  <c r="D109" i="415"/>
  <c r="C109" i="415"/>
  <c r="E108" i="415"/>
  <c r="D108" i="415"/>
  <c r="C108" i="415"/>
  <c r="E107" i="415"/>
  <c r="D107" i="415"/>
  <c r="C107" i="415"/>
  <c r="E106" i="415"/>
  <c r="D106" i="415"/>
  <c r="C106" i="415"/>
  <c r="E105" i="415"/>
  <c r="D105" i="415"/>
  <c r="C105" i="415"/>
  <c r="E104" i="415"/>
  <c r="D104" i="415"/>
  <c r="C104" i="415"/>
  <c r="E103" i="415"/>
  <c r="D103" i="415"/>
  <c r="C103" i="415"/>
  <c r="E102" i="415"/>
  <c r="D102" i="415"/>
  <c r="C102" i="415"/>
  <c r="E101" i="415"/>
  <c r="D101" i="415"/>
  <c r="C101" i="415"/>
  <c r="E100" i="415"/>
  <c r="D100" i="415"/>
  <c r="C100" i="415"/>
  <c r="E99" i="415"/>
  <c r="D99" i="415"/>
  <c r="C99" i="415"/>
  <c r="E98" i="415"/>
  <c r="D98" i="415"/>
  <c r="C98" i="415"/>
  <c r="E97" i="415"/>
  <c r="D97" i="415"/>
  <c r="C97" i="415"/>
  <c r="E96" i="415"/>
  <c r="D96" i="415"/>
  <c r="C96" i="415"/>
  <c r="E95" i="415"/>
  <c r="D95" i="415"/>
  <c r="C95" i="415"/>
  <c r="E94" i="415"/>
  <c r="D94" i="415"/>
  <c r="C94" i="415"/>
  <c r="E93" i="415"/>
  <c r="D93" i="415"/>
  <c r="C93" i="415"/>
  <c r="E92" i="415"/>
  <c r="D92" i="415"/>
  <c r="C92" i="415"/>
  <c r="E91" i="415"/>
  <c r="D91" i="415"/>
  <c r="C91" i="415"/>
  <c r="E90" i="415"/>
  <c r="D90" i="415"/>
  <c r="C90" i="415"/>
  <c r="E89" i="415"/>
  <c r="D89" i="415"/>
  <c r="C89" i="415"/>
  <c r="E88" i="415"/>
  <c r="D88" i="415"/>
  <c r="C88" i="415"/>
  <c r="E87" i="415"/>
  <c r="D87" i="415"/>
  <c r="C87" i="415"/>
  <c r="E86" i="415"/>
  <c r="D86" i="415"/>
  <c r="C86" i="415"/>
  <c r="E85" i="415"/>
  <c r="D85" i="415"/>
  <c r="C85" i="415"/>
  <c r="E84" i="415"/>
  <c r="D84" i="415"/>
  <c r="C84" i="415"/>
  <c r="E83" i="415"/>
  <c r="D83" i="415"/>
  <c r="C83" i="415"/>
  <c r="E82" i="415"/>
  <c r="D82" i="415"/>
  <c r="C82" i="415"/>
  <c r="E81" i="415"/>
  <c r="D81" i="415"/>
  <c r="C81" i="415"/>
  <c r="E80" i="415"/>
  <c r="D80" i="415"/>
  <c r="C80" i="415"/>
  <c r="E79" i="415"/>
  <c r="D79" i="415"/>
  <c r="C79" i="415"/>
  <c r="E78" i="415"/>
  <c r="D78" i="415"/>
  <c r="C78" i="415"/>
  <c r="E77" i="415"/>
  <c r="D77" i="415"/>
  <c r="C77" i="415"/>
  <c r="E76" i="415"/>
  <c r="D76" i="415"/>
  <c r="C76" i="415"/>
  <c r="E75" i="415"/>
  <c r="D75" i="415"/>
  <c r="C75" i="415"/>
  <c r="E74" i="415"/>
  <c r="D74" i="415"/>
  <c r="C74" i="415"/>
  <c r="E73" i="415"/>
  <c r="D73" i="415"/>
  <c r="C73" i="415"/>
  <c r="E72" i="415"/>
  <c r="D72" i="415"/>
  <c r="C72" i="415"/>
  <c r="E71" i="415"/>
  <c r="D71" i="415"/>
  <c r="C71" i="415"/>
  <c r="E70" i="415"/>
  <c r="D70" i="415"/>
  <c r="C70" i="415"/>
  <c r="E69" i="415"/>
  <c r="D69" i="415"/>
  <c r="C69" i="415"/>
  <c r="E68" i="415"/>
  <c r="D68" i="415"/>
  <c r="C68" i="415"/>
  <c r="E67" i="415"/>
  <c r="D67" i="415"/>
  <c r="C67" i="415"/>
  <c r="E66" i="415"/>
  <c r="D66" i="415"/>
  <c r="C66" i="415"/>
  <c r="E65" i="415"/>
  <c r="D65" i="415"/>
  <c r="C65" i="415"/>
  <c r="E64" i="415"/>
  <c r="D64" i="415"/>
  <c r="C64" i="415"/>
  <c r="E63" i="415"/>
  <c r="D63" i="415"/>
  <c r="C63" i="415"/>
  <c r="E62" i="415"/>
  <c r="D62" i="415"/>
  <c r="C62" i="415"/>
  <c r="E61" i="415"/>
  <c r="D61" i="415"/>
  <c r="C61" i="415"/>
  <c r="E60" i="415"/>
  <c r="D60" i="415"/>
  <c r="C60" i="415"/>
  <c r="E59" i="415"/>
  <c r="D59" i="415"/>
  <c r="C59" i="415"/>
  <c r="E58" i="415"/>
  <c r="D58" i="415"/>
  <c r="C58" i="415"/>
  <c r="E57" i="415"/>
  <c r="D57" i="415"/>
  <c r="C57" i="415"/>
  <c r="E56" i="415"/>
  <c r="D56" i="415"/>
  <c r="C56" i="415"/>
  <c r="E55" i="415"/>
  <c r="D55" i="415"/>
  <c r="C55" i="415"/>
  <c r="D45" i="415"/>
  <c r="C45" i="415"/>
  <c r="D44" i="415"/>
  <c r="C44" i="415"/>
  <c r="E44" i="415" s="1"/>
  <c r="D43" i="415"/>
  <c r="C43" i="415"/>
  <c r="E43" i="415" s="1"/>
  <c r="D42" i="415"/>
  <c r="C42" i="415"/>
  <c r="D17" i="415"/>
  <c r="C17" i="415"/>
  <c r="E17" i="415" s="1"/>
  <c r="D16" i="415"/>
  <c r="C16" i="415"/>
  <c r="D15" i="415"/>
  <c r="C15" i="415"/>
  <c r="E15" i="415" s="1"/>
  <c r="D14" i="415"/>
  <c r="C14" i="415"/>
  <c r="D13" i="415"/>
  <c r="C13" i="415"/>
  <c r="E13" i="415" s="1"/>
  <c r="D12" i="415"/>
  <c r="C12" i="415"/>
  <c r="D11" i="415"/>
  <c r="C11" i="415"/>
  <c r="D10" i="415"/>
  <c r="C10" i="415"/>
  <c r="O512" i="414"/>
  <c r="N512" i="414"/>
  <c r="M512" i="414"/>
  <c r="L512" i="414"/>
  <c r="K512" i="414"/>
  <c r="O511" i="414"/>
  <c r="N511" i="414"/>
  <c r="M511" i="414"/>
  <c r="L511" i="414"/>
  <c r="K511" i="414"/>
  <c r="O510" i="414"/>
  <c r="N510" i="414"/>
  <c r="M510" i="414"/>
  <c r="L510" i="414"/>
  <c r="K510" i="414"/>
  <c r="O509" i="414"/>
  <c r="N509" i="414"/>
  <c r="M509" i="414"/>
  <c r="L509" i="414"/>
  <c r="K509" i="414"/>
  <c r="O508" i="414"/>
  <c r="N508" i="414"/>
  <c r="M508" i="414"/>
  <c r="L508" i="414"/>
  <c r="K508" i="414"/>
  <c r="O507" i="414"/>
  <c r="N507" i="414"/>
  <c r="M507" i="414"/>
  <c r="L507" i="414"/>
  <c r="K507" i="414"/>
  <c r="O506" i="414"/>
  <c r="N506" i="414"/>
  <c r="M506" i="414"/>
  <c r="L506" i="414"/>
  <c r="K506" i="414"/>
  <c r="O505" i="414"/>
  <c r="N505" i="414"/>
  <c r="M505" i="414"/>
  <c r="L505" i="414"/>
  <c r="K505" i="414"/>
  <c r="O504" i="414"/>
  <c r="N504" i="414"/>
  <c r="M504" i="414"/>
  <c r="L504" i="414"/>
  <c r="K504" i="414"/>
  <c r="O503" i="414"/>
  <c r="N503" i="414"/>
  <c r="M503" i="414"/>
  <c r="L503" i="414"/>
  <c r="K503" i="414"/>
  <c r="O502" i="414"/>
  <c r="N502" i="414"/>
  <c r="M502" i="414"/>
  <c r="L502" i="414"/>
  <c r="K502" i="414"/>
  <c r="O501" i="414"/>
  <c r="N501" i="414"/>
  <c r="M501" i="414"/>
  <c r="L501" i="414"/>
  <c r="K501" i="414"/>
  <c r="O500" i="414"/>
  <c r="N500" i="414"/>
  <c r="M500" i="414"/>
  <c r="L500" i="414"/>
  <c r="K500" i="414"/>
  <c r="O499" i="414"/>
  <c r="N499" i="414"/>
  <c r="M499" i="414"/>
  <c r="L499" i="414"/>
  <c r="K499" i="414"/>
  <c r="O498" i="414"/>
  <c r="N498" i="414"/>
  <c r="M498" i="414"/>
  <c r="L498" i="414"/>
  <c r="K498" i="414"/>
  <c r="O497" i="414"/>
  <c r="N497" i="414"/>
  <c r="M497" i="414"/>
  <c r="L497" i="414"/>
  <c r="K497" i="414"/>
  <c r="O496" i="414"/>
  <c r="N496" i="414"/>
  <c r="M496" i="414"/>
  <c r="L496" i="414"/>
  <c r="K496" i="414"/>
  <c r="O495" i="414"/>
  <c r="N495" i="414"/>
  <c r="M495" i="414"/>
  <c r="L495" i="414"/>
  <c r="K495" i="414"/>
  <c r="O494" i="414"/>
  <c r="N494" i="414"/>
  <c r="M494" i="414"/>
  <c r="L494" i="414"/>
  <c r="K494" i="414"/>
  <c r="O493" i="414"/>
  <c r="N493" i="414"/>
  <c r="M493" i="414"/>
  <c r="L493" i="414"/>
  <c r="K493" i="414"/>
  <c r="O492" i="414"/>
  <c r="N492" i="414"/>
  <c r="M492" i="414"/>
  <c r="L492" i="414"/>
  <c r="K492" i="414"/>
  <c r="O491" i="414"/>
  <c r="N491" i="414"/>
  <c r="M491" i="414"/>
  <c r="L491" i="414"/>
  <c r="K491" i="414"/>
  <c r="O490" i="414"/>
  <c r="N490" i="414"/>
  <c r="M490" i="414"/>
  <c r="L490" i="414"/>
  <c r="K490" i="414"/>
  <c r="O489" i="414"/>
  <c r="N489" i="414"/>
  <c r="M489" i="414"/>
  <c r="L489" i="414"/>
  <c r="K489" i="414"/>
  <c r="O488" i="414"/>
  <c r="N488" i="414"/>
  <c r="M488" i="414"/>
  <c r="L488" i="414"/>
  <c r="K488" i="414"/>
  <c r="O487" i="414"/>
  <c r="N487" i="414"/>
  <c r="M487" i="414"/>
  <c r="L487" i="414"/>
  <c r="K487" i="414"/>
  <c r="O486" i="414"/>
  <c r="N486" i="414"/>
  <c r="M486" i="414"/>
  <c r="L486" i="414"/>
  <c r="K486" i="414"/>
  <c r="O485" i="414"/>
  <c r="N485" i="414"/>
  <c r="M485" i="414"/>
  <c r="L485" i="414"/>
  <c r="K485" i="414"/>
  <c r="O484" i="414"/>
  <c r="N484" i="414"/>
  <c r="M484" i="414"/>
  <c r="L484" i="414"/>
  <c r="K484" i="414"/>
  <c r="O483" i="414"/>
  <c r="N483" i="414"/>
  <c r="M483" i="414"/>
  <c r="L483" i="414"/>
  <c r="K483" i="414"/>
  <c r="O482" i="414"/>
  <c r="N482" i="414"/>
  <c r="M482" i="414"/>
  <c r="L482" i="414"/>
  <c r="K482" i="414"/>
  <c r="O481" i="414"/>
  <c r="N481" i="414"/>
  <c r="M481" i="414"/>
  <c r="L481" i="414"/>
  <c r="K481" i="414"/>
  <c r="O480" i="414"/>
  <c r="N480" i="414"/>
  <c r="M480" i="414"/>
  <c r="L480" i="414"/>
  <c r="K480" i="414"/>
  <c r="O479" i="414"/>
  <c r="N479" i="414"/>
  <c r="M479" i="414"/>
  <c r="L479" i="414"/>
  <c r="K479" i="414"/>
  <c r="O478" i="414"/>
  <c r="N478" i="414"/>
  <c r="M478" i="414"/>
  <c r="L478" i="414"/>
  <c r="K478" i="414"/>
  <c r="O477" i="414"/>
  <c r="N477" i="414"/>
  <c r="M477" i="414"/>
  <c r="L477" i="414"/>
  <c r="K477" i="414"/>
  <c r="O476" i="414"/>
  <c r="N476" i="414"/>
  <c r="M476" i="414"/>
  <c r="L476" i="414"/>
  <c r="K476" i="414"/>
  <c r="O475" i="414"/>
  <c r="N475" i="414"/>
  <c r="M475" i="414"/>
  <c r="L475" i="414"/>
  <c r="K475" i="414"/>
  <c r="O474" i="414"/>
  <c r="N474" i="414"/>
  <c r="M474" i="414"/>
  <c r="L474" i="414"/>
  <c r="K474" i="414"/>
  <c r="O473" i="414"/>
  <c r="N473" i="414"/>
  <c r="M473" i="414"/>
  <c r="L473" i="414"/>
  <c r="K473" i="414"/>
  <c r="O472" i="414"/>
  <c r="N472" i="414"/>
  <c r="M472" i="414"/>
  <c r="L472" i="414"/>
  <c r="K472" i="414"/>
  <c r="O471" i="414"/>
  <c r="N471" i="414"/>
  <c r="M471" i="414"/>
  <c r="L471" i="414"/>
  <c r="K471" i="414"/>
  <c r="O470" i="414"/>
  <c r="N470" i="414"/>
  <c r="M470" i="414"/>
  <c r="L470" i="414"/>
  <c r="K470" i="414"/>
  <c r="O469" i="414"/>
  <c r="N469" i="414"/>
  <c r="M469" i="414"/>
  <c r="L469" i="414"/>
  <c r="K469" i="414"/>
  <c r="O468" i="414"/>
  <c r="N468" i="414"/>
  <c r="M468" i="414"/>
  <c r="L468" i="414"/>
  <c r="K468" i="414"/>
  <c r="O467" i="414"/>
  <c r="N467" i="414"/>
  <c r="M467" i="414"/>
  <c r="L467" i="414"/>
  <c r="K467" i="414"/>
  <c r="O466" i="414"/>
  <c r="N466" i="414"/>
  <c r="M466" i="414"/>
  <c r="L466" i="414"/>
  <c r="K466" i="414"/>
  <c r="O465" i="414"/>
  <c r="N465" i="414"/>
  <c r="M465" i="414"/>
  <c r="L465" i="414"/>
  <c r="K465" i="414"/>
  <c r="O464" i="414"/>
  <c r="N464" i="414"/>
  <c r="M464" i="414"/>
  <c r="L464" i="414"/>
  <c r="K464" i="414"/>
  <c r="O463" i="414"/>
  <c r="N463" i="414"/>
  <c r="M463" i="414"/>
  <c r="L463" i="414"/>
  <c r="K463" i="414"/>
  <c r="O462" i="414"/>
  <c r="N462" i="414"/>
  <c r="M462" i="414"/>
  <c r="L462" i="414"/>
  <c r="K462" i="414"/>
  <c r="O461" i="414"/>
  <c r="N461" i="414"/>
  <c r="M461" i="414"/>
  <c r="L461" i="414"/>
  <c r="K461" i="414"/>
  <c r="O460" i="414"/>
  <c r="N460" i="414"/>
  <c r="M460" i="414"/>
  <c r="L460" i="414"/>
  <c r="K460" i="414"/>
  <c r="O459" i="414"/>
  <c r="N459" i="414"/>
  <c r="M459" i="414"/>
  <c r="L459" i="414"/>
  <c r="K459" i="414"/>
  <c r="O458" i="414"/>
  <c r="N458" i="414"/>
  <c r="M458" i="414"/>
  <c r="L458" i="414"/>
  <c r="K458" i="414"/>
  <c r="O457" i="414"/>
  <c r="N457" i="414"/>
  <c r="M457" i="414"/>
  <c r="L457" i="414"/>
  <c r="K457" i="414"/>
  <c r="O456" i="414"/>
  <c r="N456" i="414"/>
  <c r="M456" i="414"/>
  <c r="L456" i="414"/>
  <c r="K456" i="414"/>
  <c r="O455" i="414"/>
  <c r="N455" i="414"/>
  <c r="M455" i="414"/>
  <c r="L455" i="414"/>
  <c r="K455" i="414"/>
  <c r="O454" i="414"/>
  <c r="N454" i="414"/>
  <c r="M454" i="414"/>
  <c r="L454" i="414"/>
  <c r="K454" i="414"/>
  <c r="O453" i="414"/>
  <c r="N453" i="414"/>
  <c r="M453" i="414"/>
  <c r="L453" i="414"/>
  <c r="K453" i="414"/>
  <c r="O452" i="414"/>
  <c r="N452" i="414"/>
  <c r="M452" i="414"/>
  <c r="L452" i="414"/>
  <c r="K452" i="414"/>
  <c r="O451" i="414"/>
  <c r="N451" i="414"/>
  <c r="M451" i="414"/>
  <c r="L451" i="414"/>
  <c r="K451" i="414"/>
  <c r="O450" i="414"/>
  <c r="N450" i="414"/>
  <c r="M450" i="414"/>
  <c r="L450" i="414"/>
  <c r="K450" i="414"/>
  <c r="O449" i="414"/>
  <c r="N449" i="414"/>
  <c r="M449" i="414"/>
  <c r="L449" i="414"/>
  <c r="K449" i="414"/>
  <c r="O448" i="414"/>
  <c r="N448" i="414"/>
  <c r="M448" i="414"/>
  <c r="L448" i="414"/>
  <c r="K448" i="414"/>
  <c r="O447" i="414"/>
  <c r="N447" i="414"/>
  <c r="M447" i="414"/>
  <c r="L447" i="414"/>
  <c r="K447" i="414"/>
  <c r="O446" i="414"/>
  <c r="N446" i="414"/>
  <c r="M446" i="414"/>
  <c r="L446" i="414"/>
  <c r="K446" i="414"/>
  <c r="O445" i="414"/>
  <c r="N445" i="414"/>
  <c r="M445" i="414"/>
  <c r="L445" i="414"/>
  <c r="K445" i="414"/>
  <c r="O444" i="414"/>
  <c r="N444" i="414"/>
  <c r="M444" i="414"/>
  <c r="L444" i="414"/>
  <c r="K444" i="414"/>
  <c r="O443" i="414"/>
  <c r="N443" i="414"/>
  <c r="M443" i="414"/>
  <c r="L443" i="414"/>
  <c r="K443" i="414"/>
  <c r="O442" i="414"/>
  <c r="N442" i="414"/>
  <c r="M442" i="414"/>
  <c r="L442" i="414"/>
  <c r="K442" i="414"/>
  <c r="O441" i="414"/>
  <c r="N441" i="414"/>
  <c r="M441" i="414"/>
  <c r="L441" i="414"/>
  <c r="K441" i="414"/>
  <c r="O440" i="414"/>
  <c r="N440" i="414"/>
  <c r="M440" i="414"/>
  <c r="L440" i="414"/>
  <c r="K440" i="414"/>
  <c r="O439" i="414"/>
  <c r="N439" i="414"/>
  <c r="M439" i="414"/>
  <c r="L439" i="414"/>
  <c r="K439" i="414"/>
  <c r="O438" i="414"/>
  <c r="N438" i="414"/>
  <c r="M438" i="414"/>
  <c r="L438" i="414"/>
  <c r="K438" i="414"/>
  <c r="O437" i="414"/>
  <c r="N437" i="414"/>
  <c r="M437" i="414"/>
  <c r="L437" i="414"/>
  <c r="K437" i="414"/>
  <c r="O436" i="414"/>
  <c r="N436" i="414"/>
  <c r="M436" i="414"/>
  <c r="L436" i="414"/>
  <c r="K436" i="414"/>
  <c r="O435" i="414"/>
  <c r="N435" i="414"/>
  <c r="M435" i="414"/>
  <c r="L435" i="414"/>
  <c r="K435" i="414"/>
  <c r="O434" i="414"/>
  <c r="N434" i="414"/>
  <c r="M434" i="414"/>
  <c r="L434" i="414"/>
  <c r="K434" i="414"/>
  <c r="O433" i="414"/>
  <c r="N433" i="414"/>
  <c r="M433" i="414"/>
  <c r="L433" i="414"/>
  <c r="K433" i="414"/>
  <c r="O432" i="414"/>
  <c r="N432" i="414"/>
  <c r="M432" i="414"/>
  <c r="L432" i="414"/>
  <c r="K432" i="414"/>
  <c r="O431" i="414"/>
  <c r="N431" i="414"/>
  <c r="M431" i="414"/>
  <c r="L431" i="414"/>
  <c r="K431" i="414"/>
  <c r="O430" i="414"/>
  <c r="N430" i="414"/>
  <c r="M430" i="414"/>
  <c r="L430" i="414"/>
  <c r="K430" i="414"/>
  <c r="O429" i="414"/>
  <c r="N429" i="414"/>
  <c r="M429" i="414"/>
  <c r="L429" i="414"/>
  <c r="K429" i="414"/>
  <c r="O428" i="414"/>
  <c r="N428" i="414"/>
  <c r="M428" i="414"/>
  <c r="L428" i="414"/>
  <c r="K428" i="414"/>
  <c r="O427" i="414"/>
  <c r="N427" i="414"/>
  <c r="M427" i="414"/>
  <c r="L427" i="414"/>
  <c r="K427" i="414"/>
  <c r="O426" i="414"/>
  <c r="N426" i="414"/>
  <c r="M426" i="414"/>
  <c r="L426" i="414"/>
  <c r="K426" i="414"/>
  <c r="O425" i="414"/>
  <c r="N425" i="414"/>
  <c r="M425" i="414"/>
  <c r="L425" i="414"/>
  <c r="K425" i="414"/>
  <c r="O424" i="414"/>
  <c r="N424" i="414"/>
  <c r="M424" i="414"/>
  <c r="L424" i="414"/>
  <c r="K424" i="414"/>
  <c r="O423" i="414"/>
  <c r="N423" i="414"/>
  <c r="M423" i="414"/>
  <c r="L423" i="414"/>
  <c r="K423" i="414"/>
  <c r="O422" i="414"/>
  <c r="N422" i="414"/>
  <c r="M422" i="414"/>
  <c r="L422" i="414"/>
  <c r="K422" i="414"/>
  <c r="O421" i="414"/>
  <c r="N421" i="414"/>
  <c r="M421" i="414"/>
  <c r="L421" i="414"/>
  <c r="K421" i="414"/>
  <c r="O420" i="414"/>
  <c r="N420" i="414"/>
  <c r="M420" i="414"/>
  <c r="L420" i="414"/>
  <c r="K420" i="414"/>
  <c r="O419" i="414"/>
  <c r="N419" i="414"/>
  <c r="M419" i="414"/>
  <c r="L419" i="414"/>
  <c r="K419" i="414"/>
  <c r="O418" i="414"/>
  <c r="N418" i="414"/>
  <c r="M418" i="414"/>
  <c r="L418" i="414"/>
  <c r="K418" i="414"/>
  <c r="O417" i="414"/>
  <c r="N417" i="414"/>
  <c r="M417" i="414"/>
  <c r="L417" i="414"/>
  <c r="K417" i="414"/>
  <c r="O416" i="414"/>
  <c r="N416" i="414"/>
  <c r="M416" i="414"/>
  <c r="L416" i="414"/>
  <c r="K416" i="414"/>
  <c r="O415" i="414"/>
  <c r="N415" i="414"/>
  <c r="M415" i="414"/>
  <c r="L415" i="414"/>
  <c r="K415" i="414"/>
  <c r="O414" i="414"/>
  <c r="N414" i="414"/>
  <c r="M414" i="414"/>
  <c r="L414" i="414"/>
  <c r="K414" i="414"/>
  <c r="O413" i="414"/>
  <c r="N413" i="414"/>
  <c r="M413" i="414"/>
  <c r="L413" i="414"/>
  <c r="K413" i="414"/>
  <c r="O412" i="414"/>
  <c r="N412" i="414"/>
  <c r="M412" i="414"/>
  <c r="L412" i="414"/>
  <c r="K412" i="414"/>
  <c r="O411" i="414"/>
  <c r="N411" i="414"/>
  <c r="M411" i="414"/>
  <c r="L411" i="414"/>
  <c r="K411" i="414"/>
  <c r="O410" i="414"/>
  <c r="N410" i="414"/>
  <c r="M410" i="414"/>
  <c r="L410" i="414"/>
  <c r="K410" i="414"/>
  <c r="O409" i="414"/>
  <c r="N409" i="414"/>
  <c r="M409" i="414"/>
  <c r="L409" i="414"/>
  <c r="K409" i="414"/>
  <c r="O408" i="414"/>
  <c r="N408" i="414"/>
  <c r="M408" i="414"/>
  <c r="L408" i="414"/>
  <c r="K408" i="414"/>
  <c r="O407" i="414"/>
  <c r="N407" i="414"/>
  <c r="M407" i="414"/>
  <c r="L407" i="414"/>
  <c r="K407" i="414"/>
  <c r="O406" i="414"/>
  <c r="N406" i="414"/>
  <c r="M406" i="414"/>
  <c r="L406" i="414"/>
  <c r="K406" i="414"/>
  <c r="O405" i="414"/>
  <c r="N405" i="414"/>
  <c r="M405" i="414"/>
  <c r="L405" i="414"/>
  <c r="K405" i="414"/>
  <c r="O404" i="414"/>
  <c r="N404" i="414"/>
  <c r="M404" i="414"/>
  <c r="L404" i="414"/>
  <c r="K404" i="414"/>
  <c r="O403" i="414"/>
  <c r="N403" i="414"/>
  <c r="M403" i="414"/>
  <c r="L403" i="414"/>
  <c r="K403" i="414"/>
  <c r="O402" i="414"/>
  <c r="N402" i="414"/>
  <c r="M402" i="414"/>
  <c r="L402" i="414"/>
  <c r="K402" i="414"/>
  <c r="O401" i="414"/>
  <c r="N401" i="414"/>
  <c r="M401" i="414"/>
  <c r="L401" i="414"/>
  <c r="K401" i="414"/>
  <c r="O400" i="414"/>
  <c r="N400" i="414"/>
  <c r="M400" i="414"/>
  <c r="L400" i="414"/>
  <c r="K400" i="414"/>
  <c r="O399" i="414"/>
  <c r="N399" i="414"/>
  <c r="M399" i="414"/>
  <c r="L399" i="414"/>
  <c r="K399" i="414"/>
  <c r="O398" i="414"/>
  <c r="N398" i="414"/>
  <c r="M398" i="414"/>
  <c r="L398" i="414"/>
  <c r="K398" i="414"/>
  <c r="O397" i="414"/>
  <c r="N397" i="414"/>
  <c r="M397" i="414"/>
  <c r="L397" i="414"/>
  <c r="K397" i="414"/>
  <c r="O396" i="414"/>
  <c r="N396" i="414"/>
  <c r="M396" i="414"/>
  <c r="L396" i="414"/>
  <c r="K396" i="414"/>
  <c r="O395" i="414"/>
  <c r="N395" i="414"/>
  <c r="M395" i="414"/>
  <c r="L395" i="414"/>
  <c r="K395" i="414"/>
  <c r="O394" i="414"/>
  <c r="N394" i="414"/>
  <c r="M394" i="414"/>
  <c r="L394" i="414"/>
  <c r="K394" i="414"/>
  <c r="O393" i="414"/>
  <c r="N393" i="414"/>
  <c r="M393" i="414"/>
  <c r="L393" i="414"/>
  <c r="K393" i="414"/>
  <c r="O392" i="414"/>
  <c r="N392" i="414"/>
  <c r="M392" i="414"/>
  <c r="L392" i="414"/>
  <c r="K392" i="414"/>
  <c r="O391" i="414"/>
  <c r="N391" i="414"/>
  <c r="M391" i="414"/>
  <c r="L391" i="414"/>
  <c r="K391" i="414"/>
  <c r="O390" i="414"/>
  <c r="N390" i="414"/>
  <c r="M390" i="414"/>
  <c r="L390" i="414"/>
  <c r="K390" i="414"/>
  <c r="O389" i="414"/>
  <c r="N389" i="414"/>
  <c r="M389" i="414"/>
  <c r="L389" i="414"/>
  <c r="K389" i="414"/>
  <c r="O388" i="414"/>
  <c r="N388" i="414"/>
  <c r="M388" i="414"/>
  <c r="L388" i="414"/>
  <c r="K388" i="414"/>
  <c r="O387" i="414"/>
  <c r="N387" i="414"/>
  <c r="M387" i="414"/>
  <c r="L387" i="414"/>
  <c r="K387" i="414"/>
  <c r="O386" i="414"/>
  <c r="N386" i="414"/>
  <c r="M386" i="414"/>
  <c r="L386" i="414"/>
  <c r="K386" i="414"/>
  <c r="O385" i="414"/>
  <c r="N385" i="414"/>
  <c r="M385" i="414"/>
  <c r="L385" i="414"/>
  <c r="K385" i="414"/>
  <c r="O384" i="414"/>
  <c r="N384" i="414"/>
  <c r="M384" i="414"/>
  <c r="L384" i="414"/>
  <c r="K384" i="414"/>
  <c r="O383" i="414"/>
  <c r="N383" i="414"/>
  <c r="M383" i="414"/>
  <c r="L383" i="414"/>
  <c r="K383" i="414"/>
  <c r="O382" i="414"/>
  <c r="N382" i="414"/>
  <c r="M382" i="414"/>
  <c r="L382" i="414"/>
  <c r="K382" i="414"/>
  <c r="O381" i="414"/>
  <c r="N381" i="414"/>
  <c r="M381" i="414"/>
  <c r="L381" i="414"/>
  <c r="K381" i="414"/>
  <c r="O380" i="414"/>
  <c r="N380" i="414"/>
  <c r="M380" i="414"/>
  <c r="L380" i="414"/>
  <c r="K380" i="414"/>
  <c r="O379" i="414"/>
  <c r="N379" i="414"/>
  <c r="M379" i="414"/>
  <c r="L379" i="414"/>
  <c r="K379" i="414"/>
  <c r="O378" i="414"/>
  <c r="N378" i="414"/>
  <c r="M378" i="414"/>
  <c r="L378" i="414"/>
  <c r="K378" i="414"/>
  <c r="O377" i="414"/>
  <c r="N377" i="414"/>
  <c r="M377" i="414"/>
  <c r="L377" i="414"/>
  <c r="K377" i="414"/>
  <c r="O376" i="414"/>
  <c r="N376" i="414"/>
  <c r="M376" i="414"/>
  <c r="L376" i="414"/>
  <c r="K376" i="414"/>
  <c r="O375" i="414"/>
  <c r="N375" i="414"/>
  <c r="M375" i="414"/>
  <c r="L375" i="414"/>
  <c r="K375" i="414"/>
  <c r="O374" i="414"/>
  <c r="N374" i="414"/>
  <c r="M374" i="414"/>
  <c r="L374" i="414"/>
  <c r="K374" i="414"/>
  <c r="O373" i="414"/>
  <c r="N373" i="414"/>
  <c r="M373" i="414"/>
  <c r="L373" i="414"/>
  <c r="K373" i="414"/>
  <c r="O372" i="414"/>
  <c r="N372" i="414"/>
  <c r="M372" i="414"/>
  <c r="L372" i="414"/>
  <c r="K372" i="414"/>
  <c r="O371" i="414"/>
  <c r="N371" i="414"/>
  <c r="M371" i="414"/>
  <c r="L371" i="414"/>
  <c r="K371" i="414"/>
  <c r="O370" i="414"/>
  <c r="N370" i="414"/>
  <c r="M370" i="414"/>
  <c r="L370" i="414"/>
  <c r="K370" i="414"/>
  <c r="O369" i="414"/>
  <c r="N369" i="414"/>
  <c r="M369" i="414"/>
  <c r="L369" i="414"/>
  <c r="K369" i="414"/>
  <c r="O368" i="414"/>
  <c r="N368" i="414"/>
  <c r="M368" i="414"/>
  <c r="L368" i="414"/>
  <c r="K368" i="414"/>
  <c r="O367" i="414"/>
  <c r="N367" i="414"/>
  <c r="M367" i="414"/>
  <c r="L367" i="414"/>
  <c r="K367" i="414"/>
  <c r="O366" i="414"/>
  <c r="N366" i="414"/>
  <c r="M366" i="414"/>
  <c r="L366" i="414"/>
  <c r="K366" i="414"/>
  <c r="O365" i="414"/>
  <c r="N365" i="414"/>
  <c r="M365" i="414"/>
  <c r="L365" i="414"/>
  <c r="K365" i="414"/>
  <c r="O364" i="414"/>
  <c r="N364" i="414"/>
  <c r="M364" i="414"/>
  <c r="L364" i="414"/>
  <c r="K364" i="414"/>
  <c r="O363" i="414"/>
  <c r="N363" i="414"/>
  <c r="M363" i="414"/>
  <c r="L363" i="414"/>
  <c r="K363" i="414"/>
  <c r="O362" i="414"/>
  <c r="N362" i="414"/>
  <c r="M362" i="414"/>
  <c r="L362" i="414"/>
  <c r="K362" i="414"/>
  <c r="O361" i="414"/>
  <c r="N361" i="414"/>
  <c r="M361" i="414"/>
  <c r="L361" i="414"/>
  <c r="K361" i="414"/>
  <c r="O360" i="414"/>
  <c r="N360" i="414"/>
  <c r="M360" i="414"/>
  <c r="L360" i="414"/>
  <c r="K360" i="414"/>
  <c r="O359" i="414"/>
  <c r="N359" i="414"/>
  <c r="M359" i="414"/>
  <c r="L359" i="414"/>
  <c r="K359" i="414"/>
  <c r="O358" i="414"/>
  <c r="N358" i="414"/>
  <c r="M358" i="414"/>
  <c r="L358" i="414"/>
  <c r="K358" i="414"/>
  <c r="O357" i="414"/>
  <c r="N357" i="414"/>
  <c r="M357" i="414"/>
  <c r="L357" i="414"/>
  <c r="K357" i="414"/>
  <c r="O356" i="414"/>
  <c r="N356" i="414"/>
  <c r="M356" i="414"/>
  <c r="L356" i="414"/>
  <c r="K356" i="414"/>
  <c r="O355" i="414"/>
  <c r="N355" i="414"/>
  <c r="M355" i="414"/>
  <c r="L355" i="414"/>
  <c r="K355" i="414"/>
  <c r="O354" i="414"/>
  <c r="N354" i="414"/>
  <c r="M354" i="414"/>
  <c r="L354" i="414"/>
  <c r="K354" i="414"/>
  <c r="O353" i="414"/>
  <c r="N353" i="414"/>
  <c r="M353" i="414"/>
  <c r="L353" i="414"/>
  <c r="K353" i="414"/>
  <c r="O352" i="414"/>
  <c r="N352" i="414"/>
  <c r="M352" i="414"/>
  <c r="L352" i="414"/>
  <c r="K352" i="414"/>
  <c r="O351" i="414"/>
  <c r="N351" i="414"/>
  <c r="M351" i="414"/>
  <c r="L351" i="414"/>
  <c r="K351" i="414"/>
  <c r="O350" i="414"/>
  <c r="N350" i="414"/>
  <c r="M350" i="414"/>
  <c r="L350" i="414"/>
  <c r="K350" i="414"/>
  <c r="O349" i="414"/>
  <c r="N349" i="414"/>
  <c r="M349" i="414"/>
  <c r="L349" i="414"/>
  <c r="K349" i="414"/>
  <c r="O348" i="414"/>
  <c r="N348" i="414"/>
  <c r="M348" i="414"/>
  <c r="L348" i="414"/>
  <c r="K348" i="414"/>
  <c r="O347" i="414"/>
  <c r="N347" i="414"/>
  <c r="M347" i="414"/>
  <c r="L347" i="414"/>
  <c r="K347" i="414"/>
  <c r="O346" i="414"/>
  <c r="N346" i="414"/>
  <c r="M346" i="414"/>
  <c r="L346" i="414"/>
  <c r="K346" i="414"/>
  <c r="O345" i="414"/>
  <c r="N345" i="414"/>
  <c r="M345" i="414"/>
  <c r="L345" i="414"/>
  <c r="K345" i="414"/>
  <c r="O344" i="414"/>
  <c r="N344" i="414"/>
  <c r="M344" i="414"/>
  <c r="L344" i="414"/>
  <c r="K344" i="414"/>
  <c r="O343" i="414"/>
  <c r="N343" i="414"/>
  <c r="M343" i="414"/>
  <c r="L343" i="414"/>
  <c r="K343" i="414"/>
  <c r="O342" i="414"/>
  <c r="N342" i="414"/>
  <c r="M342" i="414"/>
  <c r="L342" i="414"/>
  <c r="K342" i="414"/>
  <c r="O341" i="414"/>
  <c r="N341" i="414"/>
  <c r="M341" i="414"/>
  <c r="L341" i="414"/>
  <c r="K341" i="414"/>
  <c r="O340" i="414"/>
  <c r="N340" i="414"/>
  <c r="M340" i="414"/>
  <c r="L340" i="414"/>
  <c r="K340" i="414"/>
  <c r="O339" i="414"/>
  <c r="N339" i="414"/>
  <c r="M339" i="414"/>
  <c r="L339" i="414"/>
  <c r="K339" i="414"/>
  <c r="O338" i="414"/>
  <c r="N338" i="414"/>
  <c r="M338" i="414"/>
  <c r="L338" i="414"/>
  <c r="K338" i="414"/>
  <c r="O337" i="414"/>
  <c r="N337" i="414"/>
  <c r="M337" i="414"/>
  <c r="L337" i="414"/>
  <c r="K337" i="414"/>
  <c r="O336" i="414"/>
  <c r="N336" i="414"/>
  <c r="M336" i="414"/>
  <c r="L336" i="414"/>
  <c r="K336" i="414"/>
  <c r="O335" i="414"/>
  <c r="N335" i="414"/>
  <c r="M335" i="414"/>
  <c r="L335" i="414"/>
  <c r="K335" i="414"/>
  <c r="O334" i="414"/>
  <c r="N334" i="414"/>
  <c r="M334" i="414"/>
  <c r="L334" i="414"/>
  <c r="K334" i="414"/>
  <c r="O333" i="414"/>
  <c r="N333" i="414"/>
  <c r="M333" i="414"/>
  <c r="L333" i="414"/>
  <c r="K333" i="414"/>
  <c r="O332" i="414"/>
  <c r="N332" i="414"/>
  <c r="M332" i="414"/>
  <c r="L332" i="414"/>
  <c r="K332" i="414"/>
  <c r="O331" i="414"/>
  <c r="N331" i="414"/>
  <c r="M331" i="414"/>
  <c r="L331" i="414"/>
  <c r="K331" i="414"/>
  <c r="O330" i="414"/>
  <c r="N330" i="414"/>
  <c r="M330" i="414"/>
  <c r="L330" i="414"/>
  <c r="K330" i="414"/>
  <c r="O329" i="414"/>
  <c r="N329" i="414"/>
  <c r="M329" i="414"/>
  <c r="L329" i="414"/>
  <c r="K329" i="414"/>
  <c r="O328" i="414"/>
  <c r="N328" i="414"/>
  <c r="M328" i="414"/>
  <c r="L328" i="414"/>
  <c r="K328" i="414"/>
  <c r="O327" i="414"/>
  <c r="N327" i="414"/>
  <c r="M327" i="414"/>
  <c r="L327" i="414"/>
  <c r="K327" i="414"/>
  <c r="O326" i="414"/>
  <c r="N326" i="414"/>
  <c r="M326" i="414"/>
  <c r="L326" i="414"/>
  <c r="K326" i="414"/>
  <c r="O325" i="414"/>
  <c r="N325" i="414"/>
  <c r="M325" i="414"/>
  <c r="L325" i="414"/>
  <c r="K325" i="414"/>
  <c r="O324" i="414"/>
  <c r="N324" i="414"/>
  <c r="M324" i="414"/>
  <c r="L324" i="414"/>
  <c r="K324" i="414"/>
  <c r="O323" i="414"/>
  <c r="N323" i="414"/>
  <c r="M323" i="414"/>
  <c r="L323" i="414"/>
  <c r="K323" i="414"/>
  <c r="O322" i="414"/>
  <c r="N322" i="414"/>
  <c r="M322" i="414"/>
  <c r="L322" i="414"/>
  <c r="K322" i="414"/>
  <c r="O321" i="414"/>
  <c r="N321" i="414"/>
  <c r="M321" i="414"/>
  <c r="L321" i="414"/>
  <c r="K321" i="414"/>
  <c r="O320" i="414"/>
  <c r="N320" i="414"/>
  <c r="M320" i="414"/>
  <c r="L320" i="414"/>
  <c r="K320" i="414"/>
  <c r="O319" i="414"/>
  <c r="N319" i="414"/>
  <c r="M319" i="414"/>
  <c r="L319" i="414"/>
  <c r="K319" i="414"/>
  <c r="O318" i="414"/>
  <c r="N318" i="414"/>
  <c r="M318" i="414"/>
  <c r="L318" i="414"/>
  <c r="K318" i="414"/>
  <c r="O317" i="414"/>
  <c r="N317" i="414"/>
  <c r="M317" i="414"/>
  <c r="L317" i="414"/>
  <c r="K317" i="414"/>
  <c r="O316" i="414"/>
  <c r="N316" i="414"/>
  <c r="M316" i="414"/>
  <c r="L316" i="414"/>
  <c r="K316" i="414"/>
  <c r="O315" i="414"/>
  <c r="N315" i="414"/>
  <c r="M315" i="414"/>
  <c r="L315" i="414"/>
  <c r="K315" i="414"/>
  <c r="O314" i="414"/>
  <c r="N314" i="414"/>
  <c r="M314" i="414"/>
  <c r="L314" i="414"/>
  <c r="K314" i="414"/>
  <c r="O313" i="414"/>
  <c r="N313" i="414"/>
  <c r="M313" i="414"/>
  <c r="L313" i="414"/>
  <c r="K313" i="414"/>
  <c r="O312" i="414"/>
  <c r="N312" i="414"/>
  <c r="M312" i="414"/>
  <c r="L312" i="414"/>
  <c r="K312" i="414"/>
  <c r="O311" i="414"/>
  <c r="N311" i="414"/>
  <c r="M311" i="414"/>
  <c r="L311" i="414"/>
  <c r="K311" i="414"/>
  <c r="O310" i="414"/>
  <c r="N310" i="414"/>
  <c r="M310" i="414"/>
  <c r="L310" i="414"/>
  <c r="K310" i="414"/>
  <c r="O309" i="414"/>
  <c r="N309" i="414"/>
  <c r="M309" i="414"/>
  <c r="L309" i="414"/>
  <c r="K309" i="414"/>
  <c r="O308" i="414"/>
  <c r="N308" i="414"/>
  <c r="M308" i="414"/>
  <c r="L308" i="414"/>
  <c r="K308" i="414"/>
  <c r="O307" i="414"/>
  <c r="N307" i="414"/>
  <c r="M307" i="414"/>
  <c r="L307" i="414"/>
  <c r="K307" i="414"/>
  <c r="O306" i="414"/>
  <c r="N306" i="414"/>
  <c r="M306" i="414"/>
  <c r="L306" i="414"/>
  <c r="K306" i="414"/>
  <c r="O305" i="414"/>
  <c r="N305" i="414"/>
  <c r="M305" i="414"/>
  <c r="L305" i="414"/>
  <c r="K305" i="414"/>
  <c r="O304" i="414"/>
  <c r="N304" i="414"/>
  <c r="M304" i="414"/>
  <c r="L304" i="414"/>
  <c r="K304" i="414"/>
  <c r="O303" i="414"/>
  <c r="N303" i="414"/>
  <c r="M303" i="414"/>
  <c r="L303" i="414"/>
  <c r="K303" i="414"/>
  <c r="O302" i="414"/>
  <c r="N302" i="414"/>
  <c r="M302" i="414"/>
  <c r="L302" i="414"/>
  <c r="K302" i="414"/>
  <c r="O301" i="414"/>
  <c r="N301" i="414"/>
  <c r="M301" i="414"/>
  <c r="L301" i="414"/>
  <c r="K301" i="414"/>
  <c r="O300" i="414"/>
  <c r="N300" i="414"/>
  <c r="M300" i="414"/>
  <c r="L300" i="414"/>
  <c r="K300" i="414"/>
  <c r="O299" i="414"/>
  <c r="N299" i="414"/>
  <c r="M299" i="414"/>
  <c r="L299" i="414"/>
  <c r="K299" i="414"/>
  <c r="O298" i="414"/>
  <c r="N298" i="414"/>
  <c r="M298" i="414"/>
  <c r="L298" i="414"/>
  <c r="K298" i="414"/>
  <c r="O297" i="414"/>
  <c r="N297" i="414"/>
  <c r="M297" i="414"/>
  <c r="L297" i="414"/>
  <c r="K297" i="414"/>
  <c r="O296" i="414"/>
  <c r="N296" i="414"/>
  <c r="M296" i="414"/>
  <c r="L296" i="414"/>
  <c r="K296" i="414"/>
  <c r="O295" i="414"/>
  <c r="N295" i="414"/>
  <c r="M295" i="414"/>
  <c r="L295" i="414"/>
  <c r="K295" i="414"/>
  <c r="O294" i="414"/>
  <c r="N294" i="414"/>
  <c r="M294" i="414"/>
  <c r="L294" i="414"/>
  <c r="K294" i="414"/>
  <c r="O293" i="414"/>
  <c r="N293" i="414"/>
  <c r="M293" i="414"/>
  <c r="L293" i="414"/>
  <c r="K293" i="414"/>
  <c r="O292" i="414"/>
  <c r="N292" i="414"/>
  <c r="M292" i="414"/>
  <c r="L292" i="414"/>
  <c r="K292" i="414"/>
  <c r="O291" i="414"/>
  <c r="N291" i="414"/>
  <c r="M291" i="414"/>
  <c r="L291" i="414"/>
  <c r="K291" i="414"/>
  <c r="O290" i="414"/>
  <c r="N290" i="414"/>
  <c r="M290" i="414"/>
  <c r="L290" i="414"/>
  <c r="K290" i="414"/>
  <c r="O289" i="414"/>
  <c r="N289" i="414"/>
  <c r="M289" i="414"/>
  <c r="L289" i="414"/>
  <c r="K289" i="414"/>
  <c r="O288" i="414"/>
  <c r="N288" i="414"/>
  <c r="M288" i="414"/>
  <c r="L288" i="414"/>
  <c r="K288" i="414"/>
  <c r="O287" i="414"/>
  <c r="N287" i="414"/>
  <c r="M287" i="414"/>
  <c r="L287" i="414"/>
  <c r="K287" i="414"/>
  <c r="O286" i="414"/>
  <c r="N286" i="414"/>
  <c r="M286" i="414"/>
  <c r="L286" i="414"/>
  <c r="K286" i="414"/>
  <c r="O285" i="414"/>
  <c r="N285" i="414"/>
  <c r="M285" i="414"/>
  <c r="L285" i="414"/>
  <c r="K285" i="414"/>
  <c r="O284" i="414"/>
  <c r="N284" i="414"/>
  <c r="M284" i="414"/>
  <c r="L284" i="414"/>
  <c r="K284" i="414"/>
  <c r="O283" i="414"/>
  <c r="N283" i="414"/>
  <c r="M283" i="414"/>
  <c r="L283" i="414"/>
  <c r="K283" i="414"/>
  <c r="O282" i="414"/>
  <c r="N282" i="414"/>
  <c r="M282" i="414"/>
  <c r="L282" i="414"/>
  <c r="K282" i="414"/>
  <c r="O281" i="414"/>
  <c r="N281" i="414"/>
  <c r="M281" i="414"/>
  <c r="L281" i="414"/>
  <c r="K281" i="414"/>
  <c r="O280" i="414"/>
  <c r="N280" i="414"/>
  <c r="M280" i="414"/>
  <c r="L280" i="414"/>
  <c r="K280" i="414"/>
  <c r="O279" i="414"/>
  <c r="N279" i="414"/>
  <c r="M279" i="414"/>
  <c r="L279" i="414"/>
  <c r="K279" i="414"/>
  <c r="O278" i="414"/>
  <c r="N278" i="414"/>
  <c r="M278" i="414"/>
  <c r="L278" i="414"/>
  <c r="K278" i="414"/>
  <c r="O277" i="414"/>
  <c r="N277" i="414"/>
  <c r="M277" i="414"/>
  <c r="L277" i="414"/>
  <c r="K277" i="414"/>
  <c r="O276" i="414"/>
  <c r="N276" i="414"/>
  <c r="M276" i="414"/>
  <c r="L276" i="414"/>
  <c r="K276" i="414"/>
  <c r="O275" i="414"/>
  <c r="N275" i="414"/>
  <c r="M275" i="414"/>
  <c r="L275" i="414"/>
  <c r="K275" i="414"/>
  <c r="O274" i="414"/>
  <c r="N274" i="414"/>
  <c r="M274" i="414"/>
  <c r="L274" i="414"/>
  <c r="K274" i="414"/>
  <c r="O273" i="414"/>
  <c r="N273" i="414"/>
  <c r="M273" i="414"/>
  <c r="L273" i="414"/>
  <c r="K273" i="414"/>
  <c r="O272" i="414"/>
  <c r="N272" i="414"/>
  <c r="M272" i="414"/>
  <c r="L272" i="414"/>
  <c r="K272" i="414"/>
  <c r="O271" i="414"/>
  <c r="N271" i="414"/>
  <c r="M271" i="414"/>
  <c r="L271" i="414"/>
  <c r="K271" i="414"/>
  <c r="O270" i="414"/>
  <c r="N270" i="414"/>
  <c r="M270" i="414"/>
  <c r="L270" i="414"/>
  <c r="K270" i="414"/>
  <c r="O269" i="414"/>
  <c r="N269" i="414"/>
  <c r="M269" i="414"/>
  <c r="L269" i="414"/>
  <c r="K269" i="414"/>
  <c r="O268" i="414"/>
  <c r="N268" i="414"/>
  <c r="M268" i="414"/>
  <c r="L268" i="414"/>
  <c r="K268" i="414"/>
  <c r="O267" i="414"/>
  <c r="N267" i="414"/>
  <c r="M267" i="414"/>
  <c r="L267" i="414"/>
  <c r="K267" i="414"/>
  <c r="O266" i="414"/>
  <c r="N266" i="414"/>
  <c r="M266" i="414"/>
  <c r="L266" i="414"/>
  <c r="K266" i="414"/>
  <c r="O265" i="414"/>
  <c r="N265" i="414"/>
  <c r="M265" i="414"/>
  <c r="L265" i="414"/>
  <c r="K265" i="414"/>
  <c r="O264" i="414"/>
  <c r="N264" i="414"/>
  <c r="M264" i="414"/>
  <c r="L264" i="414"/>
  <c r="K264" i="414"/>
  <c r="O263" i="414"/>
  <c r="N263" i="414"/>
  <c r="M263" i="414"/>
  <c r="L263" i="414"/>
  <c r="K263" i="414"/>
  <c r="O262" i="414"/>
  <c r="N262" i="414"/>
  <c r="M262" i="414"/>
  <c r="L262" i="414"/>
  <c r="K262" i="414"/>
  <c r="O261" i="414"/>
  <c r="N261" i="414"/>
  <c r="M261" i="414"/>
  <c r="L261" i="414"/>
  <c r="K261" i="414"/>
  <c r="O260" i="414"/>
  <c r="N260" i="414"/>
  <c r="M260" i="414"/>
  <c r="L260" i="414"/>
  <c r="K260" i="414"/>
  <c r="O259" i="414"/>
  <c r="N259" i="414"/>
  <c r="M259" i="414"/>
  <c r="L259" i="414"/>
  <c r="K259" i="414"/>
  <c r="O258" i="414"/>
  <c r="N258" i="414"/>
  <c r="M258" i="414"/>
  <c r="L258" i="414"/>
  <c r="K258" i="414"/>
  <c r="O257" i="414"/>
  <c r="N257" i="414"/>
  <c r="M257" i="414"/>
  <c r="L257" i="414"/>
  <c r="K257" i="414"/>
  <c r="O256" i="414"/>
  <c r="N256" i="414"/>
  <c r="M256" i="414"/>
  <c r="L256" i="414"/>
  <c r="K256" i="414"/>
  <c r="O255" i="414"/>
  <c r="N255" i="414"/>
  <c r="M255" i="414"/>
  <c r="L255" i="414"/>
  <c r="K255" i="414"/>
  <c r="O254" i="414"/>
  <c r="N254" i="414"/>
  <c r="M254" i="414"/>
  <c r="L254" i="414"/>
  <c r="K254" i="414"/>
  <c r="O253" i="414"/>
  <c r="N253" i="414"/>
  <c r="M253" i="414"/>
  <c r="L253" i="414"/>
  <c r="K253" i="414"/>
  <c r="O252" i="414"/>
  <c r="N252" i="414"/>
  <c r="M252" i="414"/>
  <c r="L252" i="414"/>
  <c r="K252" i="414"/>
  <c r="O251" i="414"/>
  <c r="N251" i="414"/>
  <c r="M251" i="414"/>
  <c r="L251" i="414"/>
  <c r="K251" i="414"/>
  <c r="O250" i="414"/>
  <c r="N250" i="414"/>
  <c r="M250" i="414"/>
  <c r="L250" i="414"/>
  <c r="K250" i="414"/>
  <c r="O249" i="414"/>
  <c r="N249" i="414"/>
  <c r="M249" i="414"/>
  <c r="L249" i="414"/>
  <c r="K249" i="414"/>
  <c r="O248" i="414"/>
  <c r="N248" i="414"/>
  <c r="M248" i="414"/>
  <c r="L248" i="414"/>
  <c r="K248" i="414"/>
  <c r="O247" i="414"/>
  <c r="N247" i="414"/>
  <c r="M247" i="414"/>
  <c r="L247" i="414"/>
  <c r="K247" i="414"/>
  <c r="O246" i="414"/>
  <c r="N246" i="414"/>
  <c r="M246" i="414"/>
  <c r="L246" i="414"/>
  <c r="K246" i="414"/>
  <c r="O245" i="414"/>
  <c r="N245" i="414"/>
  <c r="M245" i="414"/>
  <c r="L245" i="414"/>
  <c r="K245" i="414"/>
  <c r="O244" i="414"/>
  <c r="N244" i="414"/>
  <c r="M244" i="414"/>
  <c r="L244" i="414"/>
  <c r="K244" i="414"/>
  <c r="O243" i="414"/>
  <c r="N243" i="414"/>
  <c r="M243" i="414"/>
  <c r="L243" i="414"/>
  <c r="K243" i="414"/>
  <c r="O242" i="414"/>
  <c r="N242" i="414"/>
  <c r="M242" i="414"/>
  <c r="L242" i="414"/>
  <c r="K242" i="414"/>
  <c r="O241" i="414"/>
  <c r="N241" i="414"/>
  <c r="M241" i="414"/>
  <c r="L241" i="414"/>
  <c r="K241" i="414"/>
  <c r="O240" i="414"/>
  <c r="N240" i="414"/>
  <c r="M240" i="414"/>
  <c r="L240" i="414"/>
  <c r="K240" i="414"/>
  <c r="O239" i="414"/>
  <c r="N239" i="414"/>
  <c r="M239" i="414"/>
  <c r="L239" i="414"/>
  <c r="K239" i="414"/>
  <c r="O238" i="414"/>
  <c r="N238" i="414"/>
  <c r="M238" i="414"/>
  <c r="L238" i="414"/>
  <c r="K238" i="414"/>
  <c r="O237" i="414"/>
  <c r="N237" i="414"/>
  <c r="M237" i="414"/>
  <c r="L237" i="414"/>
  <c r="K237" i="414"/>
  <c r="O236" i="414"/>
  <c r="N236" i="414"/>
  <c r="M236" i="414"/>
  <c r="L236" i="414"/>
  <c r="K236" i="414"/>
  <c r="O235" i="414"/>
  <c r="N235" i="414"/>
  <c r="M235" i="414"/>
  <c r="L235" i="414"/>
  <c r="K235" i="414"/>
  <c r="O234" i="414"/>
  <c r="N234" i="414"/>
  <c r="M234" i="414"/>
  <c r="L234" i="414"/>
  <c r="K234" i="414"/>
  <c r="O233" i="414"/>
  <c r="N233" i="414"/>
  <c r="M233" i="414"/>
  <c r="L233" i="414"/>
  <c r="K233" i="414"/>
  <c r="O232" i="414"/>
  <c r="N232" i="414"/>
  <c r="M232" i="414"/>
  <c r="L232" i="414"/>
  <c r="K232" i="414"/>
  <c r="O231" i="414"/>
  <c r="N231" i="414"/>
  <c r="M231" i="414"/>
  <c r="L231" i="414"/>
  <c r="K231" i="414"/>
  <c r="O230" i="414"/>
  <c r="N230" i="414"/>
  <c r="M230" i="414"/>
  <c r="L230" i="414"/>
  <c r="K230" i="414"/>
  <c r="O229" i="414"/>
  <c r="N229" i="414"/>
  <c r="M229" i="414"/>
  <c r="L229" i="414"/>
  <c r="K229" i="414"/>
  <c r="O228" i="414"/>
  <c r="N228" i="414"/>
  <c r="M228" i="414"/>
  <c r="L228" i="414"/>
  <c r="K228" i="414"/>
  <c r="O227" i="414"/>
  <c r="N227" i="414"/>
  <c r="M227" i="414"/>
  <c r="L227" i="414"/>
  <c r="K227" i="414"/>
  <c r="O226" i="414"/>
  <c r="N226" i="414"/>
  <c r="M226" i="414"/>
  <c r="L226" i="414"/>
  <c r="K226" i="414"/>
  <c r="O225" i="414"/>
  <c r="N225" i="414"/>
  <c r="M225" i="414"/>
  <c r="L225" i="414"/>
  <c r="K225" i="414"/>
  <c r="O224" i="414"/>
  <c r="N224" i="414"/>
  <c r="M224" i="414"/>
  <c r="L224" i="414"/>
  <c r="K224" i="414"/>
  <c r="O223" i="414"/>
  <c r="N223" i="414"/>
  <c r="M223" i="414"/>
  <c r="L223" i="414"/>
  <c r="K223" i="414"/>
  <c r="O222" i="414"/>
  <c r="N222" i="414"/>
  <c r="M222" i="414"/>
  <c r="L222" i="414"/>
  <c r="K222" i="414"/>
  <c r="O221" i="414"/>
  <c r="N221" i="414"/>
  <c r="M221" i="414"/>
  <c r="L221" i="414"/>
  <c r="K221" i="414"/>
  <c r="O220" i="414"/>
  <c r="N220" i="414"/>
  <c r="M220" i="414"/>
  <c r="L220" i="414"/>
  <c r="K220" i="414"/>
  <c r="O219" i="414"/>
  <c r="N219" i="414"/>
  <c r="M219" i="414"/>
  <c r="L219" i="414"/>
  <c r="K219" i="414"/>
  <c r="O218" i="414"/>
  <c r="N218" i="414"/>
  <c r="M218" i="414"/>
  <c r="L218" i="414"/>
  <c r="K218" i="414"/>
  <c r="O217" i="414"/>
  <c r="N217" i="414"/>
  <c r="M217" i="414"/>
  <c r="L217" i="414"/>
  <c r="K217" i="414"/>
  <c r="O216" i="414"/>
  <c r="N216" i="414"/>
  <c r="M216" i="414"/>
  <c r="L216" i="414"/>
  <c r="K216" i="414"/>
  <c r="O215" i="414"/>
  <c r="N215" i="414"/>
  <c r="M215" i="414"/>
  <c r="L215" i="414"/>
  <c r="K215" i="414"/>
  <c r="O214" i="414"/>
  <c r="N214" i="414"/>
  <c r="M214" i="414"/>
  <c r="L214" i="414"/>
  <c r="K214" i="414"/>
  <c r="O213" i="414"/>
  <c r="N213" i="414"/>
  <c r="M213" i="414"/>
  <c r="L213" i="414"/>
  <c r="K213" i="414"/>
  <c r="O212" i="414"/>
  <c r="N212" i="414"/>
  <c r="M212" i="414"/>
  <c r="L212" i="414"/>
  <c r="K212" i="414"/>
  <c r="O211" i="414"/>
  <c r="N211" i="414"/>
  <c r="M211" i="414"/>
  <c r="L211" i="414"/>
  <c r="K211" i="414"/>
  <c r="O210" i="414"/>
  <c r="N210" i="414"/>
  <c r="M210" i="414"/>
  <c r="L210" i="414"/>
  <c r="K210" i="414"/>
  <c r="O209" i="414"/>
  <c r="N209" i="414"/>
  <c r="M209" i="414"/>
  <c r="L209" i="414"/>
  <c r="K209" i="414"/>
  <c r="O208" i="414"/>
  <c r="N208" i="414"/>
  <c r="M208" i="414"/>
  <c r="L208" i="414"/>
  <c r="K208" i="414"/>
  <c r="O207" i="414"/>
  <c r="N207" i="414"/>
  <c r="M207" i="414"/>
  <c r="L207" i="414"/>
  <c r="K207" i="414"/>
  <c r="O206" i="414"/>
  <c r="N206" i="414"/>
  <c r="M206" i="414"/>
  <c r="L206" i="414"/>
  <c r="K206" i="414"/>
  <c r="O205" i="414"/>
  <c r="N205" i="414"/>
  <c r="M205" i="414"/>
  <c r="L205" i="414"/>
  <c r="K205" i="414"/>
  <c r="O204" i="414"/>
  <c r="N204" i="414"/>
  <c r="M204" i="414"/>
  <c r="L204" i="414"/>
  <c r="K204" i="414"/>
  <c r="O203" i="414"/>
  <c r="N203" i="414"/>
  <c r="M203" i="414"/>
  <c r="L203" i="414"/>
  <c r="K203" i="414"/>
  <c r="O202" i="414"/>
  <c r="N202" i="414"/>
  <c r="M202" i="414"/>
  <c r="L202" i="414"/>
  <c r="K202" i="414"/>
  <c r="O201" i="414"/>
  <c r="N201" i="414"/>
  <c r="M201" i="414"/>
  <c r="L201" i="414"/>
  <c r="K201" i="414"/>
  <c r="O200" i="414"/>
  <c r="N200" i="414"/>
  <c r="M200" i="414"/>
  <c r="L200" i="414"/>
  <c r="K200" i="414"/>
  <c r="O199" i="414"/>
  <c r="N199" i="414"/>
  <c r="M199" i="414"/>
  <c r="L199" i="414"/>
  <c r="K199" i="414"/>
  <c r="O198" i="414"/>
  <c r="N198" i="414"/>
  <c r="M198" i="414"/>
  <c r="L198" i="414"/>
  <c r="K198" i="414"/>
  <c r="O197" i="414"/>
  <c r="N197" i="414"/>
  <c r="M197" i="414"/>
  <c r="L197" i="414"/>
  <c r="K197" i="414"/>
  <c r="O196" i="414"/>
  <c r="N196" i="414"/>
  <c r="M196" i="414"/>
  <c r="L196" i="414"/>
  <c r="K196" i="414"/>
  <c r="O195" i="414"/>
  <c r="N195" i="414"/>
  <c r="M195" i="414"/>
  <c r="L195" i="414"/>
  <c r="K195" i="414"/>
  <c r="O194" i="414"/>
  <c r="N194" i="414"/>
  <c r="M194" i="414"/>
  <c r="L194" i="414"/>
  <c r="K194" i="414"/>
  <c r="O193" i="414"/>
  <c r="N193" i="414"/>
  <c r="M193" i="414"/>
  <c r="L193" i="414"/>
  <c r="K193" i="414"/>
  <c r="O192" i="414"/>
  <c r="N192" i="414"/>
  <c r="M192" i="414"/>
  <c r="L192" i="414"/>
  <c r="K192" i="414"/>
  <c r="O191" i="414"/>
  <c r="N191" i="414"/>
  <c r="M191" i="414"/>
  <c r="L191" i="414"/>
  <c r="K191" i="414"/>
  <c r="O190" i="414"/>
  <c r="N190" i="414"/>
  <c r="M190" i="414"/>
  <c r="L190" i="414"/>
  <c r="K190" i="414"/>
  <c r="O189" i="414"/>
  <c r="N189" i="414"/>
  <c r="M189" i="414"/>
  <c r="L189" i="414"/>
  <c r="K189" i="414"/>
  <c r="O188" i="414"/>
  <c r="N188" i="414"/>
  <c r="M188" i="414"/>
  <c r="L188" i="414"/>
  <c r="K188" i="414"/>
  <c r="O187" i="414"/>
  <c r="N187" i="414"/>
  <c r="M187" i="414"/>
  <c r="L187" i="414"/>
  <c r="K187" i="414"/>
  <c r="O186" i="414"/>
  <c r="N186" i="414"/>
  <c r="M186" i="414"/>
  <c r="L186" i="414"/>
  <c r="K186" i="414"/>
  <c r="O185" i="414"/>
  <c r="N185" i="414"/>
  <c r="M185" i="414"/>
  <c r="L185" i="414"/>
  <c r="K185" i="414"/>
  <c r="O184" i="414"/>
  <c r="N184" i="414"/>
  <c r="M184" i="414"/>
  <c r="L184" i="414"/>
  <c r="K184" i="414"/>
  <c r="O183" i="414"/>
  <c r="N183" i="414"/>
  <c r="M183" i="414"/>
  <c r="L183" i="414"/>
  <c r="K183" i="414"/>
  <c r="O182" i="414"/>
  <c r="N182" i="414"/>
  <c r="M182" i="414"/>
  <c r="L182" i="414"/>
  <c r="K182" i="414"/>
  <c r="O181" i="414"/>
  <c r="N181" i="414"/>
  <c r="M181" i="414"/>
  <c r="L181" i="414"/>
  <c r="K181" i="414"/>
  <c r="O180" i="414"/>
  <c r="N180" i="414"/>
  <c r="M180" i="414"/>
  <c r="L180" i="414"/>
  <c r="K180" i="414"/>
  <c r="O179" i="414"/>
  <c r="N179" i="414"/>
  <c r="M179" i="414"/>
  <c r="L179" i="414"/>
  <c r="K179" i="414"/>
  <c r="O178" i="414"/>
  <c r="N178" i="414"/>
  <c r="M178" i="414"/>
  <c r="L178" i="414"/>
  <c r="K178" i="414"/>
  <c r="O177" i="414"/>
  <c r="N177" i="414"/>
  <c r="M177" i="414"/>
  <c r="L177" i="414"/>
  <c r="K177" i="414"/>
  <c r="O176" i="414"/>
  <c r="N176" i="414"/>
  <c r="M176" i="414"/>
  <c r="L176" i="414"/>
  <c r="K176" i="414"/>
  <c r="O175" i="414"/>
  <c r="N175" i="414"/>
  <c r="M175" i="414"/>
  <c r="L175" i="414"/>
  <c r="K175" i="414"/>
  <c r="O174" i="414"/>
  <c r="N174" i="414"/>
  <c r="M174" i="414"/>
  <c r="L174" i="414"/>
  <c r="K174" i="414"/>
  <c r="O173" i="414"/>
  <c r="N173" i="414"/>
  <c r="M173" i="414"/>
  <c r="L173" i="414"/>
  <c r="K173" i="414"/>
  <c r="O172" i="414"/>
  <c r="N172" i="414"/>
  <c r="M172" i="414"/>
  <c r="L172" i="414"/>
  <c r="K172" i="414"/>
  <c r="O171" i="414"/>
  <c r="N171" i="414"/>
  <c r="M171" i="414"/>
  <c r="L171" i="414"/>
  <c r="K171" i="414"/>
  <c r="O170" i="414"/>
  <c r="N170" i="414"/>
  <c r="M170" i="414"/>
  <c r="L170" i="414"/>
  <c r="K170" i="414"/>
  <c r="O169" i="414"/>
  <c r="N169" i="414"/>
  <c r="M169" i="414"/>
  <c r="L169" i="414"/>
  <c r="K169" i="414"/>
  <c r="O168" i="414"/>
  <c r="N168" i="414"/>
  <c r="M168" i="414"/>
  <c r="L168" i="414"/>
  <c r="K168" i="414"/>
  <c r="O167" i="414"/>
  <c r="N167" i="414"/>
  <c r="M167" i="414"/>
  <c r="L167" i="414"/>
  <c r="K167" i="414"/>
  <c r="O166" i="414"/>
  <c r="N166" i="414"/>
  <c r="M166" i="414"/>
  <c r="L166" i="414"/>
  <c r="K166" i="414"/>
  <c r="O165" i="414"/>
  <c r="N165" i="414"/>
  <c r="M165" i="414"/>
  <c r="L165" i="414"/>
  <c r="K165" i="414"/>
  <c r="O164" i="414"/>
  <c r="N164" i="414"/>
  <c r="M164" i="414"/>
  <c r="L164" i="414"/>
  <c r="K164" i="414"/>
  <c r="O163" i="414"/>
  <c r="N163" i="414"/>
  <c r="M163" i="414"/>
  <c r="L163" i="414"/>
  <c r="K163" i="414"/>
  <c r="O162" i="414"/>
  <c r="N162" i="414"/>
  <c r="M162" i="414"/>
  <c r="L162" i="414"/>
  <c r="K162" i="414"/>
  <c r="O161" i="414"/>
  <c r="N161" i="414"/>
  <c r="M161" i="414"/>
  <c r="L161" i="414"/>
  <c r="K161" i="414"/>
  <c r="O160" i="414"/>
  <c r="N160" i="414"/>
  <c r="M160" i="414"/>
  <c r="L160" i="414"/>
  <c r="K160" i="414"/>
  <c r="O159" i="414"/>
  <c r="N159" i="414"/>
  <c r="M159" i="414"/>
  <c r="L159" i="414"/>
  <c r="K159" i="414"/>
  <c r="O158" i="414"/>
  <c r="N158" i="414"/>
  <c r="M158" i="414"/>
  <c r="L158" i="414"/>
  <c r="K158" i="414"/>
  <c r="O157" i="414"/>
  <c r="N157" i="414"/>
  <c r="M157" i="414"/>
  <c r="L157" i="414"/>
  <c r="K157" i="414"/>
  <c r="O156" i="414"/>
  <c r="N156" i="414"/>
  <c r="M156" i="414"/>
  <c r="L156" i="414"/>
  <c r="K156" i="414"/>
  <c r="O155" i="414"/>
  <c r="N155" i="414"/>
  <c r="M155" i="414"/>
  <c r="L155" i="414"/>
  <c r="K155" i="414"/>
  <c r="O154" i="414"/>
  <c r="N154" i="414"/>
  <c r="M154" i="414"/>
  <c r="L154" i="414"/>
  <c r="K154" i="414"/>
  <c r="O153" i="414"/>
  <c r="N153" i="414"/>
  <c r="M153" i="414"/>
  <c r="L153" i="414"/>
  <c r="K153" i="414"/>
  <c r="O152" i="414"/>
  <c r="N152" i="414"/>
  <c r="M152" i="414"/>
  <c r="L152" i="414"/>
  <c r="K152" i="414"/>
  <c r="O151" i="414"/>
  <c r="N151" i="414"/>
  <c r="M151" i="414"/>
  <c r="L151" i="414"/>
  <c r="K151" i="414"/>
  <c r="O150" i="414"/>
  <c r="N150" i="414"/>
  <c r="M150" i="414"/>
  <c r="L150" i="414"/>
  <c r="K150" i="414"/>
  <c r="O149" i="414"/>
  <c r="N149" i="414"/>
  <c r="M149" i="414"/>
  <c r="L149" i="414"/>
  <c r="K149" i="414"/>
  <c r="O148" i="414"/>
  <c r="N148" i="414"/>
  <c r="M148" i="414"/>
  <c r="L148" i="414"/>
  <c r="K148" i="414"/>
  <c r="O147" i="414"/>
  <c r="N147" i="414"/>
  <c r="M147" i="414"/>
  <c r="L147" i="414"/>
  <c r="K147" i="414"/>
  <c r="O146" i="414"/>
  <c r="N146" i="414"/>
  <c r="M146" i="414"/>
  <c r="L146" i="414"/>
  <c r="K146" i="414"/>
  <c r="O145" i="414"/>
  <c r="N145" i="414"/>
  <c r="M145" i="414"/>
  <c r="L145" i="414"/>
  <c r="K145" i="414"/>
  <c r="O144" i="414"/>
  <c r="N144" i="414"/>
  <c r="M144" i="414"/>
  <c r="L144" i="414"/>
  <c r="K144" i="414"/>
  <c r="O143" i="414"/>
  <c r="N143" i="414"/>
  <c r="M143" i="414"/>
  <c r="L143" i="414"/>
  <c r="K143" i="414"/>
  <c r="O142" i="414"/>
  <c r="N142" i="414"/>
  <c r="M142" i="414"/>
  <c r="L142" i="414"/>
  <c r="K142" i="414"/>
  <c r="O141" i="414"/>
  <c r="N141" i="414"/>
  <c r="M141" i="414"/>
  <c r="L141" i="414"/>
  <c r="K141" i="414"/>
  <c r="O140" i="414"/>
  <c r="N140" i="414"/>
  <c r="M140" i="414"/>
  <c r="L140" i="414"/>
  <c r="K140" i="414"/>
  <c r="O139" i="414"/>
  <c r="N139" i="414"/>
  <c r="M139" i="414"/>
  <c r="L139" i="414"/>
  <c r="K139" i="414"/>
  <c r="O138" i="414"/>
  <c r="N138" i="414"/>
  <c r="M138" i="414"/>
  <c r="L138" i="414"/>
  <c r="K138" i="414"/>
  <c r="O137" i="414"/>
  <c r="N137" i="414"/>
  <c r="M137" i="414"/>
  <c r="L137" i="414"/>
  <c r="K137" i="414"/>
  <c r="O136" i="414"/>
  <c r="N136" i="414"/>
  <c r="M136" i="414"/>
  <c r="L136" i="414"/>
  <c r="K136" i="414"/>
  <c r="O135" i="414"/>
  <c r="N135" i="414"/>
  <c r="M135" i="414"/>
  <c r="L135" i="414"/>
  <c r="K135" i="414"/>
  <c r="O134" i="414"/>
  <c r="N134" i="414"/>
  <c r="M134" i="414"/>
  <c r="L134" i="414"/>
  <c r="K134" i="414"/>
  <c r="O133" i="414"/>
  <c r="N133" i="414"/>
  <c r="M133" i="414"/>
  <c r="L133" i="414"/>
  <c r="K133" i="414"/>
  <c r="O132" i="414"/>
  <c r="N132" i="414"/>
  <c r="M132" i="414"/>
  <c r="L132" i="414"/>
  <c r="K132" i="414"/>
  <c r="O131" i="414"/>
  <c r="N131" i="414"/>
  <c r="M131" i="414"/>
  <c r="L131" i="414"/>
  <c r="K131" i="414"/>
  <c r="O130" i="414"/>
  <c r="N130" i="414"/>
  <c r="M130" i="414"/>
  <c r="L130" i="414"/>
  <c r="K130" i="414"/>
  <c r="O129" i="414"/>
  <c r="N129" i="414"/>
  <c r="M129" i="414"/>
  <c r="L129" i="414"/>
  <c r="K129" i="414"/>
  <c r="O128" i="414"/>
  <c r="N128" i="414"/>
  <c r="M128" i="414"/>
  <c r="L128" i="414"/>
  <c r="K128" i="414"/>
  <c r="O127" i="414"/>
  <c r="N127" i="414"/>
  <c r="M127" i="414"/>
  <c r="L127" i="414"/>
  <c r="K127" i="414"/>
  <c r="O126" i="414"/>
  <c r="N126" i="414"/>
  <c r="M126" i="414"/>
  <c r="L126" i="414"/>
  <c r="K126" i="414"/>
  <c r="O125" i="414"/>
  <c r="N125" i="414"/>
  <c r="M125" i="414"/>
  <c r="L125" i="414"/>
  <c r="K125" i="414"/>
  <c r="O124" i="414"/>
  <c r="N124" i="414"/>
  <c r="M124" i="414"/>
  <c r="L124" i="414"/>
  <c r="K124" i="414"/>
  <c r="O123" i="414"/>
  <c r="N123" i="414"/>
  <c r="M123" i="414"/>
  <c r="L123" i="414"/>
  <c r="K123" i="414"/>
  <c r="O122" i="414"/>
  <c r="N122" i="414"/>
  <c r="M122" i="414"/>
  <c r="L122" i="414"/>
  <c r="K122" i="414"/>
  <c r="O121" i="414"/>
  <c r="N121" i="414"/>
  <c r="M121" i="414"/>
  <c r="L121" i="414"/>
  <c r="K121" i="414"/>
  <c r="O120" i="414"/>
  <c r="N120" i="414"/>
  <c r="M120" i="414"/>
  <c r="L120" i="414"/>
  <c r="K120" i="414"/>
  <c r="O119" i="414"/>
  <c r="N119" i="414"/>
  <c r="M119" i="414"/>
  <c r="L119" i="414"/>
  <c r="K119" i="414"/>
  <c r="O118" i="414"/>
  <c r="N118" i="414"/>
  <c r="M118" i="414"/>
  <c r="L118" i="414"/>
  <c r="K118" i="414"/>
  <c r="O117" i="414"/>
  <c r="N117" i="414"/>
  <c r="M117" i="414"/>
  <c r="L117" i="414"/>
  <c r="K117" i="414"/>
  <c r="O116" i="414"/>
  <c r="N116" i="414"/>
  <c r="M116" i="414"/>
  <c r="L116" i="414"/>
  <c r="K116" i="414"/>
  <c r="O115" i="414"/>
  <c r="N115" i="414"/>
  <c r="M115" i="414"/>
  <c r="L115" i="414"/>
  <c r="K115" i="414"/>
  <c r="O114" i="414"/>
  <c r="N114" i="414"/>
  <c r="M114" i="414"/>
  <c r="L114" i="414"/>
  <c r="K114" i="414"/>
  <c r="O113" i="414"/>
  <c r="N113" i="414"/>
  <c r="M113" i="414"/>
  <c r="L113" i="414"/>
  <c r="K113" i="414"/>
  <c r="O112" i="414"/>
  <c r="N112" i="414"/>
  <c r="M112" i="414"/>
  <c r="L112" i="414"/>
  <c r="K112" i="414"/>
  <c r="O111" i="414"/>
  <c r="N111" i="414"/>
  <c r="M111" i="414"/>
  <c r="L111" i="414"/>
  <c r="K111" i="414"/>
  <c r="O110" i="414"/>
  <c r="N110" i="414"/>
  <c r="M110" i="414"/>
  <c r="L110" i="414"/>
  <c r="K110" i="414"/>
  <c r="O109" i="414"/>
  <c r="N109" i="414"/>
  <c r="M109" i="414"/>
  <c r="L109" i="414"/>
  <c r="K109" i="414"/>
  <c r="O108" i="414"/>
  <c r="N108" i="414"/>
  <c r="M108" i="414"/>
  <c r="L108" i="414"/>
  <c r="K108" i="414"/>
  <c r="O107" i="414"/>
  <c r="N107" i="414"/>
  <c r="M107" i="414"/>
  <c r="L107" i="414"/>
  <c r="K107" i="414"/>
  <c r="O106" i="414"/>
  <c r="N106" i="414"/>
  <c r="M106" i="414"/>
  <c r="L106" i="414"/>
  <c r="K106" i="414"/>
  <c r="O105" i="414"/>
  <c r="N105" i="414"/>
  <c r="M105" i="414"/>
  <c r="L105" i="414"/>
  <c r="K105" i="414"/>
  <c r="O104" i="414"/>
  <c r="N104" i="414"/>
  <c r="M104" i="414"/>
  <c r="L104" i="414"/>
  <c r="K104" i="414"/>
  <c r="O103" i="414"/>
  <c r="N103" i="414"/>
  <c r="M103" i="414"/>
  <c r="L103" i="414"/>
  <c r="K103" i="414"/>
  <c r="O102" i="414"/>
  <c r="N102" i="414"/>
  <c r="M102" i="414"/>
  <c r="L102" i="414"/>
  <c r="K102" i="414"/>
  <c r="O101" i="414"/>
  <c r="N101" i="414"/>
  <c r="M101" i="414"/>
  <c r="L101" i="414"/>
  <c r="K101" i="414"/>
  <c r="O100" i="414"/>
  <c r="N100" i="414"/>
  <c r="M100" i="414"/>
  <c r="L100" i="414"/>
  <c r="K100" i="414"/>
  <c r="O99" i="414"/>
  <c r="N99" i="414"/>
  <c r="M99" i="414"/>
  <c r="L99" i="414"/>
  <c r="K99" i="414"/>
  <c r="O98" i="414"/>
  <c r="N98" i="414"/>
  <c r="M98" i="414"/>
  <c r="L98" i="414"/>
  <c r="K98" i="414"/>
  <c r="O97" i="414"/>
  <c r="N97" i="414"/>
  <c r="M97" i="414"/>
  <c r="L97" i="414"/>
  <c r="K97" i="414"/>
  <c r="O96" i="414"/>
  <c r="N96" i="414"/>
  <c r="M96" i="414"/>
  <c r="L96" i="414"/>
  <c r="K96" i="414"/>
  <c r="O95" i="414"/>
  <c r="N95" i="414"/>
  <c r="M95" i="414"/>
  <c r="L95" i="414"/>
  <c r="K95" i="414"/>
  <c r="O94" i="414"/>
  <c r="N94" i="414"/>
  <c r="M94" i="414"/>
  <c r="L94" i="414"/>
  <c r="K94" i="414"/>
  <c r="O93" i="414"/>
  <c r="N93" i="414"/>
  <c r="M93" i="414"/>
  <c r="L93" i="414"/>
  <c r="K93" i="414"/>
  <c r="O92" i="414"/>
  <c r="N92" i="414"/>
  <c r="M92" i="414"/>
  <c r="L92" i="414"/>
  <c r="K92" i="414"/>
  <c r="O91" i="414"/>
  <c r="N91" i="414"/>
  <c r="M91" i="414"/>
  <c r="L91" i="414"/>
  <c r="K91" i="414"/>
  <c r="O90" i="414"/>
  <c r="N90" i="414"/>
  <c r="M90" i="414"/>
  <c r="L90" i="414"/>
  <c r="K90" i="414"/>
  <c r="O89" i="414"/>
  <c r="N89" i="414"/>
  <c r="M89" i="414"/>
  <c r="L89" i="414"/>
  <c r="K89" i="414"/>
  <c r="O88" i="414"/>
  <c r="N88" i="414"/>
  <c r="M88" i="414"/>
  <c r="L88" i="414"/>
  <c r="K88" i="414"/>
  <c r="O87" i="414"/>
  <c r="N87" i="414"/>
  <c r="M87" i="414"/>
  <c r="L87" i="414"/>
  <c r="K87" i="414"/>
  <c r="O86" i="414"/>
  <c r="N86" i="414"/>
  <c r="M86" i="414"/>
  <c r="L86" i="414"/>
  <c r="K86" i="414"/>
  <c r="O85" i="414"/>
  <c r="N85" i="414"/>
  <c r="M85" i="414"/>
  <c r="L85" i="414"/>
  <c r="K85" i="414"/>
  <c r="O84" i="414"/>
  <c r="N84" i="414"/>
  <c r="M84" i="414"/>
  <c r="L84" i="414"/>
  <c r="K84" i="414"/>
  <c r="O83" i="414"/>
  <c r="N83" i="414"/>
  <c r="M83" i="414"/>
  <c r="L83" i="414"/>
  <c r="K83" i="414"/>
  <c r="O82" i="414"/>
  <c r="N82" i="414"/>
  <c r="M82" i="414"/>
  <c r="L82" i="414"/>
  <c r="K82" i="414"/>
  <c r="O81" i="414"/>
  <c r="N81" i="414"/>
  <c r="M81" i="414"/>
  <c r="L81" i="414"/>
  <c r="K81" i="414"/>
  <c r="O80" i="414"/>
  <c r="N80" i="414"/>
  <c r="M80" i="414"/>
  <c r="L80" i="414"/>
  <c r="K80" i="414"/>
  <c r="O79" i="414"/>
  <c r="N79" i="414"/>
  <c r="M79" i="414"/>
  <c r="L79" i="414"/>
  <c r="K79" i="414"/>
  <c r="O78" i="414"/>
  <c r="N78" i="414"/>
  <c r="M78" i="414"/>
  <c r="L78" i="414"/>
  <c r="K78" i="414"/>
  <c r="O77" i="414"/>
  <c r="N77" i="414"/>
  <c r="M77" i="414"/>
  <c r="L77" i="414"/>
  <c r="K77" i="414"/>
  <c r="O76" i="414"/>
  <c r="N76" i="414"/>
  <c r="M76" i="414"/>
  <c r="L76" i="414"/>
  <c r="K76" i="414"/>
  <c r="O75" i="414"/>
  <c r="N75" i="414"/>
  <c r="M75" i="414"/>
  <c r="L75" i="414"/>
  <c r="K75" i="414"/>
  <c r="O74" i="414"/>
  <c r="N74" i="414"/>
  <c r="M74" i="414"/>
  <c r="L74" i="414"/>
  <c r="K74" i="414"/>
  <c r="O73" i="414"/>
  <c r="N73" i="414"/>
  <c r="M73" i="414"/>
  <c r="L73" i="414"/>
  <c r="K73" i="414"/>
  <c r="O72" i="414"/>
  <c r="N72" i="414"/>
  <c r="M72" i="414"/>
  <c r="L72" i="414"/>
  <c r="K72" i="414"/>
  <c r="O71" i="414"/>
  <c r="N71" i="414"/>
  <c r="M71" i="414"/>
  <c r="L71" i="414"/>
  <c r="K71" i="414"/>
  <c r="O70" i="414"/>
  <c r="N70" i="414"/>
  <c r="M70" i="414"/>
  <c r="L70" i="414"/>
  <c r="K70" i="414"/>
  <c r="O69" i="414"/>
  <c r="N69" i="414"/>
  <c r="M69" i="414"/>
  <c r="L69" i="414"/>
  <c r="K69" i="414"/>
  <c r="O68" i="414"/>
  <c r="N68" i="414"/>
  <c r="M68" i="414"/>
  <c r="L68" i="414"/>
  <c r="K68" i="414"/>
  <c r="O67" i="414"/>
  <c r="N67" i="414"/>
  <c r="M67" i="414"/>
  <c r="L67" i="414"/>
  <c r="K67" i="414"/>
  <c r="O66" i="414"/>
  <c r="N66" i="414"/>
  <c r="M66" i="414"/>
  <c r="L66" i="414"/>
  <c r="K66" i="414"/>
  <c r="O65" i="414"/>
  <c r="N65" i="414"/>
  <c r="M65" i="414"/>
  <c r="L65" i="414"/>
  <c r="K65" i="414"/>
  <c r="O64" i="414"/>
  <c r="N64" i="414"/>
  <c r="M64" i="414"/>
  <c r="L64" i="414"/>
  <c r="K64" i="414"/>
  <c r="O63" i="414"/>
  <c r="N63" i="414"/>
  <c r="M63" i="414"/>
  <c r="L63" i="414"/>
  <c r="K63" i="414"/>
  <c r="O62" i="414"/>
  <c r="N62" i="414"/>
  <c r="M62" i="414"/>
  <c r="L62" i="414"/>
  <c r="K62" i="414"/>
  <c r="O61" i="414"/>
  <c r="N61" i="414"/>
  <c r="M61" i="414"/>
  <c r="L61" i="414"/>
  <c r="K61" i="414"/>
  <c r="O60" i="414"/>
  <c r="N60" i="414"/>
  <c r="M60" i="414"/>
  <c r="L60" i="414"/>
  <c r="K60" i="414"/>
  <c r="O59" i="414"/>
  <c r="N59" i="414"/>
  <c r="M59" i="414"/>
  <c r="L59" i="414"/>
  <c r="K59" i="414"/>
  <c r="O58" i="414"/>
  <c r="N58" i="414"/>
  <c r="M58" i="414"/>
  <c r="L58" i="414"/>
  <c r="K58" i="414"/>
  <c r="O57" i="414"/>
  <c r="N57" i="414"/>
  <c r="M57" i="414"/>
  <c r="L57" i="414"/>
  <c r="K57" i="414"/>
  <c r="O56" i="414"/>
  <c r="N56" i="414"/>
  <c r="M56" i="414"/>
  <c r="L56" i="414"/>
  <c r="K56" i="414"/>
  <c r="O55" i="414"/>
  <c r="N55" i="414"/>
  <c r="M55" i="414"/>
  <c r="L55" i="414"/>
  <c r="K55" i="414"/>
  <c r="O54" i="414"/>
  <c r="N54" i="414"/>
  <c r="M54" i="414"/>
  <c r="L54" i="414"/>
  <c r="K54" i="414"/>
  <c r="O53" i="414"/>
  <c r="N53" i="414"/>
  <c r="M53" i="414"/>
  <c r="L53" i="414"/>
  <c r="K53" i="414"/>
  <c r="O52" i="414"/>
  <c r="N52" i="414"/>
  <c r="M52" i="414"/>
  <c r="L52" i="414"/>
  <c r="K52" i="414"/>
  <c r="O51" i="414"/>
  <c r="N51" i="414"/>
  <c r="M51" i="414"/>
  <c r="L51" i="414"/>
  <c r="K51" i="414"/>
  <c r="O50" i="414"/>
  <c r="N50" i="414"/>
  <c r="M50" i="414"/>
  <c r="L50" i="414"/>
  <c r="K50" i="414"/>
  <c r="O49" i="414"/>
  <c r="N49" i="414"/>
  <c r="M49" i="414"/>
  <c r="L49" i="414"/>
  <c r="K49" i="414"/>
  <c r="O48" i="414"/>
  <c r="N48" i="414"/>
  <c r="M48" i="414"/>
  <c r="L48" i="414"/>
  <c r="K48" i="414"/>
  <c r="O47" i="414"/>
  <c r="N47" i="414"/>
  <c r="M47" i="414"/>
  <c r="L47" i="414"/>
  <c r="K47" i="414"/>
  <c r="O46" i="414"/>
  <c r="N46" i="414"/>
  <c r="M46" i="414"/>
  <c r="L46" i="414"/>
  <c r="K46" i="414"/>
  <c r="O45" i="414"/>
  <c r="N45" i="414"/>
  <c r="M45" i="414"/>
  <c r="L45" i="414"/>
  <c r="K45" i="414"/>
  <c r="O44" i="414"/>
  <c r="N44" i="414"/>
  <c r="M44" i="414"/>
  <c r="L44" i="414"/>
  <c r="K44" i="414"/>
  <c r="O43" i="414"/>
  <c r="N43" i="414"/>
  <c r="M43" i="414"/>
  <c r="L43" i="414"/>
  <c r="K43" i="414"/>
  <c r="O42" i="414"/>
  <c r="N42" i="414"/>
  <c r="M42" i="414"/>
  <c r="L42" i="414"/>
  <c r="K42" i="414"/>
  <c r="O41" i="414"/>
  <c r="N41" i="414"/>
  <c r="M41" i="414"/>
  <c r="L41" i="414"/>
  <c r="K41" i="414"/>
  <c r="O40" i="414"/>
  <c r="N40" i="414"/>
  <c r="M40" i="414"/>
  <c r="L40" i="414"/>
  <c r="K40" i="414"/>
  <c r="O39" i="414"/>
  <c r="N39" i="414"/>
  <c r="M39" i="414"/>
  <c r="L39" i="414"/>
  <c r="K39" i="414"/>
  <c r="O38" i="414"/>
  <c r="N38" i="414"/>
  <c r="M38" i="414"/>
  <c r="L38" i="414"/>
  <c r="K38" i="414"/>
  <c r="O37" i="414"/>
  <c r="N37" i="414"/>
  <c r="M37" i="414"/>
  <c r="L37" i="414"/>
  <c r="K37" i="414"/>
  <c r="O36" i="414"/>
  <c r="N36" i="414"/>
  <c r="M36" i="414"/>
  <c r="L36" i="414"/>
  <c r="K36" i="414"/>
  <c r="O35" i="414"/>
  <c r="N35" i="414"/>
  <c r="M35" i="414"/>
  <c r="L35" i="414"/>
  <c r="K35" i="414"/>
  <c r="O34" i="414"/>
  <c r="N34" i="414"/>
  <c r="M34" i="414"/>
  <c r="L34" i="414"/>
  <c r="K34" i="414"/>
  <c r="O33" i="414"/>
  <c r="N33" i="414"/>
  <c r="M33" i="414"/>
  <c r="L33" i="414"/>
  <c r="K33" i="414"/>
  <c r="O32" i="414"/>
  <c r="N32" i="414"/>
  <c r="M32" i="414"/>
  <c r="L32" i="414"/>
  <c r="K32" i="414"/>
  <c r="O31" i="414"/>
  <c r="N31" i="414"/>
  <c r="M31" i="414"/>
  <c r="L31" i="414"/>
  <c r="K31" i="414"/>
  <c r="O30" i="414"/>
  <c r="N30" i="414"/>
  <c r="M30" i="414"/>
  <c r="L30" i="414"/>
  <c r="K30" i="414"/>
  <c r="O29" i="414"/>
  <c r="N29" i="414"/>
  <c r="M29" i="414"/>
  <c r="L29" i="414"/>
  <c r="K29" i="414"/>
  <c r="O28" i="414"/>
  <c r="N28" i="414"/>
  <c r="M28" i="414"/>
  <c r="L28" i="414"/>
  <c r="K28" i="414"/>
  <c r="O27" i="414"/>
  <c r="N27" i="414"/>
  <c r="M27" i="414"/>
  <c r="L27" i="414"/>
  <c r="K27" i="414"/>
  <c r="O26" i="414"/>
  <c r="N26" i="414"/>
  <c r="M26" i="414"/>
  <c r="L26" i="414"/>
  <c r="K26" i="414"/>
  <c r="O25" i="414"/>
  <c r="N25" i="414"/>
  <c r="M25" i="414"/>
  <c r="L25" i="414"/>
  <c r="K25" i="414"/>
  <c r="O24" i="414"/>
  <c r="N24" i="414"/>
  <c r="M24" i="414"/>
  <c r="L24" i="414"/>
  <c r="K24" i="414"/>
  <c r="O23" i="414"/>
  <c r="N23" i="414"/>
  <c r="M23" i="414"/>
  <c r="L23" i="414"/>
  <c r="K23" i="414"/>
  <c r="O22" i="414"/>
  <c r="N22" i="414"/>
  <c r="M22" i="414"/>
  <c r="L22" i="414"/>
  <c r="K22" i="414"/>
  <c r="O21" i="414"/>
  <c r="N21" i="414"/>
  <c r="M21" i="414"/>
  <c r="L21" i="414"/>
  <c r="K21" i="414"/>
  <c r="O20" i="414"/>
  <c r="N20" i="414"/>
  <c r="M20" i="414"/>
  <c r="L20" i="414"/>
  <c r="K20" i="414"/>
  <c r="O19" i="414"/>
  <c r="N19" i="414"/>
  <c r="M19" i="414"/>
  <c r="L19" i="414"/>
  <c r="K19" i="414"/>
  <c r="O18" i="414"/>
  <c r="N18" i="414"/>
  <c r="M18" i="414"/>
  <c r="L18" i="414"/>
  <c r="K18" i="414"/>
  <c r="O17" i="414"/>
  <c r="N17" i="414"/>
  <c r="M17" i="414"/>
  <c r="L17" i="414"/>
  <c r="K17" i="414"/>
  <c r="O16" i="414"/>
  <c r="N16" i="414"/>
  <c r="M16" i="414"/>
  <c r="L16" i="414"/>
  <c r="K16" i="414"/>
  <c r="O15" i="414"/>
  <c r="N15" i="414"/>
  <c r="M15" i="414"/>
  <c r="L15" i="414"/>
  <c r="K15" i="414"/>
  <c r="O14" i="414"/>
  <c r="N14" i="414"/>
  <c r="M14" i="414"/>
  <c r="L14" i="414"/>
  <c r="K14" i="414"/>
  <c r="O13" i="414"/>
  <c r="N13" i="414"/>
  <c r="M13" i="414"/>
  <c r="L13" i="414"/>
  <c r="K13" i="414"/>
  <c r="O12" i="414"/>
  <c r="N12" i="414"/>
  <c r="M12" i="414"/>
  <c r="L12" i="414"/>
  <c r="K12" i="414"/>
  <c r="O11" i="414"/>
  <c r="N11" i="414"/>
  <c r="M11" i="414"/>
  <c r="L11" i="414"/>
  <c r="K11" i="414"/>
  <c r="O10" i="414"/>
  <c r="N10" i="414"/>
  <c r="M10" i="414"/>
  <c r="L10" i="414"/>
  <c r="K10" i="414"/>
  <c r="O9" i="414"/>
  <c r="N9" i="414"/>
  <c r="M9" i="414"/>
  <c r="L9" i="414"/>
  <c r="K9" i="414"/>
  <c r="O8" i="414"/>
  <c r="N8" i="414"/>
  <c r="M8" i="414"/>
  <c r="L8" i="414"/>
  <c r="K8" i="414"/>
  <c r="O7" i="414"/>
  <c r="N7" i="414"/>
  <c r="M7" i="414"/>
  <c r="L7" i="414"/>
  <c r="K7" i="414"/>
  <c r="O6" i="414"/>
  <c r="N6" i="414"/>
  <c r="M6" i="414"/>
  <c r="L6" i="414"/>
  <c r="K6" i="414"/>
  <c r="O5" i="414"/>
  <c r="N5" i="414"/>
  <c r="M5" i="414"/>
  <c r="L5" i="414"/>
  <c r="K5" i="414"/>
  <c r="O4" i="414"/>
  <c r="N4" i="414"/>
  <c r="M4" i="414"/>
  <c r="L4" i="414"/>
  <c r="K4" i="414"/>
  <c r="O3" i="414"/>
  <c r="N3" i="414"/>
  <c r="M3" i="414"/>
  <c r="L3" i="414"/>
  <c r="K3" i="414"/>
  <c r="O2" i="414"/>
  <c r="N2" i="414"/>
  <c r="M2" i="414"/>
  <c r="L2" i="414"/>
  <c r="D52" i="415" s="1"/>
  <c r="K2" i="414"/>
  <c r="O397" i="384"/>
  <c r="N397" i="384"/>
  <c r="M397" i="384"/>
  <c r="L397" i="384"/>
  <c r="K397" i="384"/>
  <c r="O396" i="384"/>
  <c r="N396" i="384"/>
  <c r="M396" i="384"/>
  <c r="L396" i="384"/>
  <c r="K396" i="384"/>
  <c r="O395" i="384"/>
  <c r="N395" i="384"/>
  <c r="M395" i="384"/>
  <c r="L395" i="384"/>
  <c r="K395" i="384"/>
  <c r="O394" i="384"/>
  <c r="N394" i="384"/>
  <c r="M394" i="384"/>
  <c r="L394" i="384"/>
  <c r="K394" i="384"/>
  <c r="O393" i="384"/>
  <c r="N393" i="384"/>
  <c r="M393" i="384"/>
  <c r="L393" i="384"/>
  <c r="K393" i="384"/>
  <c r="O392" i="384"/>
  <c r="N392" i="384"/>
  <c r="M392" i="384"/>
  <c r="L392" i="384"/>
  <c r="K392" i="384"/>
  <c r="O391" i="384"/>
  <c r="N391" i="384"/>
  <c r="M391" i="384"/>
  <c r="L391" i="384"/>
  <c r="K391" i="384"/>
  <c r="O390" i="384"/>
  <c r="N390" i="384"/>
  <c r="M390" i="384"/>
  <c r="L390" i="384"/>
  <c r="K390" i="384"/>
  <c r="O389" i="384"/>
  <c r="N389" i="384"/>
  <c r="M389" i="384"/>
  <c r="L389" i="384"/>
  <c r="K389" i="384"/>
  <c r="O388" i="384"/>
  <c r="N388" i="384"/>
  <c r="M388" i="384"/>
  <c r="L388" i="384"/>
  <c r="K388" i="384"/>
  <c r="O387" i="384"/>
  <c r="N387" i="384"/>
  <c r="M387" i="384"/>
  <c r="L387" i="384"/>
  <c r="K387" i="384"/>
  <c r="O386" i="384"/>
  <c r="N386" i="384"/>
  <c r="M386" i="384"/>
  <c r="L386" i="384"/>
  <c r="K386" i="384"/>
  <c r="O385" i="384"/>
  <c r="N385" i="384"/>
  <c r="M385" i="384"/>
  <c r="L385" i="384"/>
  <c r="K385" i="384"/>
  <c r="O384" i="384"/>
  <c r="N384" i="384"/>
  <c r="M384" i="384"/>
  <c r="L384" i="384"/>
  <c r="K384" i="384"/>
  <c r="O383" i="384"/>
  <c r="N383" i="384"/>
  <c r="M383" i="384"/>
  <c r="L383" i="384"/>
  <c r="K383" i="384"/>
  <c r="O382" i="384"/>
  <c r="N382" i="384"/>
  <c r="M382" i="384"/>
  <c r="L382" i="384"/>
  <c r="K382" i="384"/>
  <c r="O381" i="384"/>
  <c r="N381" i="384"/>
  <c r="M381" i="384"/>
  <c r="L381" i="384"/>
  <c r="K381" i="384"/>
  <c r="O380" i="384"/>
  <c r="N380" i="384"/>
  <c r="M380" i="384"/>
  <c r="L380" i="384"/>
  <c r="K380" i="384"/>
  <c r="O379" i="384"/>
  <c r="N379" i="384"/>
  <c r="M379" i="384"/>
  <c r="L379" i="384"/>
  <c r="K379" i="384"/>
  <c r="O378" i="384"/>
  <c r="N378" i="384"/>
  <c r="M378" i="384"/>
  <c r="L378" i="384"/>
  <c r="K378" i="384"/>
  <c r="O377" i="384"/>
  <c r="N377" i="384"/>
  <c r="M377" i="384"/>
  <c r="L377" i="384"/>
  <c r="K377" i="384"/>
  <c r="O376" i="384"/>
  <c r="N376" i="384"/>
  <c r="M376" i="384"/>
  <c r="L376" i="384"/>
  <c r="K376" i="384"/>
  <c r="O375" i="384"/>
  <c r="N375" i="384"/>
  <c r="M375" i="384"/>
  <c r="L375" i="384"/>
  <c r="K375" i="384"/>
  <c r="O374" i="384"/>
  <c r="N374" i="384"/>
  <c r="M374" i="384"/>
  <c r="L374" i="384"/>
  <c r="K374" i="384"/>
  <c r="O373" i="384"/>
  <c r="N373" i="384"/>
  <c r="M373" i="384"/>
  <c r="L373" i="384"/>
  <c r="K373" i="384"/>
  <c r="O372" i="384"/>
  <c r="N372" i="384"/>
  <c r="M372" i="384"/>
  <c r="L372" i="384"/>
  <c r="K372" i="384"/>
  <c r="O371" i="384"/>
  <c r="N371" i="384"/>
  <c r="M371" i="384"/>
  <c r="L371" i="384"/>
  <c r="K371" i="384"/>
  <c r="O370" i="384"/>
  <c r="N370" i="384"/>
  <c r="M370" i="384"/>
  <c r="L370" i="384"/>
  <c r="K370" i="384"/>
  <c r="O369" i="384"/>
  <c r="N369" i="384"/>
  <c r="M369" i="384"/>
  <c r="L369" i="384"/>
  <c r="K369" i="384"/>
  <c r="O368" i="384"/>
  <c r="N368" i="384"/>
  <c r="M368" i="384"/>
  <c r="L368" i="384"/>
  <c r="K368" i="384"/>
  <c r="O367" i="384"/>
  <c r="N367" i="384"/>
  <c r="M367" i="384"/>
  <c r="L367" i="384"/>
  <c r="K367" i="384"/>
  <c r="O366" i="384"/>
  <c r="N366" i="384"/>
  <c r="M366" i="384"/>
  <c r="L366" i="384"/>
  <c r="K366" i="384"/>
  <c r="O365" i="384"/>
  <c r="N365" i="384"/>
  <c r="M365" i="384"/>
  <c r="L365" i="384"/>
  <c r="K365" i="384"/>
  <c r="O364" i="384"/>
  <c r="N364" i="384"/>
  <c r="M364" i="384"/>
  <c r="L364" i="384"/>
  <c r="K364" i="384"/>
  <c r="O363" i="384"/>
  <c r="N363" i="384"/>
  <c r="M363" i="384"/>
  <c r="L363" i="384"/>
  <c r="K363" i="384"/>
  <c r="O362" i="384"/>
  <c r="N362" i="384"/>
  <c r="M362" i="384"/>
  <c r="L362" i="384"/>
  <c r="K362" i="384"/>
  <c r="O361" i="384"/>
  <c r="N361" i="384"/>
  <c r="M361" i="384"/>
  <c r="L361" i="384"/>
  <c r="K361" i="384"/>
  <c r="O360" i="384"/>
  <c r="N360" i="384"/>
  <c r="M360" i="384"/>
  <c r="L360" i="384"/>
  <c r="K360" i="384"/>
  <c r="O359" i="384"/>
  <c r="N359" i="384"/>
  <c r="M359" i="384"/>
  <c r="L359" i="384"/>
  <c r="K359" i="384"/>
  <c r="O358" i="384"/>
  <c r="N358" i="384"/>
  <c r="M358" i="384"/>
  <c r="L358" i="384"/>
  <c r="K358" i="384"/>
  <c r="O357" i="384"/>
  <c r="N357" i="384"/>
  <c r="M357" i="384"/>
  <c r="L357" i="384"/>
  <c r="K357" i="384"/>
  <c r="O356" i="384"/>
  <c r="N356" i="384"/>
  <c r="M356" i="384"/>
  <c r="L356" i="384"/>
  <c r="K356" i="384"/>
  <c r="O355" i="384"/>
  <c r="N355" i="384"/>
  <c r="M355" i="384"/>
  <c r="L355" i="384"/>
  <c r="K355" i="384"/>
  <c r="O354" i="384"/>
  <c r="N354" i="384"/>
  <c r="M354" i="384"/>
  <c r="L354" i="384"/>
  <c r="K354" i="384"/>
  <c r="O353" i="384"/>
  <c r="N353" i="384"/>
  <c r="M353" i="384"/>
  <c r="L353" i="384"/>
  <c r="K353" i="384"/>
  <c r="O352" i="384"/>
  <c r="N352" i="384"/>
  <c r="M352" i="384"/>
  <c r="L352" i="384"/>
  <c r="K352" i="384"/>
  <c r="O351" i="384"/>
  <c r="N351" i="384"/>
  <c r="M351" i="384"/>
  <c r="L351" i="384"/>
  <c r="K351" i="384"/>
  <c r="O350" i="384"/>
  <c r="N350" i="384"/>
  <c r="M350" i="384"/>
  <c r="L350" i="384"/>
  <c r="K350" i="384"/>
  <c r="O349" i="384"/>
  <c r="N349" i="384"/>
  <c r="M349" i="384"/>
  <c r="L349" i="384"/>
  <c r="K349" i="384"/>
  <c r="O348" i="384"/>
  <c r="N348" i="384"/>
  <c r="M348" i="384"/>
  <c r="L348" i="384"/>
  <c r="K348" i="384"/>
  <c r="O347" i="384"/>
  <c r="N347" i="384"/>
  <c r="M347" i="384"/>
  <c r="L347" i="384"/>
  <c r="K347" i="384"/>
  <c r="O346" i="384"/>
  <c r="N346" i="384"/>
  <c r="M346" i="384"/>
  <c r="L346" i="384"/>
  <c r="K346" i="384"/>
  <c r="O345" i="384"/>
  <c r="N345" i="384"/>
  <c r="M345" i="384"/>
  <c r="L345" i="384"/>
  <c r="K345" i="384"/>
  <c r="O344" i="384"/>
  <c r="N344" i="384"/>
  <c r="M344" i="384"/>
  <c r="L344" i="384"/>
  <c r="K344" i="384"/>
  <c r="O343" i="384"/>
  <c r="N343" i="384"/>
  <c r="M343" i="384"/>
  <c r="L343" i="384"/>
  <c r="K343" i="384"/>
  <c r="O342" i="384"/>
  <c r="N342" i="384"/>
  <c r="M342" i="384"/>
  <c r="L342" i="384"/>
  <c r="K342" i="384"/>
  <c r="O341" i="384"/>
  <c r="N341" i="384"/>
  <c r="M341" i="384"/>
  <c r="L341" i="384"/>
  <c r="K341" i="384"/>
  <c r="O340" i="384"/>
  <c r="N340" i="384"/>
  <c r="M340" i="384"/>
  <c r="L340" i="384"/>
  <c r="K340" i="384"/>
  <c r="O339" i="384"/>
  <c r="N339" i="384"/>
  <c r="M339" i="384"/>
  <c r="L339" i="384"/>
  <c r="K339" i="384"/>
  <c r="O338" i="384"/>
  <c r="N338" i="384"/>
  <c r="M338" i="384"/>
  <c r="L338" i="384"/>
  <c r="K338" i="384"/>
  <c r="O337" i="384"/>
  <c r="N337" i="384"/>
  <c r="M337" i="384"/>
  <c r="L337" i="384"/>
  <c r="K337" i="384"/>
  <c r="O336" i="384"/>
  <c r="N336" i="384"/>
  <c r="M336" i="384"/>
  <c r="L336" i="384"/>
  <c r="K336" i="384"/>
  <c r="O335" i="384"/>
  <c r="N335" i="384"/>
  <c r="M335" i="384"/>
  <c r="L335" i="384"/>
  <c r="K335" i="384"/>
  <c r="O334" i="384"/>
  <c r="N334" i="384"/>
  <c r="M334" i="384"/>
  <c r="L334" i="384"/>
  <c r="K334" i="384"/>
  <c r="O333" i="384"/>
  <c r="N333" i="384"/>
  <c r="M333" i="384"/>
  <c r="L333" i="384"/>
  <c r="K333" i="384"/>
  <c r="O332" i="384"/>
  <c r="N332" i="384"/>
  <c r="M332" i="384"/>
  <c r="L332" i="384"/>
  <c r="K332" i="384"/>
  <c r="O331" i="384"/>
  <c r="N331" i="384"/>
  <c r="M331" i="384"/>
  <c r="L331" i="384"/>
  <c r="K331" i="384"/>
  <c r="O330" i="384"/>
  <c r="N330" i="384"/>
  <c r="M330" i="384"/>
  <c r="L330" i="384"/>
  <c r="K330" i="384"/>
  <c r="O329" i="384"/>
  <c r="N329" i="384"/>
  <c r="M329" i="384"/>
  <c r="L329" i="384"/>
  <c r="K329" i="384"/>
  <c r="O328" i="384"/>
  <c r="N328" i="384"/>
  <c r="M328" i="384"/>
  <c r="L328" i="384"/>
  <c r="K328" i="384"/>
  <c r="O327" i="384"/>
  <c r="N327" i="384"/>
  <c r="M327" i="384"/>
  <c r="L327" i="384"/>
  <c r="K327" i="384"/>
  <c r="O326" i="384"/>
  <c r="N326" i="384"/>
  <c r="M326" i="384"/>
  <c r="L326" i="384"/>
  <c r="K326" i="384"/>
  <c r="O325" i="384"/>
  <c r="N325" i="384"/>
  <c r="M325" i="384"/>
  <c r="L325" i="384"/>
  <c r="K325" i="384"/>
  <c r="O324" i="384"/>
  <c r="N324" i="384"/>
  <c r="M324" i="384"/>
  <c r="L324" i="384"/>
  <c r="K324" i="384"/>
  <c r="O323" i="384"/>
  <c r="N323" i="384"/>
  <c r="M323" i="384"/>
  <c r="L323" i="384"/>
  <c r="K323" i="384"/>
  <c r="O322" i="384"/>
  <c r="N322" i="384"/>
  <c r="M322" i="384"/>
  <c r="L322" i="384"/>
  <c r="K322" i="384"/>
  <c r="O321" i="384"/>
  <c r="N321" i="384"/>
  <c r="M321" i="384"/>
  <c r="L321" i="384"/>
  <c r="K321" i="384"/>
  <c r="O320" i="384"/>
  <c r="N320" i="384"/>
  <c r="M320" i="384"/>
  <c r="L320" i="384"/>
  <c r="K320" i="384"/>
  <c r="O319" i="384"/>
  <c r="N319" i="384"/>
  <c r="M319" i="384"/>
  <c r="L319" i="384"/>
  <c r="K319" i="384"/>
  <c r="O318" i="384"/>
  <c r="N318" i="384"/>
  <c r="M318" i="384"/>
  <c r="L318" i="384"/>
  <c r="K318" i="384"/>
  <c r="O317" i="384"/>
  <c r="N317" i="384"/>
  <c r="M317" i="384"/>
  <c r="L317" i="384"/>
  <c r="K317" i="384"/>
  <c r="O316" i="384"/>
  <c r="N316" i="384"/>
  <c r="M316" i="384"/>
  <c r="L316" i="384"/>
  <c r="K316" i="384"/>
  <c r="O315" i="384"/>
  <c r="N315" i="384"/>
  <c r="M315" i="384"/>
  <c r="L315" i="384"/>
  <c r="K315" i="384"/>
  <c r="O314" i="384"/>
  <c r="N314" i="384"/>
  <c r="M314" i="384"/>
  <c r="L314" i="384"/>
  <c r="K314" i="384"/>
  <c r="O313" i="384"/>
  <c r="N313" i="384"/>
  <c r="M313" i="384"/>
  <c r="L313" i="384"/>
  <c r="K313" i="384"/>
  <c r="O312" i="384"/>
  <c r="N312" i="384"/>
  <c r="M312" i="384"/>
  <c r="L312" i="384"/>
  <c r="K312" i="384"/>
  <c r="O311" i="384"/>
  <c r="N311" i="384"/>
  <c r="M311" i="384"/>
  <c r="L311" i="384"/>
  <c r="K311" i="384"/>
  <c r="O310" i="384"/>
  <c r="N310" i="384"/>
  <c r="M310" i="384"/>
  <c r="L310" i="384"/>
  <c r="K310" i="384"/>
  <c r="O309" i="384"/>
  <c r="N309" i="384"/>
  <c r="M309" i="384"/>
  <c r="L309" i="384"/>
  <c r="K309" i="384"/>
  <c r="O308" i="384"/>
  <c r="N308" i="384"/>
  <c r="M308" i="384"/>
  <c r="L308" i="384"/>
  <c r="K308" i="384"/>
  <c r="O307" i="384"/>
  <c r="N307" i="384"/>
  <c r="M307" i="384"/>
  <c r="L307" i="384"/>
  <c r="K307" i="384"/>
  <c r="O306" i="384"/>
  <c r="N306" i="384"/>
  <c r="M306" i="384"/>
  <c r="L306" i="384"/>
  <c r="K306" i="384"/>
  <c r="O305" i="384"/>
  <c r="N305" i="384"/>
  <c r="M305" i="384"/>
  <c r="L305" i="384"/>
  <c r="K305" i="384"/>
  <c r="O304" i="384"/>
  <c r="N304" i="384"/>
  <c r="M304" i="384"/>
  <c r="L304" i="384"/>
  <c r="K304" i="384"/>
  <c r="O303" i="384"/>
  <c r="N303" i="384"/>
  <c r="M303" i="384"/>
  <c r="L303" i="384"/>
  <c r="K303" i="384"/>
  <c r="O302" i="384"/>
  <c r="N302" i="384"/>
  <c r="M302" i="384"/>
  <c r="L302" i="384"/>
  <c r="K302" i="384"/>
  <c r="O301" i="384"/>
  <c r="N301" i="384"/>
  <c r="M301" i="384"/>
  <c r="L301" i="384"/>
  <c r="K301" i="384"/>
  <c r="O300" i="384"/>
  <c r="N300" i="384"/>
  <c r="M300" i="384"/>
  <c r="L300" i="384"/>
  <c r="K300" i="384"/>
  <c r="O299" i="384"/>
  <c r="N299" i="384"/>
  <c r="M299" i="384"/>
  <c r="L299" i="384"/>
  <c r="K299" i="384"/>
  <c r="O298" i="384"/>
  <c r="N298" i="384"/>
  <c r="M298" i="384"/>
  <c r="L298" i="384"/>
  <c r="K298" i="384"/>
  <c r="O297" i="384"/>
  <c r="N297" i="384"/>
  <c r="M297" i="384"/>
  <c r="L297" i="384"/>
  <c r="K297" i="384"/>
  <c r="O296" i="384"/>
  <c r="N296" i="384"/>
  <c r="M296" i="384"/>
  <c r="L296" i="384"/>
  <c r="K296" i="384"/>
  <c r="O295" i="384"/>
  <c r="N295" i="384"/>
  <c r="M295" i="384"/>
  <c r="L295" i="384"/>
  <c r="K295" i="384"/>
  <c r="O294" i="384"/>
  <c r="N294" i="384"/>
  <c r="M294" i="384"/>
  <c r="L294" i="384"/>
  <c r="K294" i="384"/>
  <c r="O293" i="384"/>
  <c r="N293" i="384"/>
  <c r="M293" i="384"/>
  <c r="L293" i="384"/>
  <c r="K293" i="384"/>
  <c r="O292" i="384"/>
  <c r="N292" i="384"/>
  <c r="M292" i="384"/>
  <c r="L292" i="384"/>
  <c r="K292" i="384"/>
  <c r="O291" i="384"/>
  <c r="N291" i="384"/>
  <c r="M291" i="384"/>
  <c r="L291" i="384"/>
  <c r="K291" i="384"/>
  <c r="O290" i="384"/>
  <c r="N290" i="384"/>
  <c r="M290" i="384"/>
  <c r="L290" i="384"/>
  <c r="K290" i="384"/>
  <c r="O289" i="384"/>
  <c r="N289" i="384"/>
  <c r="M289" i="384"/>
  <c r="L289" i="384"/>
  <c r="K289" i="384"/>
  <c r="O288" i="384"/>
  <c r="N288" i="384"/>
  <c r="M288" i="384"/>
  <c r="L288" i="384"/>
  <c r="K288" i="384"/>
  <c r="O287" i="384"/>
  <c r="N287" i="384"/>
  <c r="M287" i="384"/>
  <c r="L287" i="384"/>
  <c r="K287" i="384"/>
  <c r="O286" i="384"/>
  <c r="N286" i="384"/>
  <c r="M286" i="384"/>
  <c r="L286" i="384"/>
  <c r="K286" i="384"/>
  <c r="O285" i="384"/>
  <c r="N285" i="384"/>
  <c r="M285" i="384"/>
  <c r="L285" i="384"/>
  <c r="K285" i="384"/>
  <c r="O284" i="384"/>
  <c r="N284" i="384"/>
  <c r="M284" i="384"/>
  <c r="L284" i="384"/>
  <c r="K284" i="384"/>
  <c r="O283" i="384"/>
  <c r="N283" i="384"/>
  <c r="M283" i="384"/>
  <c r="L283" i="384"/>
  <c r="K283" i="384"/>
  <c r="O282" i="384"/>
  <c r="N282" i="384"/>
  <c r="M282" i="384"/>
  <c r="L282" i="384"/>
  <c r="K282" i="384"/>
  <c r="O281" i="384"/>
  <c r="N281" i="384"/>
  <c r="M281" i="384"/>
  <c r="L281" i="384"/>
  <c r="K281" i="384"/>
  <c r="O280" i="384"/>
  <c r="N280" i="384"/>
  <c r="M280" i="384"/>
  <c r="L280" i="384"/>
  <c r="K280" i="384"/>
  <c r="O279" i="384"/>
  <c r="N279" i="384"/>
  <c r="M279" i="384"/>
  <c r="L279" i="384"/>
  <c r="K279" i="384"/>
  <c r="O278" i="384"/>
  <c r="N278" i="384"/>
  <c r="M278" i="384"/>
  <c r="L278" i="384"/>
  <c r="K278" i="384"/>
  <c r="O277" i="384"/>
  <c r="N277" i="384"/>
  <c r="M277" i="384"/>
  <c r="L277" i="384"/>
  <c r="K277" i="384"/>
  <c r="O276" i="384"/>
  <c r="N276" i="384"/>
  <c r="M276" i="384"/>
  <c r="L276" i="384"/>
  <c r="K276" i="384"/>
  <c r="O275" i="384"/>
  <c r="N275" i="384"/>
  <c r="M275" i="384"/>
  <c r="L275" i="384"/>
  <c r="K275" i="384"/>
  <c r="O274" i="384"/>
  <c r="N274" i="384"/>
  <c r="M274" i="384"/>
  <c r="L274" i="384"/>
  <c r="K274" i="384"/>
  <c r="O273" i="384"/>
  <c r="N273" i="384"/>
  <c r="M273" i="384"/>
  <c r="L273" i="384"/>
  <c r="K273" i="384"/>
  <c r="O272" i="384"/>
  <c r="N272" i="384"/>
  <c r="M272" i="384"/>
  <c r="L272" i="384"/>
  <c r="K272" i="384"/>
  <c r="O271" i="384"/>
  <c r="N271" i="384"/>
  <c r="M271" i="384"/>
  <c r="L271" i="384"/>
  <c r="K271" i="384"/>
  <c r="O270" i="384"/>
  <c r="N270" i="384"/>
  <c r="M270" i="384"/>
  <c r="L270" i="384"/>
  <c r="K270" i="384"/>
  <c r="O269" i="384"/>
  <c r="N269" i="384"/>
  <c r="M269" i="384"/>
  <c r="L269" i="384"/>
  <c r="K269" i="384"/>
  <c r="O268" i="384"/>
  <c r="N268" i="384"/>
  <c r="M268" i="384"/>
  <c r="L268" i="384"/>
  <c r="K268" i="384"/>
  <c r="O267" i="384"/>
  <c r="N267" i="384"/>
  <c r="M267" i="384"/>
  <c r="L267" i="384"/>
  <c r="K267" i="384"/>
  <c r="O266" i="384"/>
  <c r="N266" i="384"/>
  <c r="M266" i="384"/>
  <c r="L266" i="384"/>
  <c r="K266" i="384"/>
  <c r="O265" i="384"/>
  <c r="N265" i="384"/>
  <c r="M265" i="384"/>
  <c r="L265" i="384"/>
  <c r="K265" i="384"/>
  <c r="O264" i="384"/>
  <c r="N264" i="384"/>
  <c r="M264" i="384"/>
  <c r="L264" i="384"/>
  <c r="K264" i="384"/>
  <c r="O263" i="384"/>
  <c r="N263" i="384"/>
  <c r="M263" i="384"/>
  <c r="L263" i="384"/>
  <c r="K263" i="384"/>
  <c r="O262" i="384"/>
  <c r="N262" i="384"/>
  <c r="M262" i="384"/>
  <c r="L262" i="384"/>
  <c r="K262" i="384"/>
  <c r="O261" i="384"/>
  <c r="N261" i="384"/>
  <c r="M261" i="384"/>
  <c r="L261" i="384"/>
  <c r="K261" i="384"/>
  <c r="O260" i="384"/>
  <c r="N260" i="384"/>
  <c r="M260" i="384"/>
  <c r="L260" i="384"/>
  <c r="K260" i="384"/>
  <c r="O259" i="384"/>
  <c r="N259" i="384"/>
  <c r="M259" i="384"/>
  <c r="L259" i="384"/>
  <c r="K259" i="384"/>
  <c r="O258" i="384"/>
  <c r="N258" i="384"/>
  <c r="M258" i="384"/>
  <c r="L258" i="384"/>
  <c r="K258" i="384"/>
  <c r="O257" i="384"/>
  <c r="N257" i="384"/>
  <c r="M257" i="384"/>
  <c r="L257" i="384"/>
  <c r="K257" i="384"/>
  <c r="O256" i="384"/>
  <c r="N256" i="384"/>
  <c r="M256" i="384"/>
  <c r="L256" i="384"/>
  <c r="K256" i="384"/>
  <c r="O255" i="384"/>
  <c r="N255" i="384"/>
  <c r="M255" i="384"/>
  <c r="L255" i="384"/>
  <c r="K255" i="384"/>
  <c r="O254" i="384"/>
  <c r="N254" i="384"/>
  <c r="M254" i="384"/>
  <c r="L254" i="384"/>
  <c r="K254" i="384"/>
  <c r="O253" i="384"/>
  <c r="N253" i="384"/>
  <c r="M253" i="384"/>
  <c r="L253" i="384"/>
  <c r="K253" i="384"/>
  <c r="O252" i="384"/>
  <c r="N252" i="384"/>
  <c r="M252" i="384"/>
  <c r="L252" i="384"/>
  <c r="K252" i="384"/>
  <c r="O251" i="384"/>
  <c r="N251" i="384"/>
  <c r="M251" i="384"/>
  <c r="L251" i="384"/>
  <c r="K251" i="384"/>
  <c r="O250" i="384"/>
  <c r="N250" i="384"/>
  <c r="M250" i="384"/>
  <c r="L250" i="384"/>
  <c r="K250" i="384"/>
  <c r="O249" i="384"/>
  <c r="N249" i="384"/>
  <c r="M249" i="384"/>
  <c r="L249" i="384"/>
  <c r="K249" i="384"/>
  <c r="O248" i="384"/>
  <c r="N248" i="384"/>
  <c r="M248" i="384"/>
  <c r="L248" i="384"/>
  <c r="K248" i="384"/>
  <c r="O247" i="384"/>
  <c r="N247" i="384"/>
  <c r="M247" i="384"/>
  <c r="L247" i="384"/>
  <c r="K247" i="384"/>
  <c r="O246" i="384"/>
  <c r="N246" i="384"/>
  <c r="M246" i="384"/>
  <c r="L246" i="384"/>
  <c r="K246" i="384"/>
  <c r="O245" i="384"/>
  <c r="N245" i="384"/>
  <c r="M245" i="384"/>
  <c r="L245" i="384"/>
  <c r="K245" i="384"/>
  <c r="O244" i="384"/>
  <c r="N244" i="384"/>
  <c r="M244" i="384"/>
  <c r="L244" i="384"/>
  <c r="K244" i="384"/>
  <c r="O243" i="384"/>
  <c r="N243" i="384"/>
  <c r="M243" i="384"/>
  <c r="L243" i="384"/>
  <c r="K243" i="384"/>
  <c r="O242" i="384"/>
  <c r="N242" i="384"/>
  <c r="M242" i="384"/>
  <c r="L242" i="384"/>
  <c r="K242" i="384"/>
  <c r="O241" i="384"/>
  <c r="N241" i="384"/>
  <c r="M241" i="384"/>
  <c r="L241" i="384"/>
  <c r="K241" i="384"/>
  <c r="O240" i="384"/>
  <c r="N240" i="384"/>
  <c r="M240" i="384"/>
  <c r="L240" i="384"/>
  <c r="K240" i="384"/>
  <c r="O239" i="384"/>
  <c r="N239" i="384"/>
  <c r="M239" i="384"/>
  <c r="L239" i="384"/>
  <c r="K239" i="384"/>
  <c r="O238" i="384"/>
  <c r="N238" i="384"/>
  <c r="M238" i="384"/>
  <c r="L238" i="384"/>
  <c r="K238" i="384"/>
  <c r="O237" i="384"/>
  <c r="N237" i="384"/>
  <c r="M237" i="384"/>
  <c r="L237" i="384"/>
  <c r="K237" i="384"/>
  <c r="O236" i="384"/>
  <c r="N236" i="384"/>
  <c r="M236" i="384"/>
  <c r="L236" i="384"/>
  <c r="K236" i="384"/>
  <c r="O235" i="384"/>
  <c r="N235" i="384"/>
  <c r="M235" i="384"/>
  <c r="L235" i="384"/>
  <c r="K235" i="384"/>
  <c r="O234" i="384"/>
  <c r="N234" i="384"/>
  <c r="M234" i="384"/>
  <c r="L234" i="384"/>
  <c r="K234" i="384"/>
  <c r="O233" i="384"/>
  <c r="N233" i="384"/>
  <c r="M233" i="384"/>
  <c r="L233" i="384"/>
  <c r="K233" i="384"/>
  <c r="O232" i="384"/>
  <c r="N232" i="384"/>
  <c r="M232" i="384"/>
  <c r="L232" i="384"/>
  <c r="K232" i="384"/>
  <c r="O231" i="384"/>
  <c r="N231" i="384"/>
  <c r="M231" i="384"/>
  <c r="L231" i="384"/>
  <c r="K231" i="384"/>
  <c r="O230" i="384"/>
  <c r="N230" i="384"/>
  <c r="M230" i="384"/>
  <c r="L230" i="384"/>
  <c r="K230" i="384"/>
  <c r="O229" i="384"/>
  <c r="N229" i="384"/>
  <c r="M229" i="384"/>
  <c r="L229" i="384"/>
  <c r="K229" i="384"/>
  <c r="O228" i="384"/>
  <c r="N228" i="384"/>
  <c r="M228" i="384"/>
  <c r="L228" i="384"/>
  <c r="K228" i="384"/>
  <c r="O227" i="384"/>
  <c r="N227" i="384"/>
  <c r="M227" i="384"/>
  <c r="L227" i="384"/>
  <c r="K227" i="384"/>
  <c r="O226" i="384"/>
  <c r="N226" i="384"/>
  <c r="M226" i="384"/>
  <c r="L226" i="384"/>
  <c r="K226" i="384"/>
  <c r="O225" i="384"/>
  <c r="N225" i="384"/>
  <c r="M225" i="384"/>
  <c r="L225" i="384"/>
  <c r="K225" i="384"/>
  <c r="O224" i="384"/>
  <c r="N224" i="384"/>
  <c r="M224" i="384"/>
  <c r="L224" i="384"/>
  <c r="K224" i="384"/>
  <c r="O223" i="384"/>
  <c r="N223" i="384"/>
  <c r="M223" i="384"/>
  <c r="L223" i="384"/>
  <c r="K223" i="384"/>
  <c r="O222" i="384"/>
  <c r="N222" i="384"/>
  <c r="M222" i="384"/>
  <c r="L222" i="384"/>
  <c r="K222" i="384"/>
  <c r="O221" i="384"/>
  <c r="N221" i="384"/>
  <c r="M221" i="384"/>
  <c r="L221" i="384"/>
  <c r="K221" i="384"/>
  <c r="O220" i="384"/>
  <c r="N220" i="384"/>
  <c r="M220" i="384"/>
  <c r="L220" i="384"/>
  <c r="K220" i="384"/>
  <c r="O219" i="384"/>
  <c r="N219" i="384"/>
  <c r="M219" i="384"/>
  <c r="L219" i="384"/>
  <c r="K219" i="384"/>
  <c r="O218" i="384"/>
  <c r="N218" i="384"/>
  <c r="M218" i="384"/>
  <c r="L218" i="384"/>
  <c r="K218" i="384"/>
  <c r="O217" i="384"/>
  <c r="N217" i="384"/>
  <c r="M217" i="384"/>
  <c r="L217" i="384"/>
  <c r="K217" i="384"/>
  <c r="O216" i="384"/>
  <c r="N216" i="384"/>
  <c r="M216" i="384"/>
  <c r="L216" i="384"/>
  <c r="K216" i="384"/>
  <c r="O215" i="384"/>
  <c r="N215" i="384"/>
  <c r="M215" i="384"/>
  <c r="L215" i="384"/>
  <c r="K215" i="384"/>
  <c r="O214" i="384"/>
  <c r="N214" i="384"/>
  <c r="M214" i="384"/>
  <c r="L214" i="384"/>
  <c r="K214" i="384"/>
  <c r="O213" i="384"/>
  <c r="N213" i="384"/>
  <c r="M213" i="384"/>
  <c r="L213" i="384"/>
  <c r="K213" i="384"/>
  <c r="O212" i="384"/>
  <c r="N212" i="384"/>
  <c r="M212" i="384"/>
  <c r="L212" i="384"/>
  <c r="K212" i="384"/>
  <c r="O211" i="384"/>
  <c r="N211" i="384"/>
  <c r="M211" i="384"/>
  <c r="L211" i="384"/>
  <c r="K211" i="384"/>
  <c r="O210" i="384"/>
  <c r="N210" i="384"/>
  <c r="M210" i="384"/>
  <c r="L210" i="384"/>
  <c r="K210" i="384"/>
  <c r="O209" i="384"/>
  <c r="N209" i="384"/>
  <c r="M209" i="384"/>
  <c r="L209" i="384"/>
  <c r="K209" i="384"/>
  <c r="O208" i="384"/>
  <c r="N208" i="384"/>
  <c r="M208" i="384"/>
  <c r="L208" i="384"/>
  <c r="K208" i="384"/>
  <c r="O207" i="384"/>
  <c r="N207" i="384"/>
  <c r="M207" i="384"/>
  <c r="L207" i="384"/>
  <c r="K207" i="384"/>
  <c r="O206" i="384"/>
  <c r="N206" i="384"/>
  <c r="M206" i="384"/>
  <c r="L206" i="384"/>
  <c r="K206" i="384"/>
  <c r="O205" i="384"/>
  <c r="N205" i="384"/>
  <c r="M205" i="384"/>
  <c r="L205" i="384"/>
  <c r="K205" i="384"/>
  <c r="O204" i="384"/>
  <c r="N204" i="384"/>
  <c r="M204" i="384"/>
  <c r="L204" i="384"/>
  <c r="K204" i="384"/>
  <c r="O203" i="384"/>
  <c r="N203" i="384"/>
  <c r="M203" i="384"/>
  <c r="L203" i="384"/>
  <c r="K203" i="384"/>
  <c r="O202" i="384"/>
  <c r="N202" i="384"/>
  <c r="M202" i="384"/>
  <c r="L202" i="384"/>
  <c r="K202" i="384"/>
  <c r="O201" i="384"/>
  <c r="N201" i="384"/>
  <c r="M201" i="384"/>
  <c r="L201" i="384"/>
  <c r="K201" i="384"/>
  <c r="O200" i="384"/>
  <c r="N200" i="384"/>
  <c r="M200" i="384"/>
  <c r="L200" i="384"/>
  <c r="K200" i="384"/>
  <c r="O199" i="384"/>
  <c r="N199" i="384"/>
  <c r="M199" i="384"/>
  <c r="L199" i="384"/>
  <c r="K199" i="384"/>
  <c r="O198" i="384"/>
  <c r="N198" i="384"/>
  <c r="M198" i="384"/>
  <c r="L198" i="384"/>
  <c r="K198" i="384"/>
  <c r="O197" i="384"/>
  <c r="N197" i="384"/>
  <c r="M197" i="384"/>
  <c r="L197" i="384"/>
  <c r="K197" i="384"/>
  <c r="O196" i="384"/>
  <c r="N196" i="384"/>
  <c r="M196" i="384"/>
  <c r="L196" i="384"/>
  <c r="K196" i="384"/>
  <c r="O195" i="384"/>
  <c r="N195" i="384"/>
  <c r="M195" i="384"/>
  <c r="L195" i="384"/>
  <c r="K195" i="384"/>
  <c r="O194" i="384"/>
  <c r="N194" i="384"/>
  <c r="M194" i="384"/>
  <c r="L194" i="384"/>
  <c r="K194" i="384"/>
  <c r="O193" i="384"/>
  <c r="N193" i="384"/>
  <c r="M193" i="384"/>
  <c r="L193" i="384"/>
  <c r="K193" i="384"/>
  <c r="O192" i="384"/>
  <c r="N192" i="384"/>
  <c r="M192" i="384"/>
  <c r="L192" i="384"/>
  <c r="K192" i="384"/>
  <c r="O191" i="384"/>
  <c r="N191" i="384"/>
  <c r="M191" i="384"/>
  <c r="L191" i="384"/>
  <c r="K191" i="384"/>
  <c r="O190" i="384"/>
  <c r="N190" i="384"/>
  <c r="M190" i="384"/>
  <c r="L190" i="384"/>
  <c r="K190" i="384"/>
  <c r="O189" i="384"/>
  <c r="N189" i="384"/>
  <c r="M189" i="384"/>
  <c r="L189" i="384"/>
  <c r="K189" i="384"/>
  <c r="O188" i="384"/>
  <c r="N188" i="384"/>
  <c r="M188" i="384"/>
  <c r="L188" i="384"/>
  <c r="K188" i="384"/>
  <c r="O187" i="384"/>
  <c r="N187" i="384"/>
  <c r="M187" i="384"/>
  <c r="L187" i="384"/>
  <c r="K187" i="384"/>
  <c r="O186" i="384"/>
  <c r="N186" i="384"/>
  <c r="M186" i="384"/>
  <c r="L186" i="384"/>
  <c r="K186" i="384"/>
  <c r="O185" i="384"/>
  <c r="N185" i="384"/>
  <c r="M185" i="384"/>
  <c r="L185" i="384"/>
  <c r="K185" i="384"/>
  <c r="O184" i="384"/>
  <c r="N184" i="384"/>
  <c r="M184" i="384"/>
  <c r="L184" i="384"/>
  <c r="K184" i="384"/>
  <c r="O183" i="384"/>
  <c r="N183" i="384"/>
  <c r="M183" i="384"/>
  <c r="L183" i="384"/>
  <c r="K183" i="384"/>
  <c r="O182" i="384"/>
  <c r="N182" i="384"/>
  <c r="M182" i="384"/>
  <c r="L182" i="384"/>
  <c r="K182" i="384"/>
  <c r="O181" i="384"/>
  <c r="N181" i="384"/>
  <c r="M181" i="384"/>
  <c r="L181" i="384"/>
  <c r="K181" i="384"/>
  <c r="O180" i="384"/>
  <c r="N180" i="384"/>
  <c r="M180" i="384"/>
  <c r="L180" i="384"/>
  <c r="K180" i="384"/>
  <c r="O179" i="384"/>
  <c r="N179" i="384"/>
  <c r="M179" i="384"/>
  <c r="L179" i="384"/>
  <c r="K179" i="384"/>
  <c r="O178" i="384"/>
  <c r="N178" i="384"/>
  <c r="M178" i="384"/>
  <c r="L178" i="384"/>
  <c r="K178" i="384"/>
  <c r="O177" i="384"/>
  <c r="N177" i="384"/>
  <c r="M177" i="384"/>
  <c r="L177" i="384"/>
  <c r="K177" i="384"/>
  <c r="O176" i="384"/>
  <c r="N176" i="384"/>
  <c r="M176" i="384"/>
  <c r="L176" i="384"/>
  <c r="K176" i="384"/>
  <c r="O175" i="384"/>
  <c r="N175" i="384"/>
  <c r="M175" i="384"/>
  <c r="L175" i="384"/>
  <c r="K175" i="384"/>
  <c r="O174" i="384"/>
  <c r="N174" i="384"/>
  <c r="M174" i="384"/>
  <c r="L174" i="384"/>
  <c r="K174" i="384"/>
  <c r="O173" i="384"/>
  <c r="N173" i="384"/>
  <c r="M173" i="384"/>
  <c r="L173" i="384"/>
  <c r="K173" i="384"/>
  <c r="O172" i="384"/>
  <c r="N172" i="384"/>
  <c r="M172" i="384"/>
  <c r="L172" i="384"/>
  <c r="K172" i="384"/>
  <c r="O171" i="384"/>
  <c r="N171" i="384"/>
  <c r="M171" i="384"/>
  <c r="L171" i="384"/>
  <c r="K171" i="384"/>
  <c r="O170" i="384"/>
  <c r="N170" i="384"/>
  <c r="M170" i="384"/>
  <c r="L170" i="384"/>
  <c r="K170" i="384"/>
  <c r="O169" i="384"/>
  <c r="N169" i="384"/>
  <c r="M169" i="384"/>
  <c r="L169" i="384"/>
  <c r="K169" i="384"/>
  <c r="O168" i="384"/>
  <c r="N168" i="384"/>
  <c r="M168" i="384"/>
  <c r="L168" i="384"/>
  <c r="K168" i="384"/>
  <c r="O167" i="384"/>
  <c r="N167" i="384"/>
  <c r="M167" i="384"/>
  <c r="L167" i="384"/>
  <c r="K167" i="384"/>
  <c r="O166" i="384"/>
  <c r="N166" i="384"/>
  <c r="M166" i="384"/>
  <c r="L166" i="384"/>
  <c r="K166" i="384"/>
  <c r="O165" i="384"/>
  <c r="N165" i="384"/>
  <c r="M165" i="384"/>
  <c r="L165" i="384"/>
  <c r="K165" i="384"/>
  <c r="O164" i="384"/>
  <c r="N164" i="384"/>
  <c r="M164" i="384"/>
  <c r="L164" i="384"/>
  <c r="K164" i="384"/>
  <c r="O163" i="384"/>
  <c r="N163" i="384"/>
  <c r="M163" i="384"/>
  <c r="L163" i="384"/>
  <c r="K163" i="384"/>
  <c r="O162" i="384"/>
  <c r="N162" i="384"/>
  <c r="M162" i="384"/>
  <c r="L162" i="384"/>
  <c r="K162" i="384"/>
  <c r="O161" i="384"/>
  <c r="N161" i="384"/>
  <c r="M161" i="384"/>
  <c r="L161" i="384"/>
  <c r="K161" i="384"/>
  <c r="O160" i="384"/>
  <c r="N160" i="384"/>
  <c r="M160" i="384"/>
  <c r="L160" i="384"/>
  <c r="K160" i="384"/>
  <c r="O159" i="384"/>
  <c r="N159" i="384"/>
  <c r="M159" i="384"/>
  <c r="L159" i="384"/>
  <c r="K159" i="384"/>
  <c r="O158" i="384"/>
  <c r="N158" i="384"/>
  <c r="M158" i="384"/>
  <c r="L158" i="384"/>
  <c r="K158" i="384"/>
  <c r="O157" i="384"/>
  <c r="N157" i="384"/>
  <c r="M157" i="384"/>
  <c r="L157" i="384"/>
  <c r="K157" i="384"/>
  <c r="O156" i="384"/>
  <c r="N156" i="384"/>
  <c r="M156" i="384"/>
  <c r="L156" i="384"/>
  <c r="K156" i="384"/>
  <c r="O155" i="384"/>
  <c r="N155" i="384"/>
  <c r="M155" i="384"/>
  <c r="L155" i="384"/>
  <c r="K155" i="384"/>
  <c r="O154" i="384"/>
  <c r="N154" i="384"/>
  <c r="M154" i="384"/>
  <c r="L154" i="384"/>
  <c r="K154" i="384"/>
  <c r="O153" i="384"/>
  <c r="N153" i="384"/>
  <c r="M153" i="384"/>
  <c r="L153" i="384"/>
  <c r="K153" i="384"/>
  <c r="O152" i="384"/>
  <c r="N152" i="384"/>
  <c r="M152" i="384"/>
  <c r="L152" i="384"/>
  <c r="K152" i="384"/>
  <c r="O151" i="384"/>
  <c r="N151" i="384"/>
  <c r="M151" i="384"/>
  <c r="L151" i="384"/>
  <c r="K151" i="384"/>
  <c r="O150" i="384"/>
  <c r="N150" i="384"/>
  <c r="M150" i="384"/>
  <c r="L150" i="384"/>
  <c r="K150" i="384"/>
  <c r="O149" i="384"/>
  <c r="N149" i="384"/>
  <c r="M149" i="384"/>
  <c r="L149" i="384"/>
  <c r="K149" i="384"/>
  <c r="O148" i="384"/>
  <c r="N148" i="384"/>
  <c r="M148" i="384"/>
  <c r="L148" i="384"/>
  <c r="K148" i="384"/>
  <c r="O147" i="384"/>
  <c r="N147" i="384"/>
  <c r="M147" i="384"/>
  <c r="L147" i="384"/>
  <c r="K147" i="384"/>
  <c r="O146" i="384"/>
  <c r="N146" i="384"/>
  <c r="M146" i="384"/>
  <c r="L146" i="384"/>
  <c r="K146" i="384"/>
  <c r="O145" i="384"/>
  <c r="N145" i="384"/>
  <c r="M145" i="384"/>
  <c r="L145" i="384"/>
  <c r="K145" i="384"/>
  <c r="O144" i="384"/>
  <c r="N144" i="384"/>
  <c r="M144" i="384"/>
  <c r="L144" i="384"/>
  <c r="K144" i="384"/>
  <c r="O143" i="384"/>
  <c r="N143" i="384"/>
  <c r="M143" i="384"/>
  <c r="L143" i="384"/>
  <c r="K143" i="384"/>
  <c r="O142" i="384"/>
  <c r="N142" i="384"/>
  <c r="M142" i="384"/>
  <c r="L142" i="384"/>
  <c r="K142" i="384"/>
  <c r="O141" i="384"/>
  <c r="N141" i="384"/>
  <c r="M141" i="384"/>
  <c r="L141" i="384"/>
  <c r="K141" i="384"/>
  <c r="O140" i="384"/>
  <c r="N140" i="384"/>
  <c r="M140" i="384"/>
  <c r="L140" i="384"/>
  <c r="K140" i="384"/>
  <c r="O139" i="384"/>
  <c r="N139" i="384"/>
  <c r="M139" i="384"/>
  <c r="L139" i="384"/>
  <c r="K139" i="384"/>
  <c r="O138" i="384"/>
  <c r="N138" i="384"/>
  <c r="M138" i="384"/>
  <c r="L138" i="384"/>
  <c r="K138" i="384"/>
  <c r="O137" i="384"/>
  <c r="N137" i="384"/>
  <c r="M137" i="384"/>
  <c r="L137" i="384"/>
  <c r="K137" i="384"/>
  <c r="O136" i="384"/>
  <c r="N136" i="384"/>
  <c r="M136" i="384"/>
  <c r="L136" i="384"/>
  <c r="K136" i="384"/>
  <c r="O135" i="384"/>
  <c r="N135" i="384"/>
  <c r="M135" i="384"/>
  <c r="L135" i="384"/>
  <c r="K135" i="384"/>
  <c r="O134" i="384"/>
  <c r="N134" i="384"/>
  <c r="M134" i="384"/>
  <c r="L134" i="384"/>
  <c r="K134" i="384"/>
  <c r="O133" i="384"/>
  <c r="N133" i="384"/>
  <c r="M133" i="384"/>
  <c r="L133" i="384"/>
  <c r="K133" i="384"/>
  <c r="O132" i="384"/>
  <c r="N132" i="384"/>
  <c r="M132" i="384"/>
  <c r="L132" i="384"/>
  <c r="K132" i="384"/>
  <c r="O131" i="384"/>
  <c r="N131" i="384"/>
  <c r="M131" i="384"/>
  <c r="L131" i="384"/>
  <c r="K131" i="384"/>
  <c r="O130" i="384"/>
  <c r="N130" i="384"/>
  <c r="M130" i="384"/>
  <c r="L130" i="384"/>
  <c r="K130" i="384"/>
  <c r="O129" i="384"/>
  <c r="N129" i="384"/>
  <c r="M129" i="384"/>
  <c r="L129" i="384"/>
  <c r="K129" i="384"/>
  <c r="O128" i="384"/>
  <c r="N128" i="384"/>
  <c r="M128" i="384"/>
  <c r="L128" i="384"/>
  <c r="K128" i="384"/>
  <c r="O127" i="384"/>
  <c r="N127" i="384"/>
  <c r="M127" i="384"/>
  <c r="L127" i="384"/>
  <c r="K127" i="384"/>
  <c r="O126" i="384"/>
  <c r="N126" i="384"/>
  <c r="M126" i="384"/>
  <c r="L126" i="384"/>
  <c r="K126" i="384"/>
  <c r="O125" i="384"/>
  <c r="N125" i="384"/>
  <c r="M125" i="384"/>
  <c r="L125" i="384"/>
  <c r="K125" i="384"/>
  <c r="O124" i="384"/>
  <c r="N124" i="384"/>
  <c r="M124" i="384"/>
  <c r="L124" i="384"/>
  <c r="K124" i="384"/>
  <c r="O123" i="384"/>
  <c r="N123" i="384"/>
  <c r="M123" i="384"/>
  <c r="L123" i="384"/>
  <c r="K123" i="384"/>
  <c r="O122" i="384"/>
  <c r="N122" i="384"/>
  <c r="M122" i="384"/>
  <c r="L122" i="384"/>
  <c r="K122" i="384"/>
  <c r="O121" i="384"/>
  <c r="N121" i="384"/>
  <c r="M121" i="384"/>
  <c r="L121" i="384"/>
  <c r="K121" i="384"/>
  <c r="O120" i="384"/>
  <c r="N120" i="384"/>
  <c r="M120" i="384"/>
  <c r="L120" i="384"/>
  <c r="K120" i="384"/>
  <c r="O119" i="384"/>
  <c r="N119" i="384"/>
  <c r="M119" i="384"/>
  <c r="L119" i="384"/>
  <c r="K119" i="384"/>
  <c r="O118" i="384"/>
  <c r="N118" i="384"/>
  <c r="M118" i="384"/>
  <c r="L118" i="384"/>
  <c r="K118" i="384"/>
  <c r="O117" i="384"/>
  <c r="N117" i="384"/>
  <c r="M117" i="384"/>
  <c r="L117" i="384"/>
  <c r="K117" i="384"/>
  <c r="O116" i="384"/>
  <c r="N116" i="384"/>
  <c r="M116" i="384"/>
  <c r="L116" i="384"/>
  <c r="K116" i="384"/>
  <c r="O115" i="384"/>
  <c r="N115" i="384"/>
  <c r="M115" i="384"/>
  <c r="L115" i="384"/>
  <c r="K115" i="384"/>
  <c r="O114" i="384"/>
  <c r="N114" i="384"/>
  <c r="M114" i="384"/>
  <c r="L114" i="384"/>
  <c r="K114" i="384"/>
  <c r="O113" i="384"/>
  <c r="N113" i="384"/>
  <c r="M113" i="384"/>
  <c r="L113" i="384"/>
  <c r="K113" i="384"/>
  <c r="O112" i="384"/>
  <c r="N112" i="384"/>
  <c r="M112" i="384"/>
  <c r="L112" i="384"/>
  <c r="K112" i="384"/>
  <c r="O111" i="384"/>
  <c r="N111" i="384"/>
  <c r="M111" i="384"/>
  <c r="L111" i="384"/>
  <c r="K111" i="384"/>
  <c r="O110" i="384"/>
  <c r="N110" i="384"/>
  <c r="M110" i="384"/>
  <c r="L110" i="384"/>
  <c r="K110" i="384"/>
  <c r="O109" i="384"/>
  <c r="N109" i="384"/>
  <c r="M109" i="384"/>
  <c r="L109" i="384"/>
  <c r="K109" i="384"/>
  <c r="O108" i="384"/>
  <c r="N108" i="384"/>
  <c r="M108" i="384"/>
  <c r="L108" i="384"/>
  <c r="K108" i="384"/>
  <c r="O107" i="384"/>
  <c r="N107" i="384"/>
  <c r="M107" i="384"/>
  <c r="L107" i="384"/>
  <c r="K107" i="384"/>
  <c r="O106" i="384"/>
  <c r="N106" i="384"/>
  <c r="M106" i="384"/>
  <c r="L106" i="384"/>
  <c r="K106" i="384"/>
  <c r="O105" i="384"/>
  <c r="N105" i="384"/>
  <c r="M105" i="384"/>
  <c r="L105" i="384"/>
  <c r="K105" i="384"/>
  <c r="O104" i="384"/>
  <c r="N104" i="384"/>
  <c r="M104" i="384"/>
  <c r="L104" i="384"/>
  <c r="K104" i="384"/>
  <c r="O103" i="384"/>
  <c r="N103" i="384"/>
  <c r="M103" i="384"/>
  <c r="L103" i="384"/>
  <c r="K103" i="384"/>
  <c r="O102" i="384"/>
  <c r="N102" i="384"/>
  <c r="M102" i="384"/>
  <c r="L102" i="384"/>
  <c r="K102" i="384"/>
  <c r="O101" i="384"/>
  <c r="N101" i="384"/>
  <c r="M101" i="384"/>
  <c r="L101" i="384"/>
  <c r="K101" i="384"/>
  <c r="O100" i="384"/>
  <c r="N100" i="384"/>
  <c r="M100" i="384"/>
  <c r="L100" i="384"/>
  <c r="K100" i="384"/>
  <c r="O99" i="384"/>
  <c r="N99" i="384"/>
  <c r="M99" i="384"/>
  <c r="L99" i="384"/>
  <c r="K99" i="384"/>
  <c r="O98" i="384"/>
  <c r="N98" i="384"/>
  <c r="M98" i="384"/>
  <c r="L98" i="384"/>
  <c r="K98" i="384"/>
  <c r="O97" i="384"/>
  <c r="N97" i="384"/>
  <c r="M97" i="384"/>
  <c r="L97" i="384"/>
  <c r="K97" i="384"/>
  <c r="O96" i="384"/>
  <c r="N96" i="384"/>
  <c r="M96" i="384"/>
  <c r="L96" i="384"/>
  <c r="K96" i="384"/>
  <c r="O95" i="384"/>
  <c r="N95" i="384"/>
  <c r="M95" i="384"/>
  <c r="L95" i="384"/>
  <c r="K95" i="384"/>
  <c r="O94" i="384"/>
  <c r="N94" i="384"/>
  <c r="M94" i="384"/>
  <c r="L94" i="384"/>
  <c r="K94" i="384"/>
  <c r="O93" i="384"/>
  <c r="N93" i="384"/>
  <c r="M93" i="384"/>
  <c r="L93" i="384"/>
  <c r="K93" i="384"/>
  <c r="O92" i="384"/>
  <c r="N92" i="384"/>
  <c r="M92" i="384"/>
  <c r="L92" i="384"/>
  <c r="K92" i="384"/>
  <c r="O91" i="384"/>
  <c r="N91" i="384"/>
  <c r="M91" i="384"/>
  <c r="L91" i="384"/>
  <c r="K91" i="384"/>
  <c r="O90" i="384"/>
  <c r="N90" i="384"/>
  <c r="M90" i="384"/>
  <c r="L90" i="384"/>
  <c r="K90" i="384"/>
  <c r="O89" i="384"/>
  <c r="N89" i="384"/>
  <c r="M89" i="384"/>
  <c r="L89" i="384"/>
  <c r="K89" i="384"/>
  <c r="O88" i="384"/>
  <c r="N88" i="384"/>
  <c r="M88" i="384"/>
  <c r="L88" i="384"/>
  <c r="K88" i="384"/>
  <c r="O87" i="384"/>
  <c r="N87" i="384"/>
  <c r="M87" i="384"/>
  <c r="L87" i="384"/>
  <c r="K87" i="384"/>
  <c r="O86" i="384"/>
  <c r="N86" i="384"/>
  <c r="M86" i="384"/>
  <c r="L86" i="384"/>
  <c r="K86" i="384"/>
  <c r="O85" i="384"/>
  <c r="N85" i="384"/>
  <c r="M85" i="384"/>
  <c r="L85" i="384"/>
  <c r="K85" i="384"/>
  <c r="O84" i="384"/>
  <c r="N84" i="384"/>
  <c r="M84" i="384"/>
  <c r="L84" i="384"/>
  <c r="K84" i="384"/>
  <c r="O83" i="384"/>
  <c r="N83" i="384"/>
  <c r="M83" i="384"/>
  <c r="L83" i="384"/>
  <c r="K83" i="384"/>
  <c r="O82" i="384"/>
  <c r="N82" i="384"/>
  <c r="M82" i="384"/>
  <c r="L82" i="384"/>
  <c r="K82" i="384"/>
  <c r="O81" i="384"/>
  <c r="N81" i="384"/>
  <c r="M81" i="384"/>
  <c r="L81" i="384"/>
  <c r="K81" i="384"/>
  <c r="O80" i="384"/>
  <c r="N80" i="384"/>
  <c r="M80" i="384"/>
  <c r="L80" i="384"/>
  <c r="K80" i="384"/>
  <c r="O79" i="384"/>
  <c r="N79" i="384"/>
  <c r="M79" i="384"/>
  <c r="L79" i="384"/>
  <c r="K79" i="384"/>
  <c r="O78" i="384"/>
  <c r="N78" i="384"/>
  <c r="M78" i="384"/>
  <c r="L78" i="384"/>
  <c r="K78" i="384"/>
  <c r="O77" i="384"/>
  <c r="N77" i="384"/>
  <c r="M77" i="384"/>
  <c r="L77" i="384"/>
  <c r="K77" i="384"/>
  <c r="O76" i="384"/>
  <c r="N76" i="384"/>
  <c r="M76" i="384"/>
  <c r="L76" i="384"/>
  <c r="K76" i="384"/>
  <c r="O75" i="384"/>
  <c r="N75" i="384"/>
  <c r="M75" i="384"/>
  <c r="L75" i="384"/>
  <c r="K75" i="384"/>
  <c r="O74" i="384"/>
  <c r="N74" i="384"/>
  <c r="M74" i="384"/>
  <c r="L74" i="384"/>
  <c r="K74" i="384"/>
  <c r="O73" i="384"/>
  <c r="N73" i="384"/>
  <c r="M73" i="384"/>
  <c r="L73" i="384"/>
  <c r="K73" i="384"/>
  <c r="O72" i="384"/>
  <c r="N72" i="384"/>
  <c r="M72" i="384"/>
  <c r="L72" i="384"/>
  <c r="K72" i="384"/>
  <c r="O71" i="384"/>
  <c r="N71" i="384"/>
  <c r="M71" i="384"/>
  <c r="L71" i="384"/>
  <c r="K71" i="384"/>
  <c r="O70" i="384"/>
  <c r="N70" i="384"/>
  <c r="M70" i="384"/>
  <c r="L70" i="384"/>
  <c r="K70" i="384"/>
  <c r="O69" i="384"/>
  <c r="N69" i="384"/>
  <c r="M69" i="384"/>
  <c r="L69" i="384"/>
  <c r="K69" i="384"/>
  <c r="O68" i="384"/>
  <c r="N68" i="384"/>
  <c r="M68" i="384"/>
  <c r="L68" i="384"/>
  <c r="K68" i="384"/>
  <c r="O67" i="384"/>
  <c r="N67" i="384"/>
  <c r="M67" i="384"/>
  <c r="L67" i="384"/>
  <c r="K67" i="384"/>
  <c r="O66" i="384"/>
  <c r="N66" i="384"/>
  <c r="M66" i="384"/>
  <c r="L66" i="384"/>
  <c r="K66" i="384"/>
  <c r="O65" i="384"/>
  <c r="N65" i="384"/>
  <c r="M65" i="384"/>
  <c r="L65" i="384"/>
  <c r="K65" i="384"/>
  <c r="O64" i="384"/>
  <c r="N64" i="384"/>
  <c r="M64" i="384"/>
  <c r="L64" i="384"/>
  <c r="K64" i="384"/>
  <c r="O63" i="384"/>
  <c r="N63" i="384"/>
  <c r="M63" i="384"/>
  <c r="L63" i="384"/>
  <c r="K63" i="384"/>
  <c r="O62" i="384"/>
  <c r="N62" i="384"/>
  <c r="M62" i="384"/>
  <c r="L62" i="384"/>
  <c r="K62" i="384"/>
  <c r="O61" i="384"/>
  <c r="N61" i="384"/>
  <c r="M61" i="384"/>
  <c r="L61" i="384"/>
  <c r="K61" i="384"/>
  <c r="O60" i="384"/>
  <c r="N60" i="384"/>
  <c r="M60" i="384"/>
  <c r="L60" i="384"/>
  <c r="K60" i="384"/>
  <c r="O59" i="384"/>
  <c r="N59" i="384"/>
  <c r="M59" i="384"/>
  <c r="L59" i="384"/>
  <c r="K59" i="384"/>
  <c r="O58" i="384"/>
  <c r="N58" i="384"/>
  <c r="M58" i="384"/>
  <c r="L58" i="384"/>
  <c r="K58" i="384"/>
  <c r="O57" i="384"/>
  <c r="N57" i="384"/>
  <c r="M57" i="384"/>
  <c r="L57" i="384"/>
  <c r="K57" i="384"/>
  <c r="O56" i="384"/>
  <c r="N56" i="384"/>
  <c r="M56" i="384"/>
  <c r="L56" i="384"/>
  <c r="K56" i="384"/>
  <c r="O55" i="384"/>
  <c r="N55" i="384"/>
  <c r="M55" i="384"/>
  <c r="L55" i="384"/>
  <c r="K55" i="384"/>
  <c r="O54" i="384"/>
  <c r="N54" i="384"/>
  <c r="M54" i="384"/>
  <c r="L54" i="384"/>
  <c r="K54" i="384"/>
  <c r="O53" i="384"/>
  <c r="N53" i="384"/>
  <c r="M53" i="384"/>
  <c r="L53" i="384"/>
  <c r="K53" i="384"/>
  <c r="O52" i="384"/>
  <c r="N52" i="384"/>
  <c r="M52" i="384"/>
  <c r="L52" i="384"/>
  <c r="K52" i="384"/>
  <c r="O51" i="384"/>
  <c r="N51" i="384"/>
  <c r="M51" i="384"/>
  <c r="L51" i="384"/>
  <c r="K51" i="384"/>
  <c r="O50" i="384"/>
  <c r="N50" i="384"/>
  <c r="M50" i="384"/>
  <c r="L50" i="384"/>
  <c r="K50" i="384"/>
  <c r="O49" i="384"/>
  <c r="N49" i="384"/>
  <c r="M49" i="384"/>
  <c r="L49" i="384"/>
  <c r="K49" i="384"/>
  <c r="O48" i="384"/>
  <c r="N48" i="384"/>
  <c r="M48" i="384"/>
  <c r="L48" i="384"/>
  <c r="K48" i="384"/>
  <c r="O47" i="384"/>
  <c r="N47" i="384"/>
  <c r="M47" i="384"/>
  <c r="L47" i="384"/>
  <c r="K47" i="384"/>
  <c r="O46" i="384"/>
  <c r="N46" i="384"/>
  <c r="M46" i="384"/>
  <c r="L46" i="384"/>
  <c r="K46" i="384"/>
  <c r="O45" i="384"/>
  <c r="N45" i="384"/>
  <c r="M45" i="384"/>
  <c r="L45" i="384"/>
  <c r="K45" i="384"/>
  <c r="O44" i="384"/>
  <c r="N44" i="384"/>
  <c r="M44" i="384"/>
  <c r="L44" i="384"/>
  <c r="K44" i="384"/>
  <c r="O43" i="384"/>
  <c r="N43" i="384"/>
  <c r="M43" i="384"/>
  <c r="L43" i="384"/>
  <c r="K43" i="384"/>
  <c r="O42" i="384"/>
  <c r="N42" i="384"/>
  <c r="M42" i="384"/>
  <c r="L42" i="384"/>
  <c r="K42" i="384"/>
  <c r="O41" i="384"/>
  <c r="N41" i="384"/>
  <c r="M41" i="384"/>
  <c r="L41" i="384"/>
  <c r="K41" i="384"/>
  <c r="O40" i="384"/>
  <c r="N40" i="384"/>
  <c r="M40" i="384"/>
  <c r="L40" i="384"/>
  <c r="K40" i="384"/>
  <c r="O39" i="384"/>
  <c r="N39" i="384"/>
  <c r="M39" i="384"/>
  <c r="L39" i="384"/>
  <c r="K39" i="384"/>
  <c r="O38" i="384"/>
  <c r="N38" i="384"/>
  <c r="M38" i="384"/>
  <c r="L38" i="384"/>
  <c r="K38" i="384"/>
  <c r="O37" i="384"/>
  <c r="N37" i="384"/>
  <c r="M37" i="384"/>
  <c r="L37" i="384"/>
  <c r="K37" i="384"/>
  <c r="O36" i="384"/>
  <c r="N36" i="384"/>
  <c r="M36" i="384"/>
  <c r="L36" i="384"/>
  <c r="K36" i="384"/>
  <c r="O35" i="384"/>
  <c r="N35" i="384"/>
  <c r="M35" i="384"/>
  <c r="L35" i="384"/>
  <c r="K35" i="384"/>
  <c r="O34" i="384"/>
  <c r="N34" i="384"/>
  <c r="M34" i="384"/>
  <c r="L34" i="384"/>
  <c r="K34" i="384"/>
  <c r="O33" i="384"/>
  <c r="N33" i="384"/>
  <c r="M33" i="384"/>
  <c r="L33" i="384"/>
  <c r="K33" i="384"/>
  <c r="O32" i="384"/>
  <c r="N32" i="384"/>
  <c r="M32" i="384"/>
  <c r="L32" i="384"/>
  <c r="K32" i="384"/>
  <c r="O31" i="384"/>
  <c r="N31" i="384"/>
  <c r="M31" i="384"/>
  <c r="L31" i="384"/>
  <c r="K31" i="384"/>
  <c r="O30" i="384"/>
  <c r="N30" i="384"/>
  <c r="M30" i="384"/>
  <c r="L30" i="384"/>
  <c r="K30" i="384"/>
  <c r="O29" i="384"/>
  <c r="N29" i="384"/>
  <c r="M29" i="384"/>
  <c r="L29" i="384"/>
  <c r="K29" i="384"/>
  <c r="O28" i="384"/>
  <c r="N28" i="384"/>
  <c r="M28" i="384"/>
  <c r="L28" i="384"/>
  <c r="K28" i="384"/>
  <c r="O27" i="384"/>
  <c r="N27" i="384"/>
  <c r="M27" i="384"/>
  <c r="L27" i="384"/>
  <c r="K27" i="384"/>
  <c r="O26" i="384"/>
  <c r="N26" i="384"/>
  <c r="M26" i="384"/>
  <c r="L26" i="384"/>
  <c r="K26" i="384"/>
  <c r="O25" i="384"/>
  <c r="N25" i="384"/>
  <c r="M25" i="384"/>
  <c r="L25" i="384"/>
  <c r="K25" i="384"/>
  <c r="O24" i="384"/>
  <c r="N24" i="384"/>
  <c r="M24" i="384"/>
  <c r="L24" i="384"/>
  <c r="K24" i="384"/>
  <c r="O23" i="384"/>
  <c r="N23" i="384"/>
  <c r="M23" i="384"/>
  <c r="L23" i="384"/>
  <c r="K23" i="384"/>
  <c r="O22" i="384"/>
  <c r="N22" i="384"/>
  <c r="M22" i="384"/>
  <c r="L22" i="384"/>
  <c r="K22" i="384"/>
  <c r="O21" i="384"/>
  <c r="N21" i="384"/>
  <c r="M21" i="384"/>
  <c r="L21" i="384"/>
  <c r="K21" i="384"/>
  <c r="O20" i="384"/>
  <c r="N20" i="384"/>
  <c r="M20" i="384"/>
  <c r="L20" i="384"/>
  <c r="K20" i="384"/>
  <c r="O19" i="384"/>
  <c r="N19" i="384"/>
  <c r="M19" i="384"/>
  <c r="L19" i="384"/>
  <c r="K19" i="384"/>
  <c r="O18" i="384"/>
  <c r="N18" i="384"/>
  <c r="M18" i="384"/>
  <c r="L18" i="384"/>
  <c r="K18" i="384"/>
  <c r="O17" i="384"/>
  <c r="N17" i="384"/>
  <c r="M17" i="384"/>
  <c r="L17" i="384"/>
  <c r="K17" i="384"/>
  <c r="O16" i="384"/>
  <c r="N16" i="384"/>
  <c r="M16" i="384"/>
  <c r="L16" i="384"/>
  <c r="K16" i="384"/>
  <c r="O15" i="384"/>
  <c r="N15" i="384"/>
  <c r="M15" i="384"/>
  <c r="L15" i="384"/>
  <c r="K15" i="384"/>
  <c r="O14" i="384"/>
  <c r="N14" i="384"/>
  <c r="M14" i="384"/>
  <c r="L14" i="384"/>
  <c r="K14" i="384"/>
  <c r="O13" i="384"/>
  <c r="N13" i="384"/>
  <c r="M13" i="384"/>
  <c r="L13" i="384"/>
  <c r="K13" i="384"/>
  <c r="O12" i="384"/>
  <c r="N12" i="384"/>
  <c r="M12" i="384"/>
  <c r="L12" i="384"/>
  <c r="K12" i="384"/>
  <c r="O11" i="384"/>
  <c r="N11" i="384"/>
  <c r="M11" i="384"/>
  <c r="L11" i="384"/>
  <c r="K11" i="384"/>
  <c r="O10" i="384"/>
  <c r="N10" i="384"/>
  <c r="M10" i="384"/>
  <c r="L10" i="384"/>
  <c r="K10" i="384"/>
  <c r="O9" i="384"/>
  <c r="N9" i="384"/>
  <c r="M9" i="384"/>
  <c r="L9" i="384"/>
  <c r="K9" i="384"/>
  <c r="O8" i="384"/>
  <c r="N8" i="384"/>
  <c r="M8" i="384"/>
  <c r="L8" i="384"/>
  <c r="K8" i="384"/>
  <c r="O7" i="384"/>
  <c r="N7" i="384"/>
  <c r="M7" i="384"/>
  <c r="L7" i="384"/>
  <c r="K7" i="384"/>
  <c r="O6" i="384"/>
  <c r="N6" i="384"/>
  <c r="M6" i="384"/>
  <c r="L6" i="384"/>
  <c r="K6" i="384"/>
  <c r="O5" i="384"/>
  <c r="N5" i="384"/>
  <c r="M5" i="384"/>
  <c r="L5" i="384"/>
  <c r="K5" i="384"/>
  <c r="O4" i="384"/>
  <c r="N4" i="384"/>
  <c r="M4" i="384"/>
  <c r="L4" i="384"/>
  <c r="D48" i="385" s="1"/>
  <c r="K4" i="384"/>
  <c r="O3" i="384"/>
  <c r="N3" i="384"/>
  <c r="M3" i="384"/>
  <c r="L3" i="384"/>
  <c r="K3" i="384"/>
  <c r="O2" i="384"/>
  <c r="N2" i="384"/>
  <c r="M2" i="384"/>
  <c r="L2" i="384"/>
  <c r="K2" i="384"/>
  <c r="S206" i="385"/>
  <c r="R206" i="385"/>
  <c r="Q206" i="385"/>
  <c r="P206" i="385"/>
  <c r="S205" i="385"/>
  <c r="R205" i="385"/>
  <c r="Q205" i="385"/>
  <c r="P205" i="385"/>
  <c r="S204" i="385"/>
  <c r="R204" i="385"/>
  <c r="Q204" i="385"/>
  <c r="P204" i="385"/>
  <c r="S203" i="385"/>
  <c r="R203" i="385"/>
  <c r="Q203" i="385"/>
  <c r="P203" i="385"/>
  <c r="S202" i="385"/>
  <c r="R202" i="385"/>
  <c r="Q202" i="385"/>
  <c r="P202" i="385"/>
  <c r="S201" i="385"/>
  <c r="R201" i="385"/>
  <c r="Q201" i="385"/>
  <c r="P201" i="385"/>
  <c r="S200" i="385"/>
  <c r="R200" i="385"/>
  <c r="Q200" i="385"/>
  <c r="P200" i="385"/>
  <c r="S199" i="385"/>
  <c r="R199" i="385"/>
  <c r="Q199" i="385"/>
  <c r="P199" i="385"/>
  <c r="S198" i="385"/>
  <c r="R198" i="385"/>
  <c r="Q198" i="385"/>
  <c r="P198" i="385"/>
  <c r="S197" i="385"/>
  <c r="R197" i="385"/>
  <c r="Q197" i="385"/>
  <c r="P197" i="385"/>
  <c r="S196" i="385"/>
  <c r="R196" i="385"/>
  <c r="Q196" i="385"/>
  <c r="P196" i="385"/>
  <c r="S195" i="385"/>
  <c r="R195" i="385"/>
  <c r="Q195" i="385"/>
  <c r="P195" i="385"/>
  <c r="S194" i="385"/>
  <c r="R194" i="385"/>
  <c r="Q194" i="385"/>
  <c r="P194" i="385"/>
  <c r="S193" i="385"/>
  <c r="R193" i="385"/>
  <c r="Q193" i="385"/>
  <c r="P193" i="385"/>
  <c r="S192" i="385"/>
  <c r="R192" i="385"/>
  <c r="Q192" i="385"/>
  <c r="P192" i="385"/>
  <c r="S191" i="385"/>
  <c r="R191" i="385"/>
  <c r="Q191" i="385"/>
  <c r="P191" i="385"/>
  <c r="M191" i="385"/>
  <c r="L191" i="385"/>
  <c r="K191" i="385"/>
  <c r="J191" i="385"/>
  <c r="H191" i="385"/>
  <c r="G191" i="385"/>
  <c r="F191" i="385"/>
  <c r="E191" i="385"/>
  <c r="D191" i="385"/>
  <c r="C191" i="385"/>
  <c r="S190" i="385"/>
  <c r="R190" i="385"/>
  <c r="Q190" i="385"/>
  <c r="P190" i="385"/>
  <c r="M190" i="385"/>
  <c r="L190" i="385"/>
  <c r="K190" i="385"/>
  <c r="J190" i="385"/>
  <c r="H190" i="385"/>
  <c r="G190" i="385"/>
  <c r="F190" i="385"/>
  <c r="E190" i="385"/>
  <c r="D190" i="385"/>
  <c r="C190" i="385"/>
  <c r="S189" i="385"/>
  <c r="R189" i="385"/>
  <c r="Q189" i="385"/>
  <c r="P189" i="385"/>
  <c r="M189" i="385"/>
  <c r="L189" i="385"/>
  <c r="K189" i="385"/>
  <c r="J189" i="385"/>
  <c r="H189" i="385"/>
  <c r="G189" i="385"/>
  <c r="F189" i="385"/>
  <c r="E189" i="385"/>
  <c r="D189" i="385"/>
  <c r="C189" i="385"/>
  <c r="S188" i="385"/>
  <c r="R188" i="385"/>
  <c r="Q188" i="385"/>
  <c r="P188" i="385"/>
  <c r="M188" i="385"/>
  <c r="L188" i="385"/>
  <c r="K188" i="385"/>
  <c r="J188" i="385"/>
  <c r="H188" i="385"/>
  <c r="G188" i="385"/>
  <c r="F188" i="385"/>
  <c r="E188" i="385"/>
  <c r="D188" i="385"/>
  <c r="C188" i="385"/>
  <c r="S187" i="385"/>
  <c r="R187" i="385"/>
  <c r="Q187" i="385"/>
  <c r="P187" i="385"/>
  <c r="M187" i="385"/>
  <c r="L187" i="385"/>
  <c r="K187" i="385"/>
  <c r="J187" i="385"/>
  <c r="H187" i="385"/>
  <c r="G187" i="385"/>
  <c r="F187" i="385"/>
  <c r="E187" i="385"/>
  <c r="D187" i="385"/>
  <c r="C187" i="385"/>
  <c r="S186" i="385"/>
  <c r="R186" i="385"/>
  <c r="Q186" i="385"/>
  <c r="P186" i="385"/>
  <c r="M186" i="385"/>
  <c r="L186" i="385"/>
  <c r="K186" i="385"/>
  <c r="J186" i="385"/>
  <c r="H186" i="385"/>
  <c r="G186" i="385"/>
  <c r="F186" i="385"/>
  <c r="E186" i="385"/>
  <c r="D186" i="385"/>
  <c r="C186" i="385"/>
  <c r="S185" i="385"/>
  <c r="R185" i="385"/>
  <c r="Q185" i="385"/>
  <c r="P185" i="385"/>
  <c r="M185" i="385"/>
  <c r="L185" i="385"/>
  <c r="K185" i="385"/>
  <c r="J185" i="385"/>
  <c r="H185" i="385"/>
  <c r="G185" i="385"/>
  <c r="F185" i="385"/>
  <c r="E185" i="385"/>
  <c r="D185" i="385"/>
  <c r="C185" i="385"/>
  <c r="S184" i="385"/>
  <c r="R184" i="385"/>
  <c r="Q184" i="385"/>
  <c r="P184" i="385"/>
  <c r="M184" i="385"/>
  <c r="L184" i="385"/>
  <c r="K184" i="385"/>
  <c r="J184" i="385"/>
  <c r="H184" i="385"/>
  <c r="G184" i="385"/>
  <c r="F184" i="385"/>
  <c r="E184" i="385"/>
  <c r="D184" i="385"/>
  <c r="C184" i="385"/>
  <c r="S183" i="385"/>
  <c r="R183" i="385"/>
  <c r="Q183" i="385"/>
  <c r="P183" i="385"/>
  <c r="M183" i="385"/>
  <c r="L183" i="385"/>
  <c r="K183" i="385"/>
  <c r="J183" i="385"/>
  <c r="H183" i="385"/>
  <c r="G183" i="385"/>
  <c r="F183" i="385"/>
  <c r="E183" i="385"/>
  <c r="D183" i="385"/>
  <c r="C183" i="385"/>
  <c r="S182" i="385"/>
  <c r="R182" i="385"/>
  <c r="Q182" i="385"/>
  <c r="P182" i="385"/>
  <c r="M182" i="385"/>
  <c r="L182" i="385"/>
  <c r="K182" i="385"/>
  <c r="J182" i="385"/>
  <c r="H182" i="385"/>
  <c r="G182" i="385"/>
  <c r="F182" i="385"/>
  <c r="E182" i="385"/>
  <c r="D182" i="385"/>
  <c r="C182" i="385"/>
  <c r="S181" i="385"/>
  <c r="R181" i="385"/>
  <c r="Q181" i="385"/>
  <c r="P181" i="385"/>
  <c r="M181" i="385"/>
  <c r="L181" i="385"/>
  <c r="K181" i="385"/>
  <c r="J181" i="385"/>
  <c r="H181" i="385"/>
  <c r="G181" i="385"/>
  <c r="F181" i="385"/>
  <c r="E181" i="385"/>
  <c r="D181" i="385"/>
  <c r="C181" i="385"/>
  <c r="S180" i="385"/>
  <c r="R180" i="385"/>
  <c r="Q180" i="385"/>
  <c r="P180" i="385"/>
  <c r="M180" i="385"/>
  <c r="L180" i="385"/>
  <c r="K180" i="385"/>
  <c r="J180" i="385"/>
  <c r="H180" i="385"/>
  <c r="G180" i="385"/>
  <c r="F180" i="385"/>
  <c r="E180" i="385"/>
  <c r="D180" i="385"/>
  <c r="C180" i="385"/>
  <c r="S179" i="385"/>
  <c r="R179" i="385"/>
  <c r="Q179" i="385"/>
  <c r="P179" i="385"/>
  <c r="M179" i="385"/>
  <c r="L179" i="385"/>
  <c r="K179" i="385"/>
  <c r="J179" i="385"/>
  <c r="H179" i="385"/>
  <c r="G179" i="385"/>
  <c r="F179" i="385"/>
  <c r="E179" i="385"/>
  <c r="D179" i="385"/>
  <c r="C179" i="385"/>
  <c r="S178" i="385"/>
  <c r="R178" i="385"/>
  <c r="Q178" i="385"/>
  <c r="P178" i="385"/>
  <c r="M178" i="385"/>
  <c r="L178" i="385"/>
  <c r="K178" i="385"/>
  <c r="J178" i="385"/>
  <c r="H178" i="385"/>
  <c r="G178" i="385"/>
  <c r="F178" i="385"/>
  <c r="E178" i="385"/>
  <c r="D178" i="385"/>
  <c r="C178" i="385"/>
  <c r="S177" i="385"/>
  <c r="R177" i="385"/>
  <c r="Q177" i="385"/>
  <c r="P177" i="385"/>
  <c r="M177" i="385"/>
  <c r="L177" i="385"/>
  <c r="K177" i="385"/>
  <c r="J177" i="385"/>
  <c r="H177" i="385"/>
  <c r="G177" i="385"/>
  <c r="F177" i="385"/>
  <c r="E177" i="385"/>
  <c r="D177" i="385"/>
  <c r="C177" i="385"/>
  <c r="S176" i="385"/>
  <c r="R176" i="385"/>
  <c r="Q176" i="385"/>
  <c r="P176" i="385"/>
  <c r="M176" i="385"/>
  <c r="L176" i="385"/>
  <c r="K176" i="385"/>
  <c r="J176" i="385"/>
  <c r="H176" i="385"/>
  <c r="G176" i="385"/>
  <c r="F176" i="385"/>
  <c r="E176" i="385"/>
  <c r="D176" i="385"/>
  <c r="C176" i="385"/>
  <c r="S175" i="385"/>
  <c r="R175" i="385"/>
  <c r="Q175" i="385"/>
  <c r="P175" i="385"/>
  <c r="M175" i="385"/>
  <c r="L175" i="385"/>
  <c r="K175" i="385"/>
  <c r="J175" i="385"/>
  <c r="H175" i="385"/>
  <c r="G175" i="385"/>
  <c r="F175" i="385"/>
  <c r="E175" i="385"/>
  <c r="D175" i="385"/>
  <c r="C175" i="385"/>
  <c r="S174" i="385"/>
  <c r="R174" i="385"/>
  <c r="Q174" i="385"/>
  <c r="P174" i="385"/>
  <c r="M174" i="385"/>
  <c r="L174" i="385"/>
  <c r="K174" i="385"/>
  <c r="J174" i="385"/>
  <c r="H174" i="385"/>
  <c r="G174" i="385"/>
  <c r="F174" i="385"/>
  <c r="E174" i="385"/>
  <c r="D174" i="385"/>
  <c r="C174" i="385"/>
  <c r="S173" i="385"/>
  <c r="R173" i="385"/>
  <c r="Q173" i="385"/>
  <c r="P173" i="385"/>
  <c r="M173" i="385"/>
  <c r="L173" i="385"/>
  <c r="K173" i="385"/>
  <c r="J173" i="385"/>
  <c r="H173" i="385"/>
  <c r="G173" i="385"/>
  <c r="F173" i="385"/>
  <c r="E173" i="385"/>
  <c r="D173" i="385"/>
  <c r="C173" i="385"/>
  <c r="S172" i="385"/>
  <c r="R172" i="385"/>
  <c r="Q172" i="385"/>
  <c r="P172" i="385"/>
  <c r="M172" i="385"/>
  <c r="L172" i="385"/>
  <c r="K172" i="385"/>
  <c r="J172" i="385"/>
  <c r="H172" i="385"/>
  <c r="G172" i="385"/>
  <c r="F172" i="385"/>
  <c r="E172" i="385"/>
  <c r="D172" i="385"/>
  <c r="C172" i="385"/>
  <c r="S171" i="385"/>
  <c r="R171" i="385"/>
  <c r="Q171" i="385"/>
  <c r="P171" i="385"/>
  <c r="M171" i="385"/>
  <c r="L171" i="385"/>
  <c r="K171" i="385"/>
  <c r="J171" i="385"/>
  <c r="H171" i="385"/>
  <c r="G171" i="385"/>
  <c r="F171" i="385"/>
  <c r="E171" i="385"/>
  <c r="D171" i="385"/>
  <c r="C171" i="385"/>
  <c r="S170" i="385"/>
  <c r="R170" i="385"/>
  <c r="Q170" i="385"/>
  <c r="P170" i="385"/>
  <c r="M170" i="385"/>
  <c r="L170" i="385"/>
  <c r="K170" i="385"/>
  <c r="J170" i="385"/>
  <c r="H170" i="385"/>
  <c r="G170" i="385"/>
  <c r="F170" i="385"/>
  <c r="E170" i="385"/>
  <c r="D170" i="385"/>
  <c r="C170" i="385"/>
  <c r="S169" i="385"/>
  <c r="R169" i="385"/>
  <c r="Q169" i="385"/>
  <c r="P169" i="385"/>
  <c r="M169" i="385"/>
  <c r="L169" i="385"/>
  <c r="K169" i="385"/>
  <c r="J169" i="385"/>
  <c r="H169" i="385"/>
  <c r="G169" i="385"/>
  <c r="F169" i="385"/>
  <c r="E169" i="385"/>
  <c r="D169" i="385"/>
  <c r="C169" i="385"/>
  <c r="S168" i="385"/>
  <c r="R168" i="385"/>
  <c r="Q168" i="385"/>
  <c r="P168" i="385"/>
  <c r="M168" i="385"/>
  <c r="L168" i="385"/>
  <c r="K168" i="385"/>
  <c r="J168" i="385"/>
  <c r="H168" i="385"/>
  <c r="G168" i="385"/>
  <c r="F168" i="385"/>
  <c r="E168" i="385"/>
  <c r="D168" i="385"/>
  <c r="C168" i="385"/>
  <c r="S167" i="385"/>
  <c r="R167" i="385"/>
  <c r="Q167" i="385"/>
  <c r="P167" i="385"/>
  <c r="M167" i="385"/>
  <c r="L167" i="385"/>
  <c r="K167" i="385"/>
  <c r="J167" i="385"/>
  <c r="H167" i="385"/>
  <c r="G167" i="385"/>
  <c r="F167" i="385"/>
  <c r="E167" i="385"/>
  <c r="D167" i="385"/>
  <c r="C167" i="385"/>
  <c r="S166" i="385"/>
  <c r="R166" i="385"/>
  <c r="Q166" i="385"/>
  <c r="P166" i="385"/>
  <c r="M166" i="385"/>
  <c r="L166" i="385"/>
  <c r="K166" i="385"/>
  <c r="J166" i="385"/>
  <c r="H166" i="385"/>
  <c r="G166" i="385"/>
  <c r="F166" i="385"/>
  <c r="E166" i="385"/>
  <c r="D166" i="385"/>
  <c r="C166" i="385"/>
  <c r="S165" i="385"/>
  <c r="R165" i="385"/>
  <c r="Q165" i="385"/>
  <c r="P165" i="385"/>
  <c r="M165" i="385"/>
  <c r="L165" i="385"/>
  <c r="K165" i="385"/>
  <c r="J165" i="385"/>
  <c r="H165" i="385"/>
  <c r="G165" i="385"/>
  <c r="F165" i="385"/>
  <c r="E165" i="385"/>
  <c r="D165" i="385"/>
  <c r="C165" i="385"/>
  <c r="S164" i="385"/>
  <c r="R164" i="385"/>
  <c r="Q164" i="385"/>
  <c r="P164" i="385"/>
  <c r="M164" i="385"/>
  <c r="L164" i="385"/>
  <c r="K164" i="385"/>
  <c r="J164" i="385"/>
  <c r="H164" i="385"/>
  <c r="G164" i="385"/>
  <c r="F164" i="385"/>
  <c r="E164" i="385"/>
  <c r="D164" i="385"/>
  <c r="C164" i="385"/>
  <c r="S163" i="385"/>
  <c r="R163" i="385"/>
  <c r="Q163" i="385"/>
  <c r="P163" i="385"/>
  <c r="M163" i="385"/>
  <c r="L163" i="385"/>
  <c r="K163" i="385"/>
  <c r="J163" i="385"/>
  <c r="H163" i="385"/>
  <c r="G163" i="385"/>
  <c r="F163" i="385"/>
  <c r="E163" i="385"/>
  <c r="D163" i="385"/>
  <c r="C163" i="385"/>
  <c r="S162" i="385"/>
  <c r="R162" i="385"/>
  <c r="Q162" i="385"/>
  <c r="P162" i="385"/>
  <c r="M162" i="385"/>
  <c r="L162" i="385"/>
  <c r="K162" i="385"/>
  <c r="J162" i="385"/>
  <c r="H162" i="385"/>
  <c r="G162" i="385"/>
  <c r="F162" i="385"/>
  <c r="E162" i="385"/>
  <c r="D162" i="385"/>
  <c r="C162" i="385"/>
  <c r="S161" i="385"/>
  <c r="R161" i="385"/>
  <c r="Q161" i="385"/>
  <c r="P161" i="385"/>
  <c r="M161" i="385"/>
  <c r="L161" i="385"/>
  <c r="K161" i="385"/>
  <c r="J161" i="385"/>
  <c r="H161" i="385"/>
  <c r="G161" i="385"/>
  <c r="F161" i="385"/>
  <c r="E161" i="385"/>
  <c r="D161" i="385"/>
  <c r="C161" i="385"/>
  <c r="S160" i="385"/>
  <c r="R160" i="385"/>
  <c r="Q160" i="385"/>
  <c r="P160" i="385"/>
  <c r="M160" i="385"/>
  <c r="L160" i="385"/>
  <c r="K160" i="385"/>
  <c r="J160" i="385"/>
  <c r="H160" i="385"/>
  <c r="G160" i="385"/>
  <c r="F160" i="385"/>
  <c r="E160" i="385"/>
  <c r="D160" i="385"/>
  <c r="C160" i="385"/>
  <c r="S159" i="385"/>
  <c r="R159" i="385"/>
  <c r="Q159" i="385"/>
  <c r="P159" i="385"/>
  <c r="M159" i="385"/>
  <c r="L159" i="385"/>
  <c r="K159" i="385"/>
  <c r="J159" i="385"/>
  <c r="H159" i="385"/>
  <c r="G159" i="385"/>
  <c r="F159" i="385"/>
  <c r="E159" i="385"/>
  <c r="D159" i="385"/>
  <c r="C159" i="385"/>
  <c r="S158" i="385"/>
  <c r="R158" i="385"/>
  <c r="Q158" i="385"/>
  <c r="P158" i="385"/>
  <c r="M158" i="385"/>
  <c r="L158" i="385"/>
  <c r="K158" i="385"/>
  <c r="J158" i="385"/>
  <c r="H158" i="385"/>
  <c r="G158" i="385"/>
  <c r="F158" i="385"/>
  <c r="E158" i="385"/>
  <c r="D158" i="385"/>
  <c r="C158" i="385"/>
  <c r="S157" i="385"/>
  <c r="R157" i="385"/>
  <c r="Q157" i="385"/>
  <c r="P157" i="385"/>
  <c r="M157" i="385"/>
  <c r="L157" i="385"/>
  <c r="K157" i="385"/>
  <c r="J157" i="385"/>
  <c r="H157" i="385"/>
  <c r="G157" i="385"/>
  <c r="F157" i="385"/>
  <c r="E157" i="385"/>
  <c r="D157" i="385"/>
  <c r="C157" i="385"/>
  <c r="S156" i="385"/>
  <c r="R156" i="385"/>
  <c r="Q156" i="385"/>
  <c r="P156" i="385"/>
  <c r="M156" i="385"/>
  <c r="L156" i="385"/>
  <c r="K156" i="385"/>
  <c r="J156" i="385"/>
  <c r="H156" i="385"/>
  <c r="G156" i="385"/>
  <c r="F156" i="385"/>
  <c r="E156" i="385"/>
  <c r="D156" i="385"/>
  <c r="C156" i="385"/>
  <c r="S155" i="385"/>
  <c r="R155" i="385"/>
  <c r="Q155" i="385"/>
  <c r="P155" i="385"/>
  <c r="M155" i="385"/>
  <c r="L155" i="385"/>
  <c r="K155" i="385"/>
  <c r="J155" i="385"/>
  <c r="H155" i="385"/>
  <c r="G155" i="385"/>
  <c r="F155" i="385"/>
  <c r="E155" i="385"/>
  <c r="D155" i="385"/>
  <c r="C155" i="385"/>
  <c r="S154" i="385"/>
  <c r="R154" i="385"/>
  <c r="Q154" i="385"/>
  <c r="P154" i="385"/>
  <c r="M154" i="385"/>
  <c r="L154" i="385"/>
  <c r="K154" i="385"/>
  <c r="J154" i="385"/>
  <c r="H154" i="385"/>
  <c r="G154" i="385"/>
  <c r="F154" i="385"/>
  <c r="E154" i="385"/>
  <c r="D154" i="385"/>
  <c r="C154" i="385"/>
  <c r="S153" i="385"/>
  <c r="R153" i="385"/>
  <c r="Q153" i="385"/>
  <c r="P153" i="385"/>
  <c r="M153" i="385"/>
  <c r="L153" i="385"/>
  <c r="K153" i="385"/>
  <c r="J153" i="385"/>
  <c r="H153" i="385"/>
  <c r="G153" i="385"/>
  <c r="F153" i="385"/>
  <c r="E153" i="385"/>
  <c r="D153" i="385"/>
  <c r="C153" i="385"/>
  <c r="S152" i="385"/>
  <c r="R152" i="385"/>
  <c r="Q152" i="385"/>
  <c r="P152" i="385"/>
  <c r="M152" i="385"/>
  <c r="L152" i="385"/>
  <c r="K152" i="385"/>
  <c r="J152" i="385"/>
  <c r="H152" i="385"/>
  <c r="G152" i="385"/>
  <c r="F152" i="385"/>
  <c r="E152" i="385"/>
  <c r="D152" i="385"/>
  <c r="C152" i="385"/>
  <c r="S151" i="385"/>
  <c r="R151" i="385"/>
  <c r="Q151" i="385"/>
  <c r="P151" i="385"/>
  <c r="M151" i="385"/>
  <c r="L151" i="385"/>
  <c r="K151" i="385"/>
  <c r="J151" i="385"/>
  <c r="H151" i="385"/>
  <c r="G151" i="385"/>
  <c r="F151" i="385"/>
  <c r="E151" i="385"/>
  <c r="D151" i="385"/>
  <c r="C151" i="385"/>
  <c r="S150" i="385"/>
  <c r="R150" i="385"/>
  <c r="Q150" i="385"/>
  <c r="P150" i="385"/>
  <c r="M150" i="385"/>
  <c r="L150" i="385"/>
  <c r="K150" i="385"/>
  <c r="J150" i="385"/>
  <c r="H150" i="385"/>
  <c r="G150" i="385"/>
  <c r="F150" i="385"/>
  <c r="E150" i="385"/>
  <c r="D150" i="385"/>
  <c r="C150" i="385"/>
  <c r="S149" i="385"/>
  <c r="R149" i="385"/>
  <c r="Q149" i="385"/>
  <c r="P149" i="385"/>
  <c r="M149" i="385"/>
  <c r="L149" i="385"/>
  <c r="K149" i="385"/>
  <c r="J149" i="385"/>
  <c r="H149" i="385"/>
  <c r="G149" i="385"/>
  <c r="F149" i="385"/>
  <c r="E149" i="385"/>
  <c r="D149" i="385"/>
  <c r="C149" i="385"/>
  <c r="S148" i="385"/>
  <c r="R148" i="385"/>
  <c r="Q148" i="385"/>
  <c r="P148" i="385"/>
  <c r="M148" i="385"/>
  <c r="L148" i="385"/>
  <c r="K148" i="385"/>
  <c r="J148" i="385"/>
  <c r="H148" i="385"/>
  <c r="G148" i="385"/>
  <c r="F148" i="385"/>
  <c r="E148" i="385"/>
  <c r="D148" i="385"/>
  <c r="C148" i="385"/>
  <c r="S147" i="385"/>
  <c r="R147" i="385"/>
  <c r="Q147" i="385"/>
  <c r="P147" i="385"/>
  <c r="M147" i="385"/>
  <c r="L147" i="385"/>
  <c r="K147" i="385"/>
  <c r="J147" i="385"/>
  <c r="H147" i="385"/>
  <c r="G147" i="385"/>
  <c r="F147" i="385"/>
  <c r="E147" i="385"/>
  <c r="D147" i="385"/>
  <c r="C147" i="385"/>
  <c r="S146" i="385"/>
  <c r="R146" i="385"/>
  <c r="Q146" i="385"/>
  <c r="P146" i="385"/>
  <c r="M146" i="385"/>
  <c r="L146" i="385"/>
  <c r="K146" i="385"/>
  <c r="J146" i="385"/>
  <c r="H146" i="385"/>
  <c r="G146" i="385"/>
  <c r="F146" i="385"/>
  <c r="E146" i="385"/>
  <c r="D146" i="385"/>
  <c r="C146" i="385"/>
  <c r="S145" i="385"/>
  <c r="R145" i="385"/>
  <c r="Q145" i="385"/>
  <c r="P145" i="385"/>
  <c r="M145" i="385"/>
  <c r="L145" i="385"/>
  <c r="K145" i="385"/>
  <c r="J145" i="385"/>
  <c r="H145" i="385"/>
  <c r="G145" i="385"/>
  <c r="F145" i="385"/>
  <c r="E145" i="385"/>
  <c r="D145" i="385"/>
  <c r="C145" i="385"/>
  <c r="S144" i="385"/>
  <c r="R144" i="385"/>
  <c r="Q144" i="385"/>
  <c r="P144" i="385"/>
  <c r="M144" i="385"/>
  <c r="L144" i="385"/>
  <c r="K144" i="385"/>
  <c r="J144" i="385"/>
  <c r="H144" i="385"/>
  <c r="G144" i="385"/>
  <c r="F144" i="385"/>
  <c r="E144" i="385"/>
  <c r="D144" i="385"/>
  <c r="C144" i="385"/>
  <c r="S143" i="385"/>
  <c r="R143" i="385"/>
  <c r="Q143" i="385"/>
  <c r="P143" i="385"/>
  <c r="M143" i="385"/>
  <c r="L143" i="385"/>
  <c r="K143" i="385"/>
  <c r="J143" i="385"/>
  <c r="H143" i="385"/>
  <c r="G143" i="385"/>
  <c r="F143" i="385"/>
  <c r="E143" i="385"/>
  <c r="D143" i="385"/>
  <c r="C143" i="385"/>
  <c r="S142" i="385"/>
  <c r="R142" i="385"/>
  <c r="Q142" i="385"/>
  <c r="P142" i="385"/>
  <c r="M142" i="385"/>
  <c r="L142" i="385"/>
  <c r="K142" i="385"/>
  <c r="J142" i="385"/>
  <c r="H142" i="385"/>
  <c r="G142" i="385"/>
  <c r="F142" i="385"/>
  <c r="E142" i="385"/>
  <c r="D142" i="385"/>
  <c r="C142" i="385"/>
  <c r="S141" i="385"/>
  <c r="R141" i="385"/>
  <c r="Q141" i="385"/>
  <c r="P141" i="385"/>
  <c r="M141" i="385"/>
  <c r="L141" i="385"/>
  <c r="K141" i="385"/>
  <c r="J141" i="385"/>
  <c r="H141" i="385"/>
  <c r="G141" i="385"/>
  <c r="F141" i="385"/>
  <c r="E141" i="385"/>
  <c r="D141" i="385"/>
  <c r="C141" i="385"/>
  <c r="S140" i="385"/>
  <c r="R140" i="385"/>
  <c r="Q140" i="385"/>
  <c r="P140" i="385"/>
  <c r="M140" i="385"/>
  <c r="L140" i="385"/>
  <c r="K140" i="385"/>
  <c r="J140" i="385"/>
  <c r="H140" i="385"/>
  <c r="G140" i="385"/>
  <c r="F140" i="385"/>
  <c r="E140" i="385"/>
  <c r="D140" i="385"/>
  <c r="C140" i="385"/>
  <c r="S139" i="385"/>
  <c r="R139" i="385"/>
  <c r="Q139" i="385"/>
  <c r="P139" i="385"/>
  <c r="M139" i="385"/>
  <c r="L139" i="385"/>
  <c r="K139" i="385"/>
  <c r="J139" i="385"/>
  <c r="H139" i="385"/>
  <c r="G139" i="385"/>
  <c r="F139" i="385"/>
  <c r="E139" i="385"/>
  <c r="D139" i="385"/>
  <c r="C139" i="385"/>
  <c r="S138" i="385"/>
  <c r="R138" i="385"/>
  <c r="Q138" i="385"/>
  <c r="P138" i="385"/>
  <c r="M138" i="385"/>
  <c r="L138" i="385"/>
  <c r="K138" i="385"/>
  <c r="J138" i="385"/>
  <c r="H138" i="385"/>
  <c r="G138" i="385"/>
  <c r="F138" i="385"/>
  <c r="E138" i="385"/>
  <c r="D138" i="385"/>
  <c r="C138" i="385"/>
  <c r="S137" i="385"/>
  <c r="R137" i="385"/>
  <c r="Q137" i="385"/>
  <c r="P137" i="385"/>
  <c r="M137" i="385"/>
  <c r="L137" i="385"/>
  <c r="K137" i="385"/>
  <c r="J137" i="385"/>
  <c r="H137" i="385"/>
  <c r="G137" i="385"/>
  <c r="F137" i="385"/>
  <c r="E137" i="385"/>
  <c r="D137" i="385"/>
  <c r="C137" i="385"/>
  <c r="S136" i="385"/>
  <c r="R136" i="385"/>
  <c r="Q136" i="385"/>
  <c r="P136" i="385"/>
  <c r="M136" i="385"/>
  <c r="L136" i="385"/>
  <c r="K136" i="385"/>
  <c r="J136" i="385"/>
  <c r="H136" i="385"/>
  <c r="G136" i="385"/>
  <c r="F136" i="385"/>
  <c r="E136" i="385"/>
  <c r="D136" i="385"/>
  <c r="C136" i="385"/>
  <c r="S135" i="385"/>
  <c r="R135" i="385"/>
  <c r="Q135" i="385"/>
  <c r="P135" i="385"/>
  <c r="M135" i="385"/>
  <c r="L135" i="385"/>
  <c r="K135" i="385"/>
  <c r="J135" i="385"/>
  <c r="H135" i="385"/>
  <c r="G135" i="385"/>
  <c r="F135" i="385"/>
  <c r="E135" i="385"/>
  <c r="D135" i="385"/>
  <c r="C135" i="385"/>
  <c r="S134" i="385"/>
  <c r="R134" i="385"/>
  <c r="Q134" i="385"/>
  <c r="P134" i="385"/>
  <c r="M134" i="385"/>
  <c r="L134" i="385"/>
  <c r="K134" i="385"/>
  <c r="J134" i="385"/>
  <c r="H134" i="385"/>
  <c r="G134" i="385"/>
  <c r="F134" i="385"/>
  <c r="E134" i="385"/>
  <c r="D134" i="385"/>
  <c r="C134" i="385"/>
  <c r="S133" i="385"/>
  <c r="R133" i="385"/>
  <c r="Q133" i="385"/>
  <c r="P133" i="385"/>
  <c r="M133" i="385"/>
  <c r="L133" i="385"/>
  <c r="K133" i="385"/>
  <c r="J133" i="385"/>
  <c r="H133" i="385"/>
  <c r="G133" i="385"/>
  <c r="F133" i="385"/>
  <c r="E133" i="385"/>
  <c r="D133" i="385"/>
  <c r="C133" i="385"/>
  <c r="S132" i="385"/>
  <c r="R132" i="385"/>
  <c r="Q132" i="385"/>
  <c r="P132" i="385"/>
  <c r="M132" i="385"/>
  <c r="L132" i="385"/>
  <c r="K132" i="385"/>
  <c r="J132" i="385"/>
  <c r="H132" i="385"/>
  <c r="G132" i="385"/>
  <c r="F132" i="385"/>
  <c r="E132" i="385"/>
  <c r="D132" i="385"/>
  <c r="C132" i="385"/>
  <c r="S131" i="385"/>
  <c r="R131" i="385"/>
  <c r="Q131" i="385"/>
  <c r="P131" i="385"/>
  <c r="M131" i="385"/>
  <c r="L131" i="385"/>
  <c r="K131" i="385"/>
  <c r="J131" i="385"/>
  <c r="H131" i="385"/>
  <c r="G131" i="385"/>
  <c r="F131" i="385"/>
  <c r="E131" i="385"/>
  <c r="D131" i="385"/>
  <c r="C131" i="385"/>
  <c r="S130" i="385"/>
  <c r="R130" i="385"/>
  <c r="Q130" i="385"/>
  <c r="P130" i="385"/>
  <c r="M130" i="385"/>
  <c r="L130" i="385"/>
  <c r="K130" i="385"/>
  <c r="J130" i="385"/>
  <c r="H130" i="385"/>
  <c r="G130" i="385"/>
  <c r="F130" i="385"/>
  <c r="E130" i="385"/>
  <c r="D130" i="385"/>
  <c r="C130" i="385"/>
  <c r="S129" i="385"/>
  <c r="R129" i="385"/>
  <c r="Q129" i="385"/>
  <c r="P129" i="385"/>
  <c r="M129" i="385"/>
  <c r="L129" i="385"/>
  <c r="K129" i="385"/>
  <c r="J129" i="385"/>
  <c r="H129" i="385"/>
  <c r="G129" i="385"/>
  <c r="F129" i="385"/>
  <c r="E129" i="385"/>
  <c r="D129" i="385"/>
  <c r="C129" i="385"/>
  <c r="S128" i="385"/>
  <c r="R128" i="385"/>
  <c r="Q128" i="385"/>
  <c r="P128" i="385"/>
  <c r="M128" i="385"/>
  <c r="L128" i="385"/>
  <c r="K128" i="385"/>
  <c r="J128" i="385"/>
  <c r="H128" i="385"/>
  <c r="G128" i="385"/>
  <c r="F128" i="385"/>
  <c r="E128" i="385"/>
  <c r="D128" i="385"/>
  <c r="C128" i="385"/>
  <c r="S127" i="385"/>
  <c r="R127" i="385"/>
  <c r="Q127" i="385"/>
  <c r="P127" i="385"/>
  <c r="M127" i="385"/>
  <c r="L127" i="385"/>
  <c r="K127" i="385"/>
  <c r="J127" i="385"/>
  <c r="H127" i="385"/>
  <c r="G127" i="385"/>
  <c r="F127" i="385"/>
  <c r="E127" i="385"/>
  <c r="D127" i="385"/>
  <c r="C127" i="385"/>
  <c r="S126" i="385"/>
  <c r="R126" i="385"/>
  <c r="Q126" i="385"/>
  <c r="P126" i="385"/>
  <c r="M126" i="385"/>
  <c r="L126" i="385"/>
  <c r="K126" i="385"/>
  <c r="J126" i="385"/>
  <c r="H126" i="385"/>
  <c r="G126" i="385"/>
  <c r="F126" i="385"/>
  <c r="E126" i="385"/>
  <c r="D126" i="385"/>
  <c r="C126" i="385"/>
  <c r="S125" i="385"/>
  <c r="R125" i="385"/>
  <c r="Q125" i="385"/>
  <c r="P125" i="385"/>
  <c r="M125" i="385"/>
  <c r="L125" i="385"/>
  <c r="K125" i="385"/>
  <c r="J125" i="385"/>
  <c r="H125" i="385"/>
  <c r="G125" i="385"/>
  <c r="F125" i="385"/>
  <c r="E125" i="385"/>
  <c r="D125" i="385"/>
  <c r="C125" i="385"/>
  <c r="S124" i="385"/>
  <c r="R124" i="385"/>
  <c r="Q124" i="385"/>
  <c r="P124" i="385"/>
  <c r="M124" i="385"/>
  <c r="L124" i="385"/>
  <c r="K124" i="385"/>
  <c r="J124" i="385"/>
  <c r="H124" i="385"/>
  <c r="G124" i="385"/>
  <c r="F124" i="385"/>
  <c r="E124" i="385"/>
  <c r="D124" i="385"/>
  <c r="C124" i="385"/>
  <c r="S123" i="385"/>
  <c r="R123" i="385"/>
  <c r="Q123" i="385"/>
  <c r="P123" i="385"/>
  <c r="M123" i="385"/>
  <c r="L123" i="385"/>
  <c r="K123" i="385"/>
  <c r="J123" i="385"/>
  <c r="H123" i="385"/>
  <c r="G123" i="385"/>
  <c r="F123" i="385"/>
  <c r="E123" i="385"/>
  <c r="D123" i="385"/>
  <c r="C123" i="385"/>
  <c r="S122" i="385"/>
  <c r="R122" i="385"/>
  <c r="Q122" i="385"/>
  <c r="P122" i="385"/>
  <c r="M122" i="385"/>
  <c r="L122" i="385"/>
  <c r="K122" i="385"/>
  <c r="J122" i="385"/>
  <c r="H122" i="385"/>
  <c r="G122" i="385"/>
  <c r="F122" i="385"/>
  <c r="E122" i="385"/>
  <c r="D122" i="385"/>
  <c r="C122" i="385"/>
  <c r="S121" i="385"/>
  <c r="R121" i="385"/>
  <c r="Q121" i="385"/>
  <c r="P121" i="385"/>
  <c r="M121" i="385"/>
  <c r="L121" i="385"/>
  <c r="K121" i="385"/>
  <c r="J121" i="385"/>
  <c r="H121" i="385"/>
  <c r="G121" i="385"/>
  <c r="F121" i="385"/>
  <c r="E121" i="385"/>
  <c r="D121" i="385"/>
  <c r="C121" i="385"/>
  <c r="S120" i="385"/>
  <c r="R120" i="385"/>
  <c r="Q120" i="385"/>
  <c r="P120" i="385"/>
  <c r="M120" i="385"/>
  <c r="L120" i="385"/>
  <c r="K120" i="385"/>
  <c r="J120" i="385"/>
  <c r="H120" i="385"/>
  <c r="G120" i="385"/>
  <c r="F120" i="385"/>
  <c r="E120" i="385"/>
  <c r="D120" i="385"/>
  <c r="C120" i="385"/>
  <c r="S119" i="385"/>
  <c r="R119" i="385"/>
  <c r="Q119" i="385"/>
  <c r="P119" i="385"/>
  <c r="M119" i="385"/>
  <c r="L119" i="385"/>
  <c r="K119" i="385"/>
  <c r="J119" i="385"/>
  <c r="H119" i="385"/>
  <c r="G119" i="385"/>
  <c r="F119" i="385"/>
  <c r="E119" i="385"/>
  <c r="D119" i="385"/>
  <c r="C119" i="385"/>
  <c r="S118" i="385"/>
  <c r="R118" i="385"/>
  <c r="Q118" i="385"/>
  <c r="P118" i="385"/>
  <c r="M118" i="385"/>
  <c r="L118" i="385"/>
  <c r="K118" i="385"/>
  <c r="J118" i="385"/>
  <c r="H118" i="385"/>
  <c r="G118" i="385"/>
  <c r="F118" i="385"/>
  <c r="E118" i="385"/>
  <c r="D118" i="385"/>
  <c r="C118" i="385"/>
  <c r="S117" i="385"/>
  <c r="R117" i="385"/>
  <c r="Q117" i="385"/>
  <c r="P117" i="385"/>
  <c r="M117" i="385"/>
  <c r="L117" i="385"/>
  <c r="K117" i="385"/>
  <c r="J117" i="385"/>
  <c r="H117" i="385"/>
  <c r="G117" i="385"/>
  <c r="F117" i="385"/>
  <c r="E117" i="385"/>
  <c r="D117" i="385"/>
  <c r="C117" i="385"/>
  <c r="S116" i="385"/>
  <c r="R116" i="385"/>
  <c r="Q116" i="385"/>
  <c r="P116" i="385"/>
  <c r="M116" i="385"/>
  <c r="L116" i="385"/>
  <c r="K116" i="385"/>
  <c r="J116" i="385"/>
  <c r="H116" i="385"/>
  <c r="G116" i="385"/>
  <c r="F116" i="385"/>
  <c r="E116" i="385"/>
  <c r="D116" i="385"/>
  <c r="C116" i="385"/>
  <c r="S115" i="385"/>
  <c r="R115" i="385"/>
  <c r="Q115" i="385"/>
  <c r="P115" i="385"/>
  <c r="M115" i="385"/>
  <c r="L115" i="385"/>
  <c r="K115" i="385"/>
  <c r="J115" i="385"/>
  <c r="H115" i="385"/>
  <c r="G115" i="385"/>
  <c r="F115" i="385"/>
  <c r="E115" i="385"/>
  <c r="D115" i="385"/>
  <c r="C115" i="385"/>
  <c r="S114" i="385"/>
  <c r="R114" i="385"/>
  <c r="Q114" i="385"/>
  <c r="P114" i="385"/>
  <c r="M114" i="385"/>
  <c r="L114" i="385"/>
  <c r="K114" i="385"/>
  <c r="J114" i="385"/>
  <c r="H114" i="385"/>
  <c r="G114" i="385"/>
  <c r="F114" i="385"/>
  <c r="E114" i="385"/>
  <c r="D114" i="385"/>
  <c r="C114" i="385"/>
  <c r="S113" i="385"/>
  <c r="R113" i="385"/>
  <c r="Q113" i="385"/>
  <c r="P113" i="385"/>
  <c r="M113" i="385"/>
  <c r="L113" i="385"/>
  <c r="K113" i="385"/>
  <c r="J113" i="385"/>
  <c r="H113" i="385"/>
  <c r="G113" i="385"/>
  <c r="F113" i="385"/>
  <c r="E113" i="385"/>
  <c r="D113" i="385"/>
  <c r="C113" i="385"/>
  <c r="S112" i="385"/>
  <c r="R112" i="385"/>
  <c r="Q112" i="385"/>
  <c r="P112" i="385"/>
  <c r="M112" i="385"/>
  <c r="L112" i="385"/>
  <c r="K112" i="385"/>
  <c r="J112" i="385"/>
  <c r="H112" i="385"/>
  <c r="G112" i="385"/>
  <c r="F112" i="385"/>
  <c r="E112" i="385"/>
  <c r="D112" i="385"/>
  <c r="C112" i="385"/>
  <c r="S111" i="385"/>
  <c r="R111" i="385"/>
  <c r="Q111" i="385"/>
  <c r="P111" i="385"/>
  <c r="M111" i="385"/>
  <c r="L111" i="385"/>
  <c r="K111" i="385"/>
  <c r="J111" i="385"/>
  <c r="H111" i="385"/>
  <c r="G111" i="385"/>
  <c r="F111" i="385"/>
  <c r="E111" i="385"/>
  <c r="D111" i="385"/>
  <c r="C111" i="385"/>
  <c r="S110" i="385"/>
  <c r="R110" i="385"/>
  <c r="Q110" i="385"/>
  <c r="P110" i="385"/>
  <c r="M110" i="385"/>
  <c r="L110" i="385"/>
  <c r="K110" i="385"/>
  <c r="J110" i="385"/>
  <c r="H110" i="385"/>
  <c r="G110" i="385"/>
  <c r="F110" i="385"/>
  <c r="E110" i="385"/>
  <c r="D110" i="385"/>
  <c r="C110" i="385"/>
  <c r="S109" i="385"/>
  <c r="R109" i="385"/>
  <c r="Q109" i="385"/>
  <c r="P109" i="385"/>
  <c r="M109" i="385"/>
  <c r="L109" i="385"/>
  <c r="K109" i="385"/>
  <c r="J109" i="385"/>
  <c r="H109" i="385"/>
  <c r="G109" i="385"/>
  <c r="F109" i="385"/>
  <c r="E109" i="385"/>
  <c r="D109" i="385"/>
  <c r="C109" i="385"/>
  <c r="S108" i="385"/>
  <c r="R108" i="385"/>
  <c r="Q108" i="385"/>
  <c r="P108" i="385"/>
  <c r="M108" i="385"/>
  <c r="L108" i="385"/>
  <c r="K108" i="385"/>
  <c r="J108" i="385"/>
  <c r="H108" i="385"/>
  <c r="G108" i="385"/>
  <c r="F108" i="385"/>
  <c r="E108" i="385"/>
  <c r="D108" i="385"/>
  <c r="C108" i="385"/>
  <c r="S107" i="385"/>
  <c r="R107" i="385"/>
  <c r="Q107" i="385"/>
  <c r="P107" i="385"/>
  <c r="M107" i="385"/>
  <c r="L107" i="385"/>
  <c r="K107" i="385"/>
  <c r="J107" i="385"/>
  <c r="H107" i="385"/>
  <c r="G107" i="385"/>
  <c r="F107" i="385"/>
  <c r="E107" i="385"/>
  <c r="D107" i="385"/>
  <c r="C107" i="385"/>
  <c r="S106" i="385"/>
  <c r="R106" i="385"/>
  <c r="Q106" i="385"/>
  <c r="P106" i="385"/>
  <c r="M106" i="385"/>
  <c r="L106" i="385"/>
  <c r="K106" i="385"/>
  <c r="J106" i="385"/>
  <c r="H106" i="385"/>
  <c r="G106" i="385"/>
  <c r="F106" i="385"/>
  <c r="E106" i="385"/>
  <c r="D106" i="385"/>
  <c r="C106" i="385"/>
  <c r="S105" i="385"/>
  <c r="R105" i="385"/>
  <c r="Q105" i="385"/>
  <c r="P105" i="385"/>
  <c r="M105" i="385"/>
  <c r="L105" i="385"/>
  <c r="K105" i="385"/>
  <c r="J105" i="385"/>
  <c r="H105" i="385"/>
  <c r="G105" i="385"/>
  <c r="F105" i="385"/>
  <c r="E105" i="385"/>
  <c r="D105" i="385"/>
  <c r="C105" i="385"/>
  <c r="S104" i="385"/>
  <c r="R104" i="385"/>
  <c r="Q104" i="385"/>
  <c r="P104" i="385"/>
  <c r="M104" i="385"/>
  <c r="L104" i="385"/>
  <c r="K104" i="385"/>
  <c r="J104" i="385"/>
  <c r="H104" i="385"/>
  <c r="G104" i="385"/>
  <c r="F104" i="385"/>
  <c r="E104" i="385"/>
  <c r="D104" i="385"/>
  <c r="C104" i="385"/>
  <c r="S103" i="385"/>
  <c r="R103" i="385"/>
  <c r="Q103" i="385"/>
  <c r="P103" i="385"/>
  <c r="M103" i="385"/>
  <c r="L103" i="385"/>
  <c r="K103" i="385"/>
  <c r="J103" i="385"/>
  <c r="H103" i="385"/>
  <c r="G103" i="385"/>
  <c r="F103" i="385"/>
  <c r="E103" i="385"/>
  <c r="D103" i="385"/>
  <c r="C103" i="385"/>
  <c r="Q102" i="385"/>
  <c r="P102" i="385"/>
  <c r="R102" i="385" s="1"/>
  <c r="M102" i="385"/>
  <c r="L102" i="385"/>
  <c r="K102" i="385"/>
  <c r="J102" i="385"/>
  <c r="H102" i="385"/>
  <c r="G102" i="385"/>
  <c r="F102" i="385"/>
  <c r="E102" i="385"/>
  <c r="D102" i="385"/>
  <c r="C102" i="385"/>
  <c r="Q101" i="385"/>
  <c r="P101" i="385"/>
  <c r="S101" i="385" s="1"/>
  <c r="M101" i="385"/>
  <c r="L101" i="385"/>
  <c r="K101" i="385"/>
  <c r="J101" i="385"/>
  <c r="H101" i="385"/>
  <c r="G101" i="385"/>
  <c r="F101" i="385"/>
  <c r="E101" i="385"/>
  <c r="D101" i="385"/>
  <c r="C101" i="385"/>
  <c r="Q100" i="385"/>
  <c r="P100" i="385"/>
  <c r="S100" i="385" s="1"/>
  <c r="M100" i="385"/>
  <c r="L100" i="385"/>
  <c r="K100" i="385"/>
  <c r="J100" i="385"/>
  <c r="H100" i="385"/>
  <c r="G100" i="385"/>
  <c r="F100" i="385"/>
  <c r="E100" i="385"/>
  <c r="D100" i="385"/>
  <c r="C100" i="385"/>
  <c r="S99" i="385"/>
  <c r="R99" i="385"/>
  <c r="Q99" i="385"/>
  <c r="P99" i="385"/>
  <c r="M99" i="385"/>
  <c r="L99" i="385"/>
  <c r="K99" i="385"/>
  <c r="J99" i="385"/>
  <c r="H99" i="385"/>
  <c r="G99" i="385"/>
  <c r="F99" i="385"/>
  <c r="E99" i="385"/>
  <c r="D99" i="385"/>
  <c r="C99" i="385"/>
  <c r="Q98" i="385"/>
  <c r="P98" i="385"/>
  <c r="M98" i="385"/>
  <c r="L98" i="385"/>
  <c r="K98" i="385"/>
  <c r="J98" i="385"/>
  <c r="H98" i="385"/>
  <c r="G98" i="385"/>
  <c r="F98" i="385"/>
  <c r="E98" i="385"/>
  <c r="D98" i="385"/>
  <c r="C98" i="385"/>
  <c r="Q97" i="385"/>
  <c r="P97" i="385"/>
  <c r="M97" i="385"/>
  <c r="L97" i="385"/>
  <c r="K97" i="385"/>
  <c r="J97" i="385"/>
  <c r="H97" i="385"/>
  <c r="G97" i="385"/>
  <c r="F97" i="385"/>
  <c r="E97" i="385"/>
  <c r="D97" i="385"/>
  <c r="C97" i="385"/>
  <c r="Q96" i="385"/>
  <c r="P96" i="385"/>
  <c r="M96" i="385"/>
  <c r="L96" i="385"/>
  <c r="K96" i="385"/>
  <c r="J96" i="385"/>
  <c r="H96" i="385"/>
  <c r="G96" i="385"/>
  <c r="F96" i="385"/>
  <c r="E96" i="385"/>
  <c r="D96" i="385"/>
  <c r="C96" i="385"/>
  <c r="Q95" i="385"/>
  <c r="P95" i="385"/>
  <c r="M95" i="385"/>
  <c r="L95" i="385"/>
  <c r="K95" i="385"/>
  <c r="J95" i="385"/>
  <c r="H95" i="385"/>
  <c r="G95" i="385"/>
  <c r="F95" i="385"/>
  <c r="E95" i="385"/>
  <c r="D95" i="385"/>
  <c r="C95" i="385"/>
  <c r="Q94" i="385"/>
  <c r="P94" i="385"/>
  <c r="M94" i="385"/>
  <c r="L94" i="385"/>
  <c r="K94" i="385"/>
  <c r="J94" i="385"/>
  <c r="H94" i="385"/>
  <c r="G94" i="385"/>
  <c r="F94" i="385"/>
  <c r="E94" i="385"/>
  <c r="D94" i="385"/>
  <c r="C94" i="385"/>
  <c r="Q93" i="385"/>
  <c r="P93" i="385"/>
  <c r="M93" i="385"/>
  <c r="L93" i="385"/>
  <c r="K93" i="385"/>
  <c r="J93" i="385"/>
  <c r="H93" i="385"/>
  <c r="G93" i="385"/>
  <c r="F93" i="385"/>
  <c r="E93" i="385"/>
  <c r="D93" i="385"/>
  <c r="C93" i="385"/>
  <c r="Q92" i="385"/>
  <c r="P92" i="385"/>
  <c r="M92" i="385"/>
  <c r="L92" i="385"/>
  <c r="K92" i="385"/>
  <c r="J92" i="385"/>
  <c r="H92" i="385"/>
  <c r="G92" i="385"/>
  <c r="F92" i="385"/>
  <c r="E92" i="385"/>
  <c r="D92" i="385"/>
  <c r="C92" i="385"/>
  <c r="Q91" i="385"/>
  <c r="P91" i="385"/>
  <c r="M91" i="385"/>
  <c r="L91" i="385"/>
  <c r="K91" i="385"/>
  <c r="J91" i="385"/>
  <c r="H91" i="385"/>
  <c r="G91" i="385"/>
  <c r="F91" i="385"/>
  <c r="E91" i="385"/>
  <c r="D91" i="385"/>
  <c r="C91" i="385"/>
  <c r="Q90" i="385"/>
  <c r="M90" i="385"/>
  <c r="L90" i="385"/>
  <c r="K90" i="385"/>
  <c r="J90" i="385"/>
  <c r="H90" i="385"/>
  <c r="G90" i="385"/>
  <c r="F90" i="385"/>
  <c r="E90" i="385"/>
  <c r="D90" i="385"/>
  <c r="C90" i="385"/>
  <c r="Q89" i="385"/>
  <c r="M89" i="385"/>
  <c r="L89" i="385"/>
  <c r="K89" i="385"/>
  <c r="J89" i="385"/>
  <c r="H89" i="385"/>
  <c r="G89" i="385"/>
  <c r="F89" i="385"/>
  <c r="E89" i="385"/>
  <c r="D89" i="385"/>
  <c r="C89" i="385"/>
  <c r="Q88" i="385"/>
  <c r="M88" i="385"/>
  <c r="L88" i="385"/>
  <c r="K88" i="385"/>
  <c r="J88" i="385"/>
  <c r="H88" i="385"/>
  <c r="G88" i="385"/>
  <c r="F88" i="385"/>
  <c r="E88" i="385"/>
  <c r="D88" i="385"/>
  <c r="C88" i="385"/>
  <c r="Q87" i="385"/>
  <c r="M87" i="385"/>
  <c r="L87" i="385"/>
  <c r="K87" i="385"/>
  <c r="J87" i="385"/>
  <c r="H87" i="385"/>
  <c r="G87" i="385"/>
  <c r="F87" i="385"/>
  <c r="E87" i="385"/>
  <c r="D87" i="385"/>
  <c r="C87" i="385"/>
  <c r="Q86" i="385"/>
  <c r="M86" i="385"/>
  <c r="L86" i="385"/>
  <c r="K86" i="385"/>
  <c r="J86" i="385"/>
  <c r="H86" i="385"/>
  <c r="G86" i="385"/>
  <c r="F86" i="385"/>
  <c r="E86" i="385"/>
  <c r="D86" i="385"/>
  <c r="C86" i="385"/>
  <c r="Q85" i="385"/>
  <c r="M85" i="385"/>
  <c r="L85" i="385"/>
  <c r="K85" i="385"/>
  <c r="J85" i="385"/>
  <c r="H85" i="385"/>
  <c r="G85" i="385"/>
  <c r="F85" i="385"/>
  <c r="E85" i="385"/>
  <c r="D85" i="385"/>
  <c r="C85" i="385"/>
  <c r="Q84" i="385"/>
  <c r="M84" i="385"/>
  <c r="L84" i="385"/>
  <c r="K84" i="385"/>
  <c r="J84" i="385"/>
  <c r="H84" i="385"/>
  <c r="G84" i="385"/>
  <c r="F84" i="385"/>
  <c r="E84" i="385"/>
  <c r="D84" i="385"/>
  <c r="C84" i="385"/>
  <c r="Q83" i="385"/>
  <c r="M83" i="385"/>
  <c r="L83" i="385"/>
  <c r="K83" i="385"/>
  <c r="J83" i="385"/>
  <c r="H83" i="385"/>
  <c r="G83" i="385"/>
  <c r="F83" i="385"/>
  <c r="E83" i="385"/>
  <c r="D83" i="385"/>
  <c r="C83" i="385"/>
  <c r="Q82" i="385"/>
  <c r="M82" i="385"/>
  <c r="L82" i="385"/>
  <c r="K82" i="385"/>
  <c r="J82" i="385"/>
  <c r="H82" i="385"/>
  <c r="G82" i="385"/>
  <c r="F82" i="385"/>
  <c r="E82" i="385"/>
  <c r="D82" i="385"/>
  <c r="C82" i="385"/>
  <c r="Q81" i="385"/>
  <c r="M81" i="385"/>
  <c r="L81" i="385"/>
  <c r="K81" i="385"/>
  <c r="J81" i="385"/>
  <c r="H81" i="385"/>
  <c r="G81" i="385"/>
  <c r="F81" i="385"/>
  <c r="E81" i="385"/>
  <c r="D81" i="385"/>
  <c r="C81" i="385"/>
  <c r="Q80" i="385"/>
  <c r="M80" i="385"/>
  <c r="L80" i="385"/>
  <c r="K80" i="385"/>
  <c r="J80" i="385"/>
  <c r="H80" i="385"/>
  <c r="G80" i="385"/>
  <c r="F80" i="385"/>
  <c r="E80" i="385"/>
  <c r="D80" i="385"/>
  <c r="C80" i="385"/>
  <c r="Q79" i="385"/>
  <c r="M79" i="385"/>
  <c r="L79" i="385"/>
  <c r="K79" i="385"/>
  <c r="J79" i="385"/>
  <c r="H79" i="385"/>
  <c r="G79" i="385"/>
  <c r="F79" i="385"/>
  <c r="E79" i="385"/>
  <c r="D79" i="385"/>
  <c r="C79" i="385"/>
  <c r="Q78" i="385"/>
  <c r="M78" i="385"/>
  <c r="L78" i="385"/>
  <c r="K78" i="385"/>
  <c r="J78" i="385"/>
  <c r="H78" i="385"/>
  <c r="G78" i="385"/>
  <c r="F78" i="385"/>
  <c r="E78" i="385"/>
  <c r="D78" i="385"/>
  <c r="C78" i="385"/>
  <c r="Q77" i="385"/>
  <c r="M77" i="385"/>
  <c r="L77" i="385"/>
  <c r="K77" i="385"/>
  <c r="J77" i="385"/>
  <c r="H77" i="385"/>
  <c r="G77" i="385"/>
  <c r="F77" i="385"/>
  <c r="E77" i="385"/>
  <c r="D77" i="385"/>
  <c r="C77" i="385"/>
  <c r="Q76" i="385"/>
  <c r="M76" i="385"/>
  <c r="L76" i="385"/>
  <c r="K76" i="385"/>
  <c r="J76" i="385"/>
  <c r="H76" i="385"/>
  <c r="G76" i="385"/>
  <c r="F76" i="385"/>
  <c r="E76" i="385"/>
  <c r="D76" i="385"/>
  <c r="C76" i="385"/>
  <c r="Q75" i="385"/>
  <c r="M75" i="385"/>
  <c r="L75" i="385"/>
  <c r="K75" i="385"/>
  <c r="J75" i="385"/>
  <c r="H75" i="385"/>
  <c r="G75" i="385"/>
  <c r="F75" i="385"/>
  <c r="E75" i="385"/>
  <c r="D75" i="385"/>
  <c r="C75" i="385"/>
  <c r="Q74" i="385"/>
  <c r="M74" i="385"/>
  <c r="L74" i="385"/>
  <c r="K74" i="385"/>
  <c r="J74" i="385"/>
  <c r="H74" i="385"/>
  <c r="G74" i="385"/>
  <c r="F74" i="385"/>
  <c r="E74" i="385"/>
  <c r="D74" i="385"/>
  <c r="C74" i="385"/>
  <c r="Q73" i="385"/>
  <c r="M73" i="385"/>
  <c r="L73" i="385"/>
  <c r="K73" i="385"/>
  <c r="J73" i="385"/>
  <c r="H73" i="385"/>
  <c r="G73" i="385"/>
  <c r="F73" i="385"/>
  <c r="E73" i="385"/>
  <c r="D73" i="385"/>
  <c r="C73" i="385"/>
  <c r="Q72" i="385"/>
  <c r="M72" i="385"/>
  <c r="L72" i="385"/>
  <c r="K72" i="385"/>
  <c r="J72" i="385"/>
  <c r="H72" i="385"/>
  <c r="G72" i="385"/>
  <c r="F72" i="385"/>
  <c r="E72" i="385"/>
  <c r="D72" i="385"/>
  <c r="C72" i="385"/>
  <c r="Q71" i="385"/>
  <c r="M71" i="385"/>
  <c r="L71" i="385"/>
  <c r="K71" i="385"/>
  <c r="J71" i="385"/>
  <c r="H71" i="385"/>
  <c r="G71" i="385"/>
  <c r="F71" i="385"/>
  <c r="E71" i="385"/>
  <c r="D71" i="385"/>
  <c r="C71" i="385"/>
  <c r="Q70" i="385"/>
  <c r="M70" i="385"/>
  <c r="L70" i="385"/>
  <c r="K70" i="385"/>
  <c r="J70" i="385"/>
  <c r="H70" i="385"/>
  <c r="G70" i="385"/>
  <c r="F70" i="385"/>
  <c r="E70" i="385"/>
  <c r="D70" i="385"/>
  <c r="C70" i="385"/>
  <c r="Q69" i="385"/>
  <c r="M69" i="385"/>
  <c r="L69" i="385"/>
  <c r="K69" i="385"/>
  <c r="J69" i="385"/>
  <c r="H69" i="385"/>
  <c r="G69" i="385"/>
  <c r="F69" i="385"/>
  <c r="E69" i="385"/>
  <c r="D69" i="385"/>
  <c r="C69" i="385"/>
  <c r="Q68" i="385"/>
  <c r="M68" i="385"/>
  <c r="L68" i="385"/>
  <c r="K68" i="385"/>
  <c r="J68" i="385"/>
  <c r="H68" i="385"/>
  <c r="G68" i="385"/>
  <c r="F68" i="385"/>
  <c r="E68" i="385"/>
  <c r="D68" i="385"/>
  <c r="C68" i="385"/>
  <c r="Q67" i="385"/>
  <c r="P67" i="385"/>
  <c r="M67" i="385"/>
  <c r="L67" i="385"/>
  <c r="K67" i="385"/>
  <c r="J67" i="385"/>
  <c r="H67" i="385"/>
  <c r="G67" i="385"/>
  <c r="F67" i="385"/>
  <c r="E67" i="385"/>
  <c r="D67" i="385"/>
  <c r="C67" i="385"/>
  <c r="Q66" i="385"/>
  <c r="P66" i="385"/>
  <c r="M66" i="385"/>
  <c r="L66" i="385"/>
  <c r="K66" i="385"/>
  <c r="J66" i="385"/>
  <c r="H66" i="385"/>
  <c r="G66" i="385"/>
  <c r="F66" i="385"/>
  <c r="E66" i="385"/>
  <c r="D66" i="385"/>
  <c r="C66" i="385"/>
  <c r="Q65" i="385"/>
  <c r="P65" i="385"/>
  <c r="M65" i="385"/>
  <c r="L65" i="385"/>
  <c r="K65" i="385"/>
  <c r="J65" i="385"/>
  <c r="H65" i="385"/>
  <c r="G65" i="385"/>
  <c r="F65" i="385"/>
  <c r="E65" i="385"/>
  <c r="D65" i="385"/>
  <c r="C65" i="385"/>
  <c r="Q64" i="385"/>
  <c r="P64" i="385"/>
  <c r="L64" i="385"/>
  <c r="K64" i="385"/>
  <c r="G64" i="385"/>
  <c r="F64" i="385"/>
  <c r="D64" i="385"/>
  <c r="C64" i="385"/>
  <c r="Q63" i="385"/>
  <c r="P63" i="385"/>
  <c r="L63" i="385"/>
  <c r="K63" i="385"/>
  <c r="G63" i="385"/>
  <c r="F63" i="385"/>
  <c r="H63" i="385" s="1"/>
  <c r="D63" i="385"/>
  <c r="C63" i="385"/>
  <c r="Q62" i="385"/>
  <c r="P62" i="385"/>
  <c r="L62" i="385"/>
  <c r="K62" i="385"/>
  <c r="G62" i="385"/>
  <c r="F62" i="385"/>
  <c r="M62" i="385" s="1"/>
  <c r="D62" i="385"/>
  <c r="C62" i="385"/>
  <c r="Q61" i="385"/>
  <c r="P61" i="385"/>
  <c r="L61" i="385"/>
  <c r="K61" i="385"/>
  <c r="G61" i="385"/>
  <c r="F61" i="385"/>
  <c r="D61" i="385"/>
  <c r="C61" i="385"/>
  <c r="Q60" i="385"/>
  <c r="L60" i="385"/>
  <c r="K60" i="385"/>
  <c r="G60" i="385"/>
  <c r="F60" i="385"/>
  <c r="M60" i="385" s="1"/>
  <c r="D60" i="385"/>
  <c r="C60" i="385"/>
  <c r="Q59" i="385"/>
  <c r="L59" i="385"/>
  <c r="K59" i="385"/>
  <c r="G59" i="385"/>
  <c r="F59" i="385"/>
  <c r="D59" i="385"/>
  <c r="C59" i="385"/>
  <c r="Q58" i="385"/>
  <c r="L58" i="385"/>
  <c r="K58" i="385"/>
  <c r="G58" i="385"/>
  <c r="F58" i="385"/>
  <c r="D58" i="385"/>
  <c r="C58" i="385"/>
  <c r="Q57" i="385"/>
  <c r="L57" i="385"/>
  <c r="K57" i="385"/>
  <c r="G57" i="385"/>
  <c r="F57" i="385"/>
  <c r="M57" i="385" s="1"/>
  <c r="D57" i="385"/>
  <c r="C57" i="385"/>
  <c r="Q56" i="385"/>
  <c r="L56" i="385"/>
  <c r="K56" i="385"/>
  <c r="G56" i="385"/>
  <c r="F56" i="385"/>
  <c r="D56" i="385"/>
  <c r="C56" i="385"/>
  <c r="Q55" i="385"/>
  <c r="L55" i="385"/>
  <c r="K55" i="385"/>
  <c r="G55" i="385"/>
  <c r="F55" i="385"/>
  <c r="H55" i="385" s="1"/>
  <c r="D55" i="385"/>
  <c r="C55" i="385"/>
  <c r="Q54" i="385"/>
  <c r="L54" i="385"/>
  <c r="K54" i="385"/>
  <c r="G54" i="385"/>
  <c r="F54" i="385"/>
  <c r="D54" i="385"/>
  <c r="C54" i="385"/>
  <c r="Q53" i="385"/>
  <c r="L53" i="385"/>
  <c r="K53" i="385"/>
  <c r="G53" i="385"/>
  <c r="F53" i="385"/>
  <c r="D53" i="385"/>
  <c r="C53" i="385"/>
  <c r="Q52" i="385"/>
  <c r="C52" i="385"/>
  <c r="Q51" i="385"/>
  <c r="C51" i="385"/>
  <c r="Q50" i="385"/>
  <c r="C50" i="385"/>
  <c r="Q49" i="385"/>
  <c r="C49" i="385"/>
  <c r="Q48" i="385"/>
  <c r="C48" i="385"/>
  <c r="Q47" i="385"/>
  <c r="C47" i="385"/>
  <c r="Q46" i="385"/>
  <c r="C46" i="385"/>
  <c r="Q45" i="385"/>
  <c r="C45" i="385"/>
  <c r="Q44" i="385"/>
  <c r="C44" i="385"/>
  <c r="Q43" i="385"/>
  <c r="C43" i="385"/>
  <c r="Q42" i="385"/>
  <c r="C42" i="385"/>
  <c r="Q41" i="385"/>
  <c r="C41" i="385"/>
  <c r="Q40" i="385"/>
  <c r="C40" i="385"/>
  <c r="Q39" i="385"/>
  <c r="C39" i="385"/>
  <c r="Q38" i="385"/>
  <c r="C38" i="385"/>
  <c r="Q37" i="385"/>
  <c r="L37" i="385"/>
  <c r="C37" i="385"/>
  <c r="Q36" i="385"/>
  <c r="C36" i="385"/>
  <c r="Q35" i="385"/>
  <c r="C35" i="385"/>
  <c r="Q34" i="385"/>
  <c r="C34" i="385"/>
  <c r="Q33" i="385"/>
  <c r="C33" i="385"/>
  <c r="Q32" i="385"/>
  <c r="C32" i="385"/>
  <c r="Q31" i="385"/>
  <c r="C31" i="385"/>
  <c r="Q30" i="385"/>
  <c r="C30" i="385"/>
  <c r="Q29" i="385"/>
  <c r="C29" i="385"/>
  <c r="Q28" i="385"/>
  <c r="C28" i="385"/>
  <c r="Q27" i="385"/>
  <c r="C27" i="385"/>
  <c r="Q26" i="385"/>
  <c r="C26" i="385"/>
  <c r="Q25" i="385"/>
  <c r="C25" i="385"/>
  <c r="Q24" i="385"/>
  <c r="C24" i="385"/>
  <c r="Q23" i="385"/>
  <c r="C23" i="385"/>
  <c r="Q22" i="385"/>
  <c r="P22" i="385"/>
  <c r="C22" i="385"/>
  <c r="Q21" i="385"/>
  <c r="P21" i="385"/>
  <c r="C21" i="385"/>
  <c r="Q20" i="385"/>
  <c r="P20" i="385"/>
  <c r="C20" i="385"/>
  <c r="Q19" i="385"/>
  <c r="P19" i="385"/>
  <c r="C19" i="385"/>
  <c r="Q18" i="385"/>
  <c r="C18" i="385"/>
  <c r="Q17" i="385"/>
  <c r="C17" i="385"/>
  <c r="Q16" i="385"/>
  <c r="C16" i="385"/>
  <c r="Q15" i="385"/>
  <c r="C15" i="385"/>
  <c r="Q14" i="385"/>
  <c r="C14" i="385"/>
  <c r="Q13" i="385"/>
  <c r="C13" i="385"/>
  <c r="Q12" i="385"/>
  <c r="C12" i="385"/>
  <c r="Q11" i="385"/>
  <c r="C11" i="385"/>
  <c r="Q10" i="385"/>
  <c r="C10" i="385"/>
  <c r="Q9" i="385"/>
  <c r="C9" i="385"/>
  <c r="Q8" i="385"/>
  <c r="C8" i="385"/>
  <c r="Q7" i="385"/>
  <c r="C7" i="385"/>
  <c r="Q6" i="385"/>
  <c r="C6" i="385"/>
  <c r="Q5" i="385"/>
  <c r="C5" i="385"/>
  <c r="N1" i="385"/>
  <c r="Q110" i="89"/>
  <c r="S91" i="385" l="1"/>
  <c r="S95" i="385"/>
  <c r="E60" i="385"/>
  <c r="S93" i="385"/>
  <c r="S98" i="385"/>
  <c r="R92" i="385"/>
  <c r="S94" i="385"/>
  <c r="E62" i="385"/>
  <c r="M63" i="385"/>
  <c r="E63" i="385" s="1"/>
  <c r="R98" i="385"/>
  <c r="M55" i="385"/>
  <c r="E55" i="385" s="1"/>
  <c r="M58" i="385"/>
  <c r="M53" i="385"/>
  <c r="E53" i="385" s="1"/>
  <c r="M56" i="385"/>
  <c r="E56" i="385" s="1"/>
  <c r="M64" i="385"/>
  <c r="E64" i="385" s="1"/>
  <c r="R97" i="385"/>
  <c r="H56" i="385"/>
  <c r="R94" i="385"/>
  <c r="M54" i="385"/>
  <c r="E54" i="385" s="1"/>
  <c r="E57" i="385"/>
  <c r="S96" i="385"/>
  <c r="R101" i="385"/>
  <c r="S97" i="385"/>
  <c r="R100" i="385"/>
  <c r="R93" i="385"/>
  <c r="R96" i="385"/>
  <c r="S92" i="385"/>
  <c r="S102" i="385"/>
  <c r="R95" i="385"/>
  <c r="E58" i="385"/>
  <c r="M59" i="385"/>
  <c r="E59" i="385" s="1"/>
  <c r="H54" i="385"/>
  <c r="M61" i="385"/>
  <c r="E61" i="385" s="1"/>
  <c r="H58" i="385"/>
  <c r="H60" i="385"/>
  <c r="H53" i="385"/>
  <c r="H62" i="385"/>
  <c r="H64" i="385"/>
  <c r="H57" i="385"/>
  <c r="H59" i="385"/>
  <c r="H61" i="385"/>
  <c r="E14" i="415"/>
  <c r="C53" i="415"/>
  <c r="K12" i="385"/>
  <c r="E16" i="415"/>
  <c r="D35" i="415"/>
  <c r="L49" i="385"/>
  <c r="K49" i="385"/>
  <c r="L41" i="385"/>
  <c r="K30" i="385"/>
  <c r="L50" i="385"/>
  <c r="L48" i="385"/>
  <c r="L17" i="385"/>
  <c r="K43" i="385"/>
  <c r="K35" i="385"/>
  <c r="K51" i="385"/>
  <c r="L38" i="385"/>
  <c r="L15" i="385"/>
  <c r="L35" i="385"/>
  <c r="L43" i="385"/>
  <c r="K50" i="385"/>
  <c r="D26" i="415"/>
  <c r="C35" i="415"/>
  <c r="E35" i="415" s="1"/>
  <c r="L51" i="385"/>
  <c r="K47" i="385"/>
  <c r="K52" i="385"/>
  <c r="E42" i="415"/>
  <c r="L52" i="385"/>
  <c r="K32" i="385"/>
  <c r="K6" i="385"/>
  <c r="L47" i="385"/>
  <c r="L32" i="385"/>
  <c r="D47" i="415"/>
  <c r="L6" i="385"/>
  <c r="K24" i="385"/>
  <c r="K48" i="385"/>
  <c r="P26" i="385"/>
  <c r="P25" i="385"/>
  <c r="S25" i="385" s="1"/>
  <c r="G50" i="385"/>
  <c r="D51" i="385"/>
  <c r="P27" i="385"/>
  <c r="R27" i="385" s="1"/>
  <c r="F51" i="385"/>
  <c r="H51" i="385" s="1"/>
  <c r="G51" i="385"/>
  <c r="D49" i="385"/>
  <c r="P69" i="385"/>
  <c r="F39" i="385"/>
  <c r="G48" i="385"/>
  <c r="P23" i="385"/>
  <c r="G49" i="385"/>
  <c r="D47" i="385"/>
  <c r="F48" i="385"/>
  <c r="F49" i="385"/>
  <c r="H49" i="385" s="1"/>
  <c r="G52" i="385"/>
  <c r="P24" i="385"/>
  <c r="F47" i="385"/>
  <c r="D50" i="385"/>
  <c r="I173" i="385"/>
  <c r="F52" i="385"/>
  <c r="G47" i="385"/>
  <c r="F50" i="385"/>
  <c r="H50" i="385" s="1"/>
  <c r="P68" i="385"/>
  <c r="R68" i="385" s="1"/>
  <c r="I12" i="385"/>
  <c r="D52" i="385"/>
  <c r="R91" i="385"/>
  <c r="I125" i="385"/>
  <c r="I159" i="385"/>
  <c r="P30" i="385"/>
  <c r="R30" i="385" s="1"/>
  <c r="D18" i="385"/>
  <c r="I119" i="385"/>
  <c r="D45" i="385"/>
  <c r="D12" i="385"/>
  <c r="D25" i="385"/>
  <c r="P88" i="385"/>
  <c r="R88" i="385" s="1"/>
  <c r="G20" i="385"/>
  <c r="I141" i="385"/>
  <c r="P6" i="385"/>
  <c r="S6" i="385" s="1"/>
  <c r="I181" i="385"/>
  <c r="P46" i="385"/>
  <c r="S46" i="385" s="1"/>
  <c r="I101" i="385"/>
  <c r="P42" i="385"/>
  <c r="I34" i="385"/>
  <c r="D34" i="385"/>
  <c r="G8" i="385"/>
  <c r="I81" i="385"/>
  <c r="P14" i="385"/>
  <c r="F29" i="385"/>
  <c r="I53" i="385"/>
  <c r="J53" i="385" s="1"/>
  <c r="I97" i="385"/>
  <c r="I137" i="385"/>
  <c r="I64" i="385"/>
  <c r="J64" i="385" s="1"/>
  <c r="I115" i="385"/>
  <c r="I155" i="385"/>
  <c r="P79" i="385"/>
  <c r="S79" i="385" s="1"/>
  <c r="D9" i="385"/>
  <c r="I31" i="385"/>
  <c r="P36" i="385"/>
  <c r="R36" i="385" s="1"/>
  <c r="D42" i="385"/>
  <c r="F9" i="385"/>
  <c r="F15" i="385"/>
  <c r="I42" i="385"/>
  <c r="I93" i="385"/>
  <c r="I133" i="385"/>
  <c r="I169" i="385"/>
  <c r="G15" i="385"/>
  <c r="I111" i="385"/>
  <c r="D32" i="385"/>
  <c r="D37" i="385"/>
  <c r="I61" i="385"/>
  <c r="J61" i="385" s="1"/>
  <c r="I129" i="385"/>
  <c r="P48" i="385"/>
  <c r="R48" i="385" s="1"/>
  <c r="G26" i="385"/>
  <c r="I151" i="385"/>
  <c r="F37" i="385"/>
  <c r="P59" i="385"/>
  <c r="S59" i="385" s="1"/>
  <c r="I71" i="385"/>
  <c r="I107" i="385"/>
  <c r="I147" i="385"/>
  <c r="I165" i="385"/>
  <c r="I20" i="385"/>
  <c r="P86" i="385"/>
  <c r="R86" i="385" s="1"/>
  <c r="D10" i="385"/>
  <c r="P76" i="385"/>
  <c r="R76" i="385" s="1"/>
  <c r="P9" i="385"/>
  <c r="R9" i="385" s="1"/>
  <c r="I190" i="385"/>
  <c r="I26" i="385"/>
  <c r="G22" i="385"/>
  <c r="I103" i="385"/>
  <c r="I143" i="385"/>
  <c r="I121" i="385"/>
  <c r="I6" i="385"/>
  <c r="P17" i="385"/>
  <c r="R17" i="385" s="1"/>
  <c r="F33" i="385"/>
  <c r="I38" i="385"/>
  <c r="I99" i="385"/>
  <c r="I139" i="385"/>
  <c r="I161" i="385"/>
  <c r="F11" i="385"/>
  <c r="P44" i="385"/>
  <c r="R44" i="385" s="1"/>
  <c r="I51" i="385"/>
  <c r="I117" i="385"/>
  <c r="I157" i="385"/>
  <c r="I73" i="385"/>
  <c r="F23" i="385"/>
  <c r="P56" i="385"/>
  <c r="R56" i="385" s="1"/>
  <c r="I95" i="385"/>
  <c r="I135" i="385"/>
  <c r="G39" i="385"/>
  <c r="H39" i="385" s="1"/>
  <c r="I113" i="385"/>
  <c r="I153" i="385"/>
  <c r="I131" i="385"/>
  <c r="I191" i="385"/>
  <c r="I84" i="385"/>
  <c r="P34" i="385"/>
  <c r="R34" i="385" s="1"/>
  <c r="I109" i="385"/>
  <c r="I149" i="385"/>
  <c r="G44" i="385"/>
  <c r="G29" i="385"/>
  <c r="I19" i="385"/>
  <c r="I127" i="385"/>
  <c r="I91" i="385"/>
  <c r="D26" i="385"/>
  <c r="F45" i="385"/>
  <c r="P7" i="385"/>
  <c r="S7" i="385" s="1"/>
  <c r="I105" i="385"/>
  <c r="I145" i="385"/>
  <c r="I177" i="385"/>
  <c r="G41" i="385"/>
  <c r="I123" i="385"/>
  <c r="G23" i="385"/>
  <c r="P31" i="385"/>
  <c r="S31" i="385" s="1"/>
  <c r="F34" i="385"/>
  <c r="I39" i="385"/>
  <c r="F42" i="385"/>
  <c r="I50" i="385"/>
  <c r="J50" i="385" s="1"/>
  <c r="I70" i="385"/>
  <c r="P85" i="385"/>
  <c r="R85" i="385" s="1"/>
  <c r="I90" i="385"/>
  <c r="G9" i="385"/>
  <c r="F12" i="385"/>
  <c r="I9" i="385"/>
  <c r="G12" i="385"/>
  <c r="D15" i="385"/>
  <c r="I23" i="385"/>
  <c r="F26" i="385"/>
  <c r="D29" i="385"/>
  <c r="G34" i="385"/>
  <c r="P39" i="385"/>
  <c r="S39" i="385" s="1"/>
  <c r="G42" i="385"/>
  <c r="I47" i="385"/>
  <c r="I67" i="385"/>
  <c r="P82" i="385"/>
  <c r="S82" i="385" s="1"/>
  <c r="I87" i="385"/>
  <c r="I185" i="385"/>
  <c r="I189" i="385"/>
  <c r="D7" i="385"/>
  <c r="P12" i="385"/>
  <c r="R12" i="385" s="1"/>
  <c r="I15" i="385"/>
  <c r="F18" i="385"/>
  <c r="D21" i="385"/>
  <c r="I29" i="385"/>
  <c r="F32" i="385"/>
  <c r="G37" i="385"/>
  <c r="D40" i="385"/>
  <c r="G45" i="385"/>
  <c r="P53" i="385"/>
  <c r="S53" i="385" s="1"/>
  <c r="I58" i="385"/>
  <c r="J58" i="385" s="1"/>
  <c r="P73" i="385"/>
  <c r="S73" i="385" s="1"/>
  <c r="I78" i="385"/>
  <c r="P90" i="385"/>
  <c r="S90" i="385" s="1"/>
  <c r="F21" i="385"/>
  <c r="I55" i="385"/>
  <c r="J55" i="385" s="1"/>
  <c r="I75" i="385"/>
  <c r="F10" i="385"/>
  <c r="I18" i="385"/>
  <c r="F24" i="385"/>
  <c r="J24" i="385" s="1"/>
  <c r="I32" i="385"/>
  <c r="D35" i="385"/>
  <c r="G40" i="385"/>
  <c r="D43" i="385"/>
  <c r="P45" i="385"/>
  <c r="R45" i="385" s="1"/>
  <c r="P47" i="385"/>
  <c r="S47" i="385" s="1"/>
  <c r="I52" i="385"/>
  <c r="I72" i="385"/>
  <c r="P87" i="385"/>
  <c r="S87" i="385" s="1"/>
  <c r="G32" i="385"/>
  <c r="P70" i="385"/>
  <c r="R70" i="385" s="1"/>
  <c r="G7" i="385"/>
  <c r="G21" i="385"/>
  <c r="I7" i="385"/>
  <c r="G10" i="385"/>
  <c r="D13" i="385"/>
  <c r="P18" i="385"/>
  <c r="R18" i="385" s="1"/>
  <c r="I21" i="385"/>
  <c r="G24" i="385"/>
  <c r="D27" i="385"/>
  <c r="F35" i="385"/>
  <c r="P37" i="385"/>
  <c r="R37" i="385" s="1"/>
  <c r="I40" i="385"/>
  <c r="F43" i="385"/>
  <c r="I49" i="385"/>
  <c r="I69" i="385"/>
  <c r="P84" i="385"/>
  <c r="S84" i="385" s="1"/>
  <c r="I89" i="385"/>
  <c r="I132" i="385"/>
  <c r="I152" i="385"/>
  <c r="I156" i="385"/>
  <c r="I160" i="385"/>
  <c r="I164" i="385"/>
  <c r="I168" i="385"/>
  <c r="I172" i="385"/>
  <c r="I176" i="385"/>
  <c r="I180" i="385"/>
  <c r="I184" i="385"/>
  <c r="I188" i="385"/>
  <c r="F7" i="385"/>
  <c r="D24" i="385"/>
  <c r="I37" i="385"/>
  <c r="D5" i="385"/>
  <c r="F27" i="385"/>
  <c r="P40" i="385"/>
  <c r="P81" i="385"/>
  <c r="S81" i="385" s="1"/>
  <c r="I96" i="385"/>
  <c r="I112" i="385"/>
  <c r="I128" i="385"/>
  <c r="I148" i="385"/>
  <c r="G27" i="385"/>
  <c r="D46" i="385"/>
  <c r="P58" i="385"/>
  <c r="S58" i="385" s="1"/>
  <c r="I63" i="385"/>
  <c r="J63" i="385" s="1"/>
  <c r="P78" i="385"/>
  <c r="R78" i="385" s="1"/>
  <c r="I83" i="385"/>
  <c r="P29" i="385"/>
  <c r="R29" i="385" s="1"/>
  <c r="P50" i="385"/>
  <c r="R50" i="385" s="1"/>
  <c r="F13" i="385"/>
  <c r="D30" i="385"/>
  <c r="I92" i="385"/>
  <c r="I108" i="385"/>
  <c r="I120" i="385"/>
  <c r="I140" i="385"/>
  <c r="P10" i="385"/>
  <c r="S10" i="385" s="1"/>
  <c r="F30" i="385"/>
  <c r="I43" i="385"/>
  <c r="D19" i="385"/>
  <c r="I27" i="385"/>
  <c r="D38" i="385"/>
  <c r="P55" i="385"/>
  <c r="R55" i="385" s="1"/>
  <c r="I60" i="385"/>
  <c r="J60" i="385" s="1"/>
  <c r="P75" i="385"/>
  <c r="S75" i="385" s="1"/>
  <c r="I80" i="385"/>
  <c r="P15" i="385"/>
  <c r="R15" i="385" s="1"/>
  <c r="F40" i="385"/>
  <c r="I10" i="385"/>
  <c r="I24" i="385"/>
  <c r="G43" i="385"/>
  <c r="I104" i="385"/>
  <c r="I124" i="385"/>
  <c r="I144" i="385"/>
  <c r="F5" i="385"/>
  <c r="F16" i="385"/>
  <c r="I35" i="385"/>
  <c r="G16" i="385"/>
  <c r="F46" i="385"/>
  <c r="I5" i="385"/>
  <c r="D8" i="385"/>
  <c r="P13" i="385"/>
  <c r="S13" i="385" s="1"/>
  <c r="I16" i="385"/>
  <c r="F19" i="385"/>
  <c r="D22" i="385"/>
  <c r="I30" i="385"/>
  <c r="F38" i="385"/>
  <c r="D41" i="385"/>
  <c r="G46" i="385"/>
  <c r="P52" i="385"/>
  <c r="S52" i="385" s="1"/>
  <c r="I57" i="385"/>
  <c r="J57" i="385" s="1"/>
  <c r="P72" i="385"/>
  <c r="R72" i="385" s="1"/>
  <c r="I77" i="385"/>
  <c r="G18" i="385"/>
  <c r="I45" i="385"/>
  <c r="D16" i="385"/>
  <c r="G35" i="385"/>
  <c r="I66" i="385"/>
  <c r="I86" i="385"/>
  <c r="I100" i="385"/>
  <c r="I116" i="385"/>
  <c r="I136" i="385"/>
  <c r="G13" i="385"/>
  <c r="P32" i="385"/>
  <c r="R32" i="385" s="1"/>
  <c r="G5" i="385"/>
  <c r="I13" i="385"/>
  <c r="G30" i="385"/>
  <c r="P5" i="385"/>
  <c r="S5" i="385" s="1"/>
  <c r="F8" i="385"/>
  <c r="H8" i="385" s="1"/>
  <c r="D11" i="385"/>
  <c r="P16" i="385"/>
  <c r="R16" i="385" s="1"/>
  <c r="G19" i="385"/>
  <c r="F22" i="385"/>
  <c r="D33" i="385"/>
  <c r="P35" i="385"/>
  <c r="R35" i="385" s="1"/>
  <c r="G38" i="385"/>
  <c r="F41" i="385"/>
  <c r="P43" i="385"/>
  <c r="R43" i="385" s="1"/>
  <c r="I46" i="385"/>
  <c r="P49" i="385"/>
  <c r="S49" i="385" s="1"/>
  <c r="I54" i="385"/>
  <c r="J54" i="385" s="1"/>
  <c r="I74" i="385"/>
  <c r="P89" i="385"/>
  <c r="S89" i="385" s="1"/>
  <c r="I167" i="385"/>
  <c r="I183" i="385"/>
  <c r="I8" i="385"/>
  <c r="G33" i="385"/>
  <c r="P38" i="385"/>
  <c r="S38" i="385" s="1"/>
  <c r="I41" i="385"/>
  <c r="I48" i="385"/>
  <c r="J48" i="385" s="1"/>
  <c r="I68" i="385"/>
  <c r="P83" i="385"/>
  <c r="S83" i="385" s="1"/>
  <c r="I88" i="385"/>
  <c r="I163" i="385"/>
  <c r="I179" i="385"/>
  <c r="I187" i="385"/>
  <c r="D14" i="385"/>
  <c r="I22" i="385"/>
  <c r="P8" i="385"/>
  <c r="R8" i="385" s="1"/>
  <c r="D17" i="385"/>
  <c r="G25" i="385"/>
  <c r="F28" i="385"/>
  <c r="I33" i="385"/>
  <c r="D36" i="385"/>
  <c r="D44" i="385"/>
  <c r="P60" i="385"/>
  <c r="S60" i="385" s="1"/>
  <c r="I65" i="385"/>
  <c r="P80" i="385"/>
  <c r="S80" i="385" s="1"/>
  <c r="I85" i="385"/>
  <c r="I171" i="385"/>
  <c r="D28" i="385"/>
  <c r="F14" i="385"/>
  <c r="G14" i="385"/>
  <c r="I25" i="385"/>
  <c r="D31" i="385"/>
  <c r="F44" i="385"/>
  <c r="P57" i="385"/>
  <c r="R57" i="385" s="1"/>
  <c r="I62" i="385"/>
  <c r="J62" i="385" s="1"/>
  <c r="P77" i="385"/>
  <c r="R77" i="385" s="1"/>
  <c r="I82" i="385"/>
  <c r="I175" i="385"/>
  <c r="G11" i="385"/>
  <c r="H11" i="385" s="1"/>
  <c r="F25" i="385"/>
  <c r="D6" i="385"/>
  <c r="I11" i="385"/>
  <c r="F6" i="385"/>
  <c r="P11" i="385"/>
  <c r="R11" i="385" s="1"/>
  <c r="F17" i="385"/>
  <c r="G28" i="385"/>
  <c r="P33" i="385"/>
  <c r="R33" i="385" s="1"/>
  <c r="F36" i="385"/>
  <c r="P41" i="385"/>
  <c r="R41" i="385" s="1"/>
  <c r="G6" i="385"/>
  <c r="I14" i="385"/>
  <c r="G17" i="385"/>
  <c r="D20" i="385"/>
  <c r="I28" i="385"/>
  <c r="F31" i="385"/>
  <c r="G36" i="385"/>
  <c r="D39" i="385"/>
  <c r="P54" i="385"/>
  <c r="R54" i="385" s="1"/>
  <c r="I59" i="385"/>
  <c r="J59" i="385" s="1"/>
  <c r="P74" i="385"/>
  <c r="R74" i="385" s="1"/>
  <c r="I79" i="385"/>
  <c r="I17" i="385"/>
  <c r="F20" i="385"/>
  <c r="H20" i="385" s="1"/>
  <c r="D23" i="385"/>
  <c r="P28" i="385"/>
  <c r="R28" i="385" s="1"/>
  <c r="G31" i="385"/>
  <c r="I36" i="385"/>
  <c r="I44" i="385"/>
  <c r="P51" i="385"/>
  <c r="R51" i="385" s="1"/>
  <c r="I56" i="385"/>
  <c r="J56" i="385" s="1"/>
  <c r="P71" i="385"/>
  <c r="S71" i="385" s="1"/>
  <c r="I76" i="385"/>
  <c r="I94" i="385"/>
  <c r="I98" i="385"/>
  <c r="I102" i="385"/>
  <c r="I106" i="385"/>
  <c r="I110" i="385"/>
  <c r="I114" i="385"/>
  <c r="I118" i="385"/>
  <c r="I122" i="385"/>
  <c r="I126" i="385"/>
  <c r="I130" i="385"/>
  <c r="I134" i="385"/>
  <c r="I138" i="385"/>
  <c r="I142" i="385"/>
  <c r="I146" i="385"/>
  <c r="I150" i="385"/>
  <c r="I154" i="385"/>
  <c r="I158" i="385"/>
  <c r="I162" i="385"/>
  <c r="I166" i="385"/>
  <c r="I170" i="385"/>
  <c r="I174" i="385"/>
  <c r="I178" i="385"/>
  <c r="I182" i="385"/>
  <c r="I186" i="385"/>
  <c r="C50" i="415"/>
  <c r="D49" i="415"/>
  <c r="D28" i="415"/>
  <c r="L14" i="385"/>
  <c r="E12" i="415"/>
  <c r="C29" i="415"/>
  <c r="E29" i="415" s="1"/>
  <c r="D50" i="415"/>
  <c r="D34" i="415"/>
  <c r="C52" i="415"/>
  <c r="E52" i="415" s="1"/>
  <c r="C37" i="415"/>
  <c r="D53" i="415"/>
  <c r="E53" i="415" s="1"/>
  <c r="L12" i="385"/>
  <c r="D37" i="415"/>
  <c r="C54" i="415"/>
  <c r="D39" i="415"/>
  <c r="D54" i="415"/>
  <c r="E54" i="415" s="1"/>
  <c r="K41" i="385"/>
  <c r="K46" i="385"/>
  <c r="L10" i="385"/>
  <c r="K44" i="385"/>
  <c r="K21" i="385"/>
  <c r="K26" i="385"/>
  <c r="D8" i="415"/>
  <c r="C18" i="415"/>
  <c r="K15" i="385"/>
  <c r="K23" i="385"/>
  <c r="L23" i="385"/>
  <c r="L26" i="385"/>
  <c r="C9" i="415"/>
  <c r="C20" i="415"/>
  <c r="K10" i="385"/>
  <c r="D9" i="415"/>
  <c r="C25" i="415"/>
  <c r="C46" i="415"/>
  <c r="L46" i="385"/>
  <c r="D29" i="415"/>
  <c r="L34" i="385"/>
  <c r="E10" i="415"/>
  <c r="D25" i="415"/>
  <c r="D46" i="415"/>
  <c r="L21" i="385"/>
  <c r="C26" i="415"/>
  <c r="E26" i="415" s="1"/>
  <c r="C47" i="415"/>
  <c r="L24" i="385"/>
  <c r="C21" i="415"/>
  <c r="L13" i="385"/>
  <c r="L7" i="385"/>
  <c r="L27" i="385"/>
  <c r="C7" i="415"/>
  <c r="D41" i="415"/>
  <c r="K5" i="385"/>
  <c r="L16" i="385"/>
  <c r="K25" i="385"/>
  <c r="L36" i="385"/>
  <c r="K45" i="385"/>
  <c r="D7" i="415"/>
  <c r="D24" i="415"/>
  <c r="C51" i="415"/>
  <c r="C38" i="415"/>
  <c r="K22" i="385"/>
  <c r="K16" i="385"/>
  <c r="K36" i="385"/>
  <c r="C24" i="415"/>
  <c r="D33" i="415"/>
  <c r="L5" i="385"/>
  <c r="K14" i="385"/>
  <c r="L25" i="385"/>
  <c r="K34" i="385"/>
  <c r="L45" i="385"/>
  <c r="C8" i="415"/>
  <c r="E8" i="415" s="1"/>
  <c r="C34" i="415"/>
  <c r="E34" i="415" s="1"/>
  <c r="D51" i="415"/>
  <c r="K19" i="385"/>
  <c r="L30" i="385"/>
  <c r="K39" i="385"/>
  <c r="D18" i="415"/>
  <c r="C27" i="415"/>
  <c r="K8" i="385"/>
  <c r="L19" i="385"/>
  <c r="K28" i="385"/>
  <c r="L39" i="385"/>
  <c r="C19" i="415"/>
  <c r="D27" i="415"/>
  <c r="C36" i="415"/>
  <c r="L8" i="385"/>
  <c r="K17" i="385"/>
  <c r="L28" i="385"/>
  <c r="K37" i="385"/>
  <c r="E11" i="415"/>
  <c r="D19" i="415"/>
  <c r="C28" i="415"/>
  <c r="D36" i="415"/>
  <c r="E45" i="415"/>
  <c r="C48" i="415"/>
  <c r="D20" i="415"/>
  <c r="L44" i="385"/>
  <c r="C30" i="415"/>
  <c r="L33" i="385"/>
  <c r="D21" i="415"/>
  <c r="D30" i="415"/>
  <c r="K11" i="385"/>
  <c r="L42" i="385"/>
  <c r="C22" i="415"/>
  <c r="L11" i="385"/>
  <c r="K20" i="385"/>
  <c r="L31" i="385"/>
  <c r="K40" i="385"/>
  <c r="C5" i="415"/>
  <c r="E5" i="415" s="1"/>
  <c r="D22" i="415"/>
  <c r="D31" i="415"/>
  <c r="D48" i="415"/>
  <c r="K33" i="385"/>
  <c r="C39" i="415"/>
  <c r="L22" i="385"/>
  <c r="K31" i="385"/>
  <c r="C31" i="415"/>
  <c r="K9" i="385"/>
  <c r="L20" i="385"/>
  <c r="K29" i="385"/>
  <c r="L40" i="385"/>
  <c r="D5" i="415"/>
  <c r="C23" i="415"/>
  <c r="C32" i="415"/>
  <c r="C40" i="415"/>
  <c r="C49" i="415"/>
  <c r="E49" i="415" s="1"/>
  <c r="K13" i="385"/>
  <c r="D38" i="415"/>
  <c r="K42" i="385"/>
  <c r="L9" i="385"/>
  <c r="K18" i="385"/>
  <c r="L29" i="385"/>
  <c r="K38" i="385"/>
  <c r="C6" i="415"/>
  <c r="D23" i="415"/>
  <c r="D32" i="415"/>
  <c r="D40" i="415"/>
  <c r="K7" i="385"/>
  <c r="L18" i="385"/>
  <c r="K27" i="385"/>
  <c r="D6" i="415"/>
  <c r="C33" i="415"/>
  <c r="C41" i="415"/>
  <c r="S15" i="385"/>
  <c r="S63" i="385"/>
  <c r="S62" i="385"/>
  <c r="S22" i="385"/>
  <c r="S14" i="385"/>
  <c r="R64" i="385"/>
  <c r="S37" i="385"/>
  <c r="S69" i="385"/>
  <c r="V37" i="444"/>
  <c r="W37" i="444" s="1"/>
  <c r="S42" i="385"/>
  <c r="V117" i="444"/>
  <c r="W117" i="444" s="1"/>
  <c r="R40" i="385"/>
  <c r="S34" i="385"/>
  <c r="S23" i="385"/>
  <c r="S67" i="385"/>
  <c r="S61" i="385"/>
  <c r="V18" i="444"/>
  <c r="W18" i="444" s="1"/>
  <c r="R20" i="385"/>
  <c r="S21" i="385"/>
  <c r="S19" i="385"/>
  <c r="V137" i="444"/>
  <c r="W137" i="444" s="1"/>
  <c r="V98" i="444"/>
  <c r="W98" i="444" s="1"/>
  <c r="V97" i="444"/>
  <c r="W97" i="444" s="1"/>
  <c r="S26" i="385"/>
  <c r="S66" i="385"/>
  <c r="S86" i="385"/>
  <c r="V155" i="444"/>
  <c r="W155" i="444" s="1"/>
  <c r="R24" i="385"/>
  <c r="V57" i="444"/>
  <c r="W57" i="444" s="1"/>
  <c r="V145" i="444"/>
  <c r="W145" i="444" s="1"/>
  <c r="V17" i="444"/>
  <c r="W17" i="444" s="1"/>
  <c r="S65" i="385"/>
  <c r="V78" i="444"/>
  <c r="W78" i="444" s="1"/>
  <c r="V118" i="444"/>
  <c r="W118" i="444" s="1"/>
  <c r="V135" i="444"/>
  <c r="W135" i="444" s="1"/>
  <c r="V58" i="444"/>
  <c r="W58" i="444" s="1"/>
  <c r="V38" i="444"/>
  <c r="W38" i="444" s="1"/>
  <c r="V77" i="444"/>
  <c r="W77" i="444" s="1"/>
  <c r="I52" i="54"/>
  <c r="I53" i="54"/>
  <c r="J53" i="54" s="1"/>
  <c r="H52" i="54"/>
  <c r="H54" i="54" s="1"/>
  <c r="B5" i="383"/>
  <c r="B4" i="383"/>
  <c r="S20" i="385"/>
  <c r="S40" i="385"/>
  <c r="S64" i="385"/>
  <c r="S88" i="385"/>
  <c r="S24" i="385"/>
  <c r="R19" i="385"/>
  <c r="R23" i="385"/>
  <c r="R59" i="385"/>
  <c r="R63" i="385"/>
  <c r="R67" i="385"/>
  <c r="H29" i="385"/>
  <c r="R14" i="385"/>
  <c r="R22" i="385"/>
  <c r="R42" i="385"/>
  <c r="R62" i="385"/>
  <c r="R66" i="385"/>
  <c r="R26" i="385"/>
  <c r="H24" i="385"/>
  <c r="R21" i="385"/>
  <c r="R25" i="385"/>
  <c r="R53" i="385"/>
  <c r="R61" i="385"/>
  <c r="R65" i="385"/>
  <c r="R69" i="385"/>
  <c r="S8" i="89" a="1"/>
  <c r="H52" i="385" l="1"/>
  <c r="S76" i="385"/>
  <c r="S36" i="385"/>
  <c r="R6" i="385"/>
  <c r="S85" i="385"/>
  <c r="R79" i="385"/>
  <c r="J49" i="385"/>
  <c r="J51" i="385"/>
  <c r="R46" i="385"/>
  <c r="S27" i="385"/>
  <c r="S68" i="385"/>
  <c r="H26" i="385"/>
  <c r="M24" i="385"/>
  <c r="E24" i="385" s="1"/>
  <c r="E32" i="415"/>
  <c r="E47" i="415"/>
  <c r="M48" i="385"/>
  <c r="E48" i="385" s="1"/>
  <c r="E18" i="415"/>
  <c r="E40" i="415"/>
  <c r="E33" i="415"/>
  <c r="E23" i="415"/>
  <c r="E25" i="415"/>
  <c r="M47" i="385"/>
  <c r="E47" i="385" s="1"/>
  <c r="M51" i="385"/>
  <c r="E51" i="385" s="1"/>
  <c r="E41" i="415"/>
  <c r="E28" i="415"/>
  <c r="S18" i="385"/>
  <c r="H33" i="385"/>
  <c r="H48" i="385"/>
  <c r="J32" i="385"/>
  <c r="M50" i="385"/>
  <c r="E50" i="385" s="1"/>
  <c r="R13" i="385"/>
  <c r="R7" i="385"/>
  <c r="J34" i="385"/>
  <c r="M52" i="385"/>
  <c r="E52" i="385" s="1"/>
  <c r="S30" i="385"/>
  <c r="J52" i="385"/>
  <c r="M49" i="385"/>
  <c r="E49" i="385" s="1"/>
  <c r="H47" i="385"/>
  <c r="S70" i="385"/>
  <c r="H22" i="385"/>
  <c r="H34" i="385"/>
  <c r="S12" i="385"/>
  <c r="S35" i="385"/>
  <c r="H30" i="385"/>
  <c r="H10" i="385"/>
  <c r="H21" i="385"/>
  <c r="R87" i="385"/>
  <c r="S45" i="385"/>
  <c r="J47" i="385"/>
  <c r="H42" i="385"/>
  <c r="J33" i="385"/>
  <c r="M39" i="385"/>
  <c r="E39" i="385" s="1"/>
  <c r="H15" i="385"/>
  <c r="M9" i="385"/>
  <c r="E9" i="385" s="1"/>
  <c r="M34" i="385"/>
  <c r="E34" i="385" s="1"/>
  <c r="M6" i="385"/>
  <c r="E6" i="385" s="1"/>
  <c r="J10" i="385"/>
  <c r="S72" i="385"/>
  <c r="J8" i="385"/>
  <c r="S50" i="385"/>
  <c r="S78" i="385"/>
  <c r="R82" i="385"/>
  <c r="R39" i="385"/>
  <c r="S48" i="385"/>
  <c r="R90" i="385"/>
  <c r="R31" i="385"/>
  <c r="S17" i="385"/>
  <c r="R5" i="385"/>
  <c r="S29" i="385"/>
  <c r="S44" i="385"/>
  <c r="S11" i="385"/>
  <c r="R38" i="385"/>
  <c r="S33" i="385"/>
  <c r="R80" i="385"/>
  <c r="R60" i="385"/>
  <c r="S28" i="385"/>
  <c r="H38" i="385"/>
  <c r="M40" i="385"/>
  <c r="E40" i="385" s="1"/>
  <c r="S41" i="385"/>
  <c r="M33" i="385"/>
  <c r="E33" i="385" s="1"/>
  <c r="H9" i="385"/>
  <c r="J14" i="385"/>
  <c r="S51" i="385"/>
  <c r="S16" i="385"/>
  <c r="H13" i="385"/>
  <c r="H37" i="385"/>
  <c r="M35" i="385"/>
  <c r="E35" i="385" s="1"/>
  <c r="M10" i="385"/>
  <c r="E10" i="385" s="1"/>
  <c r="H17" i="385"/>
  <c r="H6" i="385"/>
  <c r="M21" i="385"/>
  <c r="E21" i="385" s="1"/>
  <c r="M29" i="385"/>
  <c r="E29" i="385" s="1"/>
  <c r="H23" i="385"/>
  <c r="J36" i="385"/>
  <c r="J31" i="385"/>
  <c r="H35" i="385"/>
  <c r="J29" i="385"/>
  <c r="M44" i="385"/>
  <c r="E44" i="385" s="1"/>
  <c r="J44" i="385"/>
  <c r="J40" i="385"/>
  <c r="H40" i="385"/>
  <c r="H14" i="385"/>
  <c r="S74" i="385"/>
  <c r="J20" i="385"/>
  <c r="H19" i="385"/>
  <c r="J7" i="385"/>
  <c r="H25" i="385"/>
  <c r="J11" i="385"/>
  <c r="H28" i="385"/>
  <c r="R73" i="385"/>
  <c r="J27" i="385"/>
  <c r="J45" i="385"/>
  <c r="R83" i="385"/>
  <c r="M7" i="385"/>
  <c r="E7" i="385" s="1"/>
  <c r="R75" i="385"/>
  <c r="R52" i="385"/>
  <c r="S55" i="385"/>
  <c r="M38" i="385"/>
  <c r="E38" i="385" s="1"/>
  <c r="M22" i="385"/>
  <c r="E22" i="385" s="1"/>
  <c r="J22" i="385"/>
  <c r="H16" i="385"/>
  <c r="J30" i="385"/>
  <c r="M32" i="385"/>
  <c r="E32" i="385" s="1"/>
  <c r="H12" i="385"/>
  <c r="R58" i="385"/>
  <c r="S32" i="385"/>
  <c r="M46" i="385"/>
  <c r="E46" i="385" s="1"/>
  <c r="H41" i="385"/>
  <c r="J9" i="385"/>
  <c r="H43" i="385"/>
  <c r="J17" i="385"/>
  <c r="M5" i="385"/>
  <c r="E5" i="385" s="1"/>
  <c r="H44" i="385"/>
  <c r="J42" i="385"/>
  <c r="R84" i="385"/>
  <c r="H7" i="385"/>
  <c r="J37" i="385"/>
  <c r="J21" i="385"/>
  <c r="M42" i="385"/>
  <c r="E42" i="385" s="1"/>
  <c r="S56" i="385"/>
  <c r="J25" i="385"/>
  <c r="H32" i="385"/>
  <c r="J46" i="385"/>
  <c r="R81" i="385"/>
  <c r="M16" i="385"/>
  <c r="E16" i="385" s="1"/>
  <c r="H27" i="385"/>
  <c r="M12" i="385"/>
  <c r="E12" i="385" s="1"/>
  <c r="S8" i="385"/>
  <c r="M45" i="385"/>
  <c r="E45" i="385" s="1"/>
  <c r="H18" i="385"/>
  <c r="R47" i="385"/>
  <c r="J6" i="385"/>
  <c r="J15" i="385"/>
  <c r="J23" i="385"/>
  <c r="M41" i="385"/>
  <c r="E41" i="385" s="1"/>
  <c r="H36" i="385"/>
  <c r="R10" i="385"/>
  <c r="J41" i="385"/>
  <c r="M20" i="385"/>
  <c r="E20" i="385" s="1"/>
  <c r="M17" i="385"/>
  <c r="E17" i="385" s="1"/>
  <c r="M11" i="385"/>
  <c r="E11" i="385" s="1"/>
  <c r="H45" i="385"/>
  <c r="J39" i="385"/>
  <c r="S43" i="385"/>
  <c r="M30" i="385"/>
  <c r="E30" i="385" s="1"/>
  <c r="S57" i="385"/>
  <c r="S9" i="385"/>
  <c r="M23" i="385"/>
  <c r="E23" i="385" s="1"/>
  <c r="M15" i="385"/>
  <c r="E15" i="385" s="1"/>
  <c r="J38" i="385"/>
  <c r="R89" i="385"/>
  <c r="H5" i="385"/>
  <c r="M36" i="385"/>
  <c r="E36" i="385" s="1"/>
  <c r="M43" i="385"/>
  <c r="E43" i="385" s="1"/>
  <c r="M37" i="385"/>
  <c r="E37" i="385" s="1"/>
  <c r="S77" i="385"/>
  <c r="M31" i="385"/>
  <c r="E31" i="385" s="1"/>
  <c r="J35" i="385"/>
  <c r="J18" i="385"/>
  <c r="H46" i="385"/>
  <c r="J12" i="385"/>
  <c r="J13" i="385"/>
  <c r="J16" i="385"/>
  <c r="S54" i="385"/>
  <c r="M27" i="385"/>
  <c r="E27" i="385" s="1"/>
  <c r="M26" i="385"/>
  <c r="E26" i="385" s="1"/>
  <c r="J26" i="385"/>
  <c r="M25" i="385"/>
  <c r="E25" i="385" s="1"/>
  <c r="M13" i="385"/>
  <c r="E13" i="385" s="1"/>
  <c r="R71" i="385"/>
  <c r="J5" i="385"/>
  <c r="M18" i="385"/>
  <c r="E18" i="385" s="1"/>
  <c r="J28" i="385"/>
  <c r="J43" i="385"/>
  <c r="M14" i="385"/>
  <c r="E14" i="385" s="1"/>
  <c r="H31" i="385"/>
  <c r="R49" i="385"/>
  <c r="J19" i="385"/>
  <c r="M28" i="385"/>
  <c r="E28" i="385" s="1"/>
  <c r="E9" i="415"/>
  <c r="E20" i="415"/>
  <c r="M8" i="385"/>
  <c r="E8" i="385" s="1"/>
  <c r="E39" i="415"/>
  <c r="M19" i="385"/>
  <c r="E19" i="385" s="1"/>
  <c r="E38" i="415"/>
  <c r="E37" i="415"/>
  <c r="E51" i="415"/>
  <c r="E46" i="415"/>
  <c r="E50" i="415"/>
  <c r="E36" i="415"/>
  <c r="E19" i="415"/>
  <c r="E30" i="415"/>
  <c r="E7" i="415"/>
  <c r="E27" i="415"/>
  <c r="E48" i="415"/>
  <c r="E24" i="415"/>
  <c r="E21" i="415"/>
  <c r="E6" i="415"/>
  <c r="E31" i="415"/>
  <c r="E22" i="415"/>
  <c r="S8" i="89"/>
  <c r="J52" i="54"/>
  <c r="J54" i="54" s="1"/>
  <c r="I54" i="54"/>
  <c r="R8" i="89" a="1"/>
  <c r="R8" i="89" l="1"/>
  <c r="M105" i="89"/>
  <c r="I105" i="89" l="1"/>
  <c r="AE105" i="89"/>
  <c r="AA105" i="89" a="1"/>
  <c r="N105" i="89" a="1"/>
  <c r="AA105" i="89" l="1"/>
  <c r="N105" i="89"/>
  <c r="P105" i="89"/>
  <c r="Q105" i="89" s="1"/>
  <c r="Z105" i="89" a="1"/>
  <c r="Z105" i="89" l="1"/>
  <c r="AE104" i="89"/>
  <c r="AC105" i="89" l="1"/>
  <c r="Y105" i="89"/>
  <c r="U105" i="89"/>
  <c r="J105" i="89"/>
  <c r="K106" i="89" l="1"/>
  <c r="I104" i="89"/>
  <c r="AA104" i="89" a="1"/>
  <c r="AA104" i="89" l="1"/>
  <c r="M104" i="89"/>
  <c r="K102" i="89"/>
  <c r="N104" i="89" a="1"/>
  <c r="N104" i="89" l="1"/>
  <c r="P104" i="89"/>
  <c r="Z104" i="89" a="1"/>
  <c r="Z104" i="89" l="1"/>
  <c r="Q104" i="89"/>
  <c r="AC104" i="89" l="1"/>
  <c r="Y104" i="89"/>
  <c r="U104" i="89"/>
  <c r="J104" i="89"/>
  <c r="K107" i="89" l="1"/>
  <c r="I103" i="89" l="1"/>
  <c r="M103" i="89"/>
  <c r="AE103" i="89"/>
  <c r="AA103" i="89" a="1"/>
  <c r="N103" i="89" a="1"/>
  <c r="AA103" i="89" l="1"/>
  <c r="I101" i="89"/>
  <c r="I110" i="89"/>
  <c r="I108" i="89"/>
  <c r="N103" i="89"/>
  <c r="I106" i="89"/>
  <c r="P103" i="89"/>
  <c r="Z103" i="89" a="1"/>
  <c r="Z103" i="89" l="1"/>
  <c r="H110" i="89"/>
  <c r="H111" i="89"/>
  <c r="P106" i="89"/>
  <c r="Q106" i="89" s="1"/>
  <c r="Q103" i="89"/>
  <c r="Q102" i="89" s="1"/>
  <c r="I102" i="89"/>
  <c r="Q101" i="89"/>
  <c r="H96" i="89"/>
  <c r="AE96" i="89" s="1"/>
  <c r="AE95" i="89"/>
  <c r="H94" i="89"/>
  <c r="AE94" i="89" s="1"/>
  <c r="AE88" i="89"/>
  <c r="S103" i="89"/>
  <c r="R103" i="89" s="1" a="1"/>
  <c r="R103" i="89" l="1"/>
  <c r="G111" i="89"/>
  <c r="G110" i="89"/>
  <c r="M96" i="89"/>
  <c r="AC103" i="89"/>
  <c r="Y103" i="89"/>
  <c r="U103" i="89"/>
  <c r="J103" i="89"/>
  <c r="N95" i="89" a="1"/>
  <c r="N96" i="89" a="1"/>
  <c r="N94" i="89" a="1"/>
  <c r="N94" i="89" l="1"/>
  <c r="N96" i="89"/>
  <c r="N95" i="89"/>
  <c r="Y107" i="89"/>
  <c r="I96" i="89"/>
  <c r="K97" i="89"/>
  <c r="J93" i="89"/>
  <c r="M94" i="89"/>
  <c r="I95" i="89"/>
  <c r="M95" i="89"/>
  <c r="K98" i="89"/>
  <c r="I94" i="89"/>
  <c r="Z94" i="89" a="1"/>
  <c r="Z96" i="89" a="1"/>
  <c r="Z95" i="89" a="1"/>
  <c r="AA95" i="89" a="1"/>
  <c r="AA94" i="89" a="1"/>
  <c r="AA96" i="89" a="1"/>
  <c r="S96" i="89" a="1"/>
  <c r="S94" i="89"/>
  <c r="R94" i="89" s="1" a="1"/>
  <c r="S95" i="89"/>
  <c r="R95" i="89" s="1" a="1"/>
  <c r="R95" i="89" l="1"/>
  <c r="R94" i="89"/>
  <c r="AA96" i="89"/>
  <c r="AA94" i="89"/>
  <c r="AA95" i="89"/>
  <c r="Z95" i="89"/>
  <c r="Z96" i="89"/>
  <c r="Z94" i="89"/>
  <c r="AC94" i="89"/>
  <c r="Y94" i="89"/>
  <c r="U94" i="89"/>
  <c r="S96" i="89"/>
  <c r="AC95" i="89"/>
  <c r="Y95" i="89"/>
  <c r="U95" i="89"/>
  <c r="P95" i="89"/>
  <c r="J95" i="89"/>
  <c r="I99" i="89"/>
  <c r="I93" i="89"/>
  <c r="K93" i="89" s="1"/>
  <c r="I97" i="89"/>
  <c r="P94" i="89"/>
  <c r="Q94" i="89" s="1"/>
  <c r="J94" i="89"/>
  <c r="P96" i="89"/>
  <c r="Q96" i="89" s="1"/>
  <c r="R96" i="89" a="1"/>
  <c r="R96" i="89" l="1"/>
  <c r="J96" i="89"/>
  <c r="Q95" i="89"/>
  <c r="Q93" i="89" s="1"/>
  <c r="P97" i="89"/>
  <c r="AC96" i="89"/>
  <c r="Y96" i="89"/>
  <c r="U96" i="89"/>
  <c r="Y98" i="89" l="1"/>
  <c r="Q97" i="89"/>
  <c r="B98" i="89"/>
  <c r="B99" i="89" s="1"/>
  <c r="M88" i="89" l="1"/>
  <c r="I88" i="89"/>
  <c r="AA88" i="89" a="1"/>
  <c r="N88" i="89" a="1"/>
  <c r="AA88" i="89" l="1"/>
  <c r="N88" i="89"/>
  <c r="D88" i="89"/>
  <c r="Z88" i="89" a="1"/>
  <c r="Z88" i="89" l="1"/>
  <c r="P88" i="89"/>
  <c r="Q88" i="89" s="1"/>
  <c r="AE87" i="89"/>
  <c r="AC88" i="89" l="1"/>
  <c r="Y88" i="89"/>
  <c r="U88" i="89"/>
  <c r="J88" i="89"/>
  <c r="K89" i="89" l="1"/>
  <c r="M87" i="89"/>
  <c r="I87" i="89"/>
  <c r="N87" i="89" a="1"/>
  <c r="N87" i="89" l="1"/>
  <c r="D87" i="89"/>
  <c r="P87" i="89" l="1"/>
  <c r="AB87" i="89" a="1"/>
  <c r="S87" i="89" a="1"/>
  <c r="AB87" i="89" l="1"/>
  <c r="S87" i="89"/>
  <c r="Q87" i="89"/>
  <c r="R87" i="89" a="1"/>
  <c r="R87" i="89" l="1"/>
  <c r="AC87" i="89"/>
  <c r="Y87" i="89"/>
  <c r="U87" i="89"/>
  <c r="J87" i="89"/>
  <c r="K90" i="89" l="1"/>
  <c r="H86" i="89"/>
  <c r="I86" i="89" l="1"/>
  <c r="M86" i="89"/>
  <c r="AE86" i="89"/>
  <c r="N86" i="89" a="1"/>
  <c r="I91" i="89" l="1"/>
  <c r="I89" i="89"/>
  <c r="N86" i="89"/>
  <c r="D86" i="89"/>
  <c r="P86" i="89" l="1"/>
  <c r="J85" i="89"/>
  <c r="I85" i="89"/>
  <c r="AE79" i="89"/>
  <c r="AB86" i="89" a="1"/>
  <c r="S86" i="89" a="1"/>
  <c r="K85" i="89" l="1"/>
  <c r="AB86" i="89"/>
  <c r="S86" i="89"/>
  <c r="P89" i="89"/>
  <c r="Q89" i="89" s="1"/>
  <c r="Q86" i="89"/>
  <c r="Q85" i="89" s="1"/>
  <c r="R86" i="89" a="1"/>
  <c r="R86" i="89" l="1"/>
  <c r="AC86" i="89"/>
  <c r="Y86" i="89"/>
  <c r="U86" i="89"/>
  <c r="J86" i="89"/>
  <c r="Y90" i="89" l="1"/>
  <c r="M79" i="89" l="1"/>
  <c r="I79" i="89"/>
  <c r="AA79" i="89" a="1"/>
  <c r="N79" i="89" a="1"/>
  <c r="AA79" i="89" l="1"/>
  <c r="N79" i="89"/>
  <c r="D79" i="89"/>
  <c r="Z79" i="89" a="1"/>
  <c r="Z79" i="89" l="1"/>
  <c r="P79" i="89"/>
  <c r="Q79" i="89" s="1"/>
  <c r="AE78" i="89"/>
  <c r="S79" i="89" a="1"/>
  <c r="S79" i="89" l="1"/>
  <c r="R79" i="89" a="1"/>
  <c r="R79" i="89" l="1"/>
  <c r="AC79" i="89"/>
  <c r="Y79" i="89"/>
  <c r="U79" i="89"/>
  <c r="J79" i="89"/>
  <c r="M78" i="89" l="1"/>
  <c r="K80" i="89"/>
  <c r="I78" i="89" l="1"/>
  <c r="AA78" i="89" a="1"/>
  <c r="N78" i="89" a="1"/>
  <c r="AA78" i="89" l="1"/>
  <c r="I83" i="89"/>
  <c r="N78" i="89"/>
  <c r="D78" i="89"/>
  <c r="Z78" i="89" a="1"/>
  <c r="Z78" i="89" l="1"/>
  <c r="P78" i="89"/>
  <c r="AE77" i="89"/>
  <c r="Q78" i="89" l="1"/>
  <c r="AC78" i="89" l="1"/>
  <c r="Y78" i="89"/>
  <c r="U78" i="89"/>
  <c r="J78" i="89"/>
  <c r="K81" i="89" l="1"/>
  <c r="I77" i="89"/>
  <c r="AA77" i="89" a="1"/>
  <c r="AA77" i="89" l="1"/>
  <c r="M77" i="89"/>
  <c r="I82" i="89"/>
  <c r="I80" i="89"/>
  <c r="N77" i="89" a="1"/>
  <c r="N77" i="89" l="1"/>
  <c r="D77" i="89"/>
  <c r="Z77" i="89" a="1"/>
  <c r="Z77" i="89" l="1"/>
  <c r="P77" i="89"/>
  <c r="I76" i="89"/>
  <c r="I75" i="89"/>
  <c r="AG68" i="89"/>
  <c r="S77" i="89" a="1"/>
  <c r="S77" i="89" l="1"/>
  <c r="P80" i="89"/>
  <c r="Q80" i="89" s="1"/>
  <c r="Q77" i="89"/>
  <c r="R77" i="89" a="1"/>
  <c r="R77" i="89" l="1"/>
  <c r="AC77" i="89"/>
  <c r="Y77" i="89"/>
  <c r="U77" i="89"/>
  <c r="J77" i="89"/>
  <c r="Y81" i="89" l="1"/>
  <c r="T70" i="89" l="1"/>
  <c r="L72" i="89" l="1"/>
  <c r="K70" i="89"/>
  <c r="M68" i="89"/>
  <c r="I68" i="89"/>
  <c r="I70" i="89" l="1"/>
  <c r="I71" i="89" s="1"/>
  <c r="P68" i="89"/>
  <c r="Q68" i="89" s="1"/>
  <c r="Q70" i="89" s="1"/>
  <c r="K72" i="89"/>
  <c r="K71" i="89"/>
  <c r="AG62" i="89" l="1"/>
  <c r="AC68" i="89" l="1"/>
  <c r="Y68" i="89"/>
  <c r="U68" i="89"/>
  <c r="J68" i="89"/>
  <c r="Y70" i="89" l="1"/>
  <c r="Y71" i="89" s="1"/>
  <c r="M62" i="89" l="1"/>
  <c r="I62" i="89"/>
  <c r="N62" i="89" a="1"/>
  <c r="N62" i="89" l="1"/>
  <c r="P62" i="89" l="1"/>
  <c r="Q62" i="89" s="1"/>
  <c r="AG61" i="89" l="1"/>
  <c r="AB62" i="89" a="1"/>
  <c r="S62" i="89" a="1"/>
  <c r="AB62" i="89" l="1"/>
  <c r="S62" i="89"/>
  <c r="R62" i="89" a="1"/>
  <c r="R62" i="89" l="1"/>
  <c r="AC62" i="89"/>
  <c r="Y62" i="89"/>
  <c r="U62" i="89"/>
  <c r="J62" i="89"/>
  <c r="T63" i="89" l="1"/>
  <c r="M61" i="89" l="1"/>
  <c r="L65" i="89"/>
  <c r="L74" i="89" s="1"/>
  <c r="K63" i="89"/>
  <c r="I61" i="89"/>
  <c r="I63" i="89" l="1"/>
  <c r="I64" i="89" s="1"/>
  <c r="K65" i="89"/>
  <c r="K74" i="89" s="1"/>
  <c r="K64" i="89"/>
  <c r="N61" i="89" a="1"/>
  <c r="N61" i="89" l="1"/>
  <c r="P61" i="89" l="1"/>
  <c r="Q61" i="89" s="1"/>
  <c r="Q63" i="89" s="1"/>
  <c r="Q73" i="89" s="1"/>
  <c r="Z60" i="89" l="1"/>
  <c r="AC61" i="89"/>
  <c r="Y61" i="89"/>
  <c r="U61" i="89"/>
  <c r="J61" i="89"/>
  <c r="Y63" i="89" l="1"/>
  <c r="Y64" i="89" s="1"/>
  <c r="M53" i="89" l="1"/>
  <c r="I53" i="89"/>
  <c r="H53" i="89"/>
  <c r="AG53" i="89" l="1"/>
  <c r="N53" i="89"/>
  <c r="P53" i="89" l="1"/>
  <c r="Q53" i="89" s="1"/>
  <c r="AG52" i="89" l="1"/>
  <c r="AC53" i="89" l="1"/>
  <c r="Y53" i="89"/>
  <c r="U53" i="89"/>
  <c r="J53" i="89"/>
  <c r="T54" i="89" l="1"/>
  <c r="L56" i="89" l="1"/>
  <c r="L57" i="89" s="1"/>
  <c r="K54" i="89"/>
  <c r="I52" i="89"/>
  <c r="I54" i="89" l="1"/>
  <c r="I55" i="89" s="1"/>
  <c r="K56" i="89"/>
  <c r="K57" i="89" s="1"/>
  <c r="K55" i="89"/>
  <c r="M52" i="89"/>
  <c r="N52" i="89" a="1"/>
  <c r="N52" i="89" l="1"/>
  <c r="P52" i="89" l="1"/>
  <c r="Q52" i="89" s="1"/>
  <c r="Q54" i="89" s="1"/>
  <c r="Q56" i="89" s="1"/>
  <c r="D47" i="89" l="1"/>
  <c r="AE44" i="89"/>
  <c r="S52" i="89" a="1"/>
  <c r="S52" i="89" l="1"/>
  <c r="R52" i="89" a="1"/>
  <c r="R52" i="89" l="1"/>
  <c r="AC52" i="89"/>
  <c r="Y52" i="89"/>
  <c r="U52" i="89"/>
  <c r="J52" i="89"/>
  <c r="Y55" i="89" l="1"/>
  <c r="M44" i="89" l="1"/>
  <c r="I44" i="89" l="1"/>
  <c r="N44" i="89" a="1"/>
  <c r="N44" i="89" l="1"/>
  <c r="P44" i="89" l="1"/>
  <c r="Q44" i="89" s="1"/>
  <c r="AE43" i="89" l="1"/>
  <c r="S44" i="89" a="1"/>
  <c r="AB44" i="89" a="1"/>
  <c r="AB44" i="89" l="1"/>
  <c r="S44" i="89"/>
  <c r="R44" i="89" a="1"/>
  <c r="R44" i="89" l="1"/>
  <c r="AC44" i="89"/>
  <c r="Y44" i="89"/>
  <c r="U44" i="89"/>
  <c r="J44" i="89"/>
  <c r="T45" i="89" l="1"/>
  <c r="K46" i="89" l="1"/>
  <c r="K45" i="89"/>
  <c r="I43" i="89"/>
  <c r="M43" i="89" l="1"/>
  <c r="I45" i="89"/>
  <c r="I46" i="89" s="1"/>
  <c r="N43" i="89" a="1"/>
  <c r="N43" i="89" l="1"/>
  <c r="P43" i="89" l="1"/>
  <c r="Q43" i="89" s="1"/>
  <c r="Q45" i="89" s="1"/>
  <c r="L42" i="89" l="1"/>
  <c r="S43" i="89" a="1"/>
  <c r="AB43" i="89" a="1"/>
  <c r="AB43" i="89" l="1"/>
  <c r="S43" i="89"/>
  <c r="R43" i="89" a="1"/>
  <c r="R43" i="89" l="1"/>
  <c r="AC43" i="89"/>
  <c r="Y43" i="89"/>
  <c r="U43" i="89"/>
  <c r="J43" i="89"/>
  <c r="T42" i="89"/>
  <c r="Y45" i="89" l="1"/>
  <c r="Z46" i="89" s="1"/>
  <c r="M37" i="89" l="1"/>
  <c r="I37" i="89"/>
  <c r="AA37" i="89" a="1"/>
  <c r="AA37" i="89" l="1"/>
  <c r="AE37" i="89"/>
  <c r="N37" i="89" a="1"/>
  <c r="N37" i="89" l="1"/>
  <c r="Z37" i="89" a="1"/>
  <c r="Z37" i="89" l="1"/>
  <c r="P37" i="89"/>
  <c r="Q37" i="89" s="1"/>
  <c r="AE36" i="89" l="1"/>
  <c r="AC37" i="89" l="1"/>
  <c r="Y37" i="89"/>
  <c r="U37" i="89"/>
  <c r="J37" i="89"/>
  <c r="T38" i="89" l="1"/>
  <c r="K39" i="89" l="1"/>
  <c r="K38" i="89"/>
  <c r="M36" i="89"/>
  <c r="I36" i="89"/>
  <c r="AA36" i="89" a="1"/>
  <c r="AA36" i="89" l="1"/>
  <c r="I38" i="89"/>
  <c r="N36" i="89" a="1"/>
  <c r="N36" i="89" l="1"/>
  <c r="G38" i="89"/>
  <c r="I39" i="89"/>
  <c r="Z36" i="89" a="1"/>
  <c r="Z36" i="89" l="1"/>
  <c r="P36" i="89"/>
  <c r="Q36" i="89" s="1"/>
  <c r="Q38" i="89" s="1"/>
  <c r="P35" i="89" l="1"/>
  <c r="A32" i="89"/>
  <c r="S36" i="89" a="1"/>
  <c r="S36" i="89" l="1"/>
  <c r="R36" i="89" a="1"/>
  <c r="R36" i="89" l="1"/>
  <c r="AC36" i="89"/>
  <c r="Y36" i="89"/>
  <c r="U36" i="89"/>
  <c r="J36" i="89"/>
  <c r="J35" i="89" s="1"/>
  <c r="Y39" i="89" l="1"/>
  <c r="Y40" i="89" s="1"/>
  <c r="M31" i="89" l="1"/>
  <c r="H31" i="89"/>
  <c r="I31" i="89" l="1"/>
  <c r="AE31" i="89"/>
  <c r="AA31" i="89" a="1"/>
  <c r="N31" i="89" a="1"/>
  <c r="AA31" i="89" l="1"/>
  <c r="N31" i="89"/>
  <c r="Z31" i="89" a="1"/>
  <c r="Z31" i="89" l="1"/>
  <c r="P31" i="89"/>
  <c r="Q31" i="89" s="1"/>
  <c r="AE30" i="89"/>
  <c r="AC31" i="89" l="1"/>
  <c r="Y31" i="89"/>
  <c r="U31" i="89"/>
  <c r="J31" i="89"/>
  <c r="T32" i="89" l="1"/>
  <c r="K33" i="89" l="1"/>
  <c r="K32" i="89"/>
  <c r="I30" i="89"/>
  <c r="AA30" i="89" a="1"/>
  <c r="AA30" i="89" l="1"/>
  <c r="M30" i="89"/>
  <c r="I32" i="89"/>
  <c r="K41" i="89"/>
  <c r="K40" i="89"/>
  <c r="N30" i="89" a="1"/>
  <c r="N30" i="89" l="1"/>
  <c r="I41" i="89"/>
  <c r="I33" i="89"/>
  <c r="Z30" i="89" a="1"/>
  <c r="Z30" i="89" l="1"/>
  <c r="P30" i="89"/>
  <c r="P33" i="89" l="1"/>
  <c r="Q30" i="89"/>
  <c r="Q32" i="89" s="1"/>
  <c r="I29" i="89"/>
  <c r="P28" i="89"/>
  <c r="L27" i="89"/>
  <c r="K27" i="89"/>
  <c r="I25" i="89"/>
  <c r="AL24" i="89"/>
  <c r="AK24" i="89"/>
  <c r="AL21" i="89"/>
  <c r="AJ20" i="89"/>
  <c r="AK21" i="89" s="1"/>
  <c r="S30" i="89" a="1"/>
  <c r="S30" i="89" l="1"/>
  <c r="R30" i="89" a="1"/>
  <c r="R30" i="89" l="1"/>
  <c r="AC30" i="89"/>
  <c r="Y30" i="89"/>
  <c r="U30" i="89"/>
  <c r="J30" i="89"/>
  <c r="Y32" i="89" l="1"/>
  <c r="Z33" i="89" s="1"/>
  <c r="M20" i="89" l="1"/>
  <c r="H20" i="89"/>
  <c r="I20" i="89" l="1"/>
  <c r="AE20" i="89"/>
  <c r="AA20" i="89" a="1"/>
  <c r="N20" i="89" a="1"/>
  <c r="AA20" i="89" l="1"/>
  <c r="I23" i="89"/>
  <c r="N20" i="89"/>
  <c r="Z20" i="89" a="1"/>
  <c r="Z20" i="89" l="1"/>
  <c r="P20" i="89"/>
  <c r="Q20" i="89" s="1"/>
  <c r="AJ19" i="89"/>
  <c r="AE19" i="89"/>
  <c r="AC20" i="89" l="1"/>
  <c r="Y20" i="89"/>
  <c r="U20" i="89"/>
  <c r="J20" i="89"/>
  <c r="T21" i="89" l="1"/>
  <c r="K22" i="89" l="1"/>
  <c r="K23" i="89"/>
  <c r="L23" i="89"/>
  <c r="K21" i="89"/>
  <c r="M19" i="89"/>
  <c r="I19" i="89"/>
  <c r="AA19" i="89" a="1"/>
  <c r="N19" i="89" a="1"/>
  <c r="AA19" i="89" l="1"/>
  <c r="I21" i="89"/>
  <c r="I22" i="89" s="1"/>
  <c r="N19" i="89"/>
  <c r="J19" i="89"/>
  <c r="G18" i="89"/>
  <c r="Z19" i="89" a="1"/>
  <c r="Z19" i="89" l="1"/>
  <c r="P19" i="89"/>
  <c r="Q19" i="89" s="1"/>
  <c r="Q21" i="89" s="1"/>
  <c r="AC19" i="89"/>
  <c r="Y19" i="89"/>
  <c r="U19" i="89"/>
  <c r="P22" i="89" l="1"/>
  <c r="Y21" i="89"/>
  <c r="Y22" i="89" s="1"/>
  <c r="P23" i="89" l="1"/>
  <c r="M14" i="89" l="1"/>
  <c r="H14" i="89"/>
  <c r="I14" i="89" l="1"/>
  <c r="AE14" i="89"/>
  <c r="AF14" i="89"/>
  <c r="AA14" i="89" a="1"/>
  <c r="N14" i="89" a="1"/>
  <c r="AA14" i="89" l="1"/>
  <c r="N14" i="89"/>
  <c r="Z14" i="89" a="1"/>
  <c r="Z14" i="89" l="1"/>
  <c r="P14" i="89"/>
  <c r="Q14" i="89" s="1"/>
  <c r="AF13" i="89"/>
  <c r="AE13" i="89"/>
  <c r="S14" i="89" a="1"/>
  <c r="S14" i="89" l="1"/>
  <c r="R14" i="89" a="1"/>
  <c r="R14" i="89" l="1"/>
  <c r="AC14" i="89"/>
  <c r="Y14" i="89"/>
  <c r="U14" i="89"/>
  <c r="J14" i="89"/>
  <c r="W16" i="89" l="1"/>
  <c r="T15" i="89" l="1"/>
  <c r="M13" i="89" l="1"/>
  <c r="L17" i="89"/>
  <c r="K15" i="89"/>
  <c r="I13" i="89"/>
  <c r="AA13" i="89" a="1"/>
  <c r="AA13" i="89" l="1"/>
  <c r="I15" i="89"/>
  <c r="I16" i="89" s="1"/>
  <c r="K16" i="89"/>
  <c r="K17" i="89"/>
  <c r="N13" i="89" a="1"/>
  <c r="N13" i="89" l="1"/>
  <c r="P13" i="89"/>
  <c r="Z13" i="89" a="1"/>
  <c r="Z13" i="89" l="1"/>
  <c r="P16" i="89"/>
  <c r="Q13" i="89"/>
  <c r="Q15" i="89" s="1"/>
  <c r="AI12" i="89"/>
  <c r="AH12" i="89"/>
  <c r="AI11" i="89"/>
  <c r="AH11" i="89"/>
  <c r="AJ11" i="89" s="1"/>
  <c r="S13" i="89" a="1"/>
  <c r="Q17" i="89" l="1"/>
  <c r="Q24" i="89"/>
  <c r="S13" i="89"/>
  <c r="R13" i="89" a="1"/>
  <c r="R13" i="89" l="1"/>
  <c r="AC13" i="89"/>
  <c r="Y13" i="89"/>
  <c r="U13" i="89"/>
  <c r="J13" i="89"/>
  <c r="J17" i="89" s="1"/>
  <c r="Y15" i="89" l="1"/>
  <c r="Y16" i="89" l="1"/>
  <c r="P17" i="89"/>
  <c r="M8" i="89" l="1"/>
  <c r="I8" i="89" l="1"/>
  <c r="AF8" i="89"/>
  <c r="AE8" i="89"/>
  <c r="AA8" i="89" a="1"/>
  <c r="N8" i="89" a="1"/>
  <c r="AA8" i="89" l="1"/>
  <c r="N8" i="89"/>
  <c r="Z8" i="89" a="1"/>
  <c r="Z8" i="89" l="1"/>
  <c r="P8" i="89"/>
  <c r="Q8" i="89" s="1"/>
  <c r="AF7" i="89"/>
  <c r="AE7" i="89"/>
  <c r="AC8" i="89" l="1"/>
  <c r="Y8" i="89"/>
  <c r="U8" i="89"/>
  <c r="J8" i="89"/>
  <c r="T9" i="89" l="1"/>
  <c r="M7" i="89" l="1"/>
  <c r="L11" i="89"/>
  <c r="K9" i="89"/>
  <c r="I7" i="89"/>
  <c r="AA7" i="89"/>
  <c r="I9" i="89" l="1"/>
  <c r="I10" i="89" s="1"/>
  <c r="K10" i="89"/>
  <c r="K18" i="89" s="1"/>
  <c r="K11" i="89"/>
  <c r="N7" i="89" a="1"/>
  <c r="N7" i="89" l="1"/>
  <c r="K5" i="89"/>
  <c r="Z7" i="89"/>
  <c r="S7" i="89" a="1"/>
  <c r="S7" i="89" l="1"/>
  <c r="P7" i="89"/>
  <c r="R7" i="89" a="1"/>
  <c r="R7" i="89" l="1"/>
  <c r="P10" i="89"/>
  <c r="Q7" i="89"/>
  <c r="Q9" i="89" s="1"/>
  <c r="AC7" i="89"/>
  <c r="Y7" i="89"/>
  <c r="U7" i="89"/>
  <c r="J7" i="89"/>
  <c r="J11" i="89" s="1"/>
  <c r="Y9" i="89" l="1"/>
  <c r="Y10" i="89" s="1"/>
  <c r="Y6" i="89"/>
  <c r="A7" i="89"/>
  <c r="Q11" i="89"/>
  <c r="Q5" i="89"/>
  <c r="P11" i="89" l="1"/>
  <c r="F73" i="54" l="1"/>
  <c r="F72" i="54"/>
  <c r="F67" i="54"/>
  <c r="J55" i="54"/>
  <c r="X105" i="89" l="1"/>
  <c r="AD105" i="89"/>
  <c r="X104" i="89"/>
  <c r="AD104" i="89"/>
  <c r="AD106" i="89" s="1"/>
  <c r="AD103" i="89"/>
  <c r="X103" i="89"/>
  <c r="AD94" i="89"/>
  <c r="AD95" i="89"/>
  <c r="AD97" i="89" s="1"/>
  <c r="X95" i="89"/>
  <c r="X94" i="89"/>
  <c r="AD96" i="89"/>
  <c r="X96" i="89"/>
  <c r="X88" i="89"/>
  <c r="AD88" i="89"/>
  <c r="X87" i="89"/>
  <c r="AD87" i="89"/>
  <c r="AD89" i="89" s="1"/>
  <c r="AD86" i="89"/>
  <c r="X86" i="89"/>
  <c r="X79" i="89"/>
  <c r="AD79" i="89"/>
  <c r="X78" i="89"/>
  <c r="AD78" i="89"/>
  <c r="AD80" i="89" s="1"/>
  <c r="AD77" i="89"/>
  <c r="X77" i="89"/>
  <c r="AD68" i="89"/>
  <c r="AD70" i="89" s="1"/>
  <c r="X68" i="89"/>
  <c r="X70" i="89" s="1"/>
  <c r="X62" i="89"/>
  <c r="AD62" i="89"/>
  <c r="AD61" i="89"/>
  <c r="AD63" i="89" s="1"/>
  <c r="X61" i="89"/>
  <c r="X53" i="89"/>
  <c r="AD53" i="89"/>
  <c r="AD52" i="89"/>
  <c r="AD54" i="89" s="1"/>
  <c r="X52" i="89"/>
  <c r="X44" i="89"/>
  <c r="AD44" i="89"/>
  <c r="AD43" i="89"/>
  <c r="AD45" i="89" s="1"/>
  <c r="X43" i="89"/>
  <c r="X37" i="89"/>
  <c r="AD37" i="89"/>
  <c r="AD36" i="89"/>
  <c r="AD38" i="89" s="1"/>
  <c r="X36" i="89"/>
  <c r="X31" i="89"/>
  <c r="AD31" i="89"/>
  <c r="AD30" i="89"/>
  <c r="AD32" i="89" s="1"/>
  <c r="X30" i="89"/>
  <c r="X20" i="89"/>
  <c r="AD20" i="89"/>
  <c r="AD19" i="89"/>
  <c r="AD21" i="89" s="1"/>
  <c r="X19" i="89"/>
  <c r="X14" i="89"/>
  <c r="AD14" i="89"/>
  <c r="AD13" i="89"/>
  <c r="AD15" i="89" s="1"/>
  <c r="X13" i="89"/>
  <c r="X8" i="89"/>
  <c r="AD8" i="89"/>
  <c r="AD7" i="89"/>
  <c r="AD9" i="89" s="1"/>
  <c r="X7" i="89"/>
  <c r="B1" i="2"/>
  <c r="K1" i="2"/>
  <c r="X54" i="89" l="1"/>
  <c r="X45" i="89"/>
  <c r="X63" i="89"/>
  <c r="X106" i="89"/>
  <c r="X108" i="89" s="1"/>
  <c r="X32" i="89"/>
  <c r="X15" i="89"/>
  <c r="X9" i="89"/>
  <c r="X21" i="89"/>
  <c r="X89" i="89"/>
  <c r="X97" i="89"/>
  <c r="X80" i="89"/>
  <c r="X12" i="89" s="1"/>
  <c r="X38" i="89"/>
  <c r="A11" i="24" l="1"/>
  <c r="B10" i="24"/>
  <c r="C8" i="24"/>
  <c r="C9" i="24" s="1"/>
  <c r="F7" i="24"/>
  <c r="F6" i="24"/>
  <c r="C6" i="24"/>
  <c r="F5" i="24"/>
  <c r="C5" i="24"/>
  <c r="F4" i="24"/>
  <c r="C4" i="24"/>
  <c r="AA10" i="528" l="1"/>
  <c r="Y10" i="528"/>
  <c r="W10" i="528"/>
  <c r="Q10" i="528"/>
  <c r="O10" i="528"/>
  <c r="M10" i="528"/>
  <c r="G10" i="528"/>
  <c r="E10" i="528"/>
  <c r="AA9" i="528"/>
  <c r="Y9" i="528"/>
  <c r="W9" i="528"/>
  <c r="Q9" i="528"/>
  <c r="O9" i="528"/>
  <c r="M9" i="528"/>
  <c r="G9" i="528"/>
  <c r="E9" i="528"/>
  <c r="AA8" i="528"/>
  <c r="Y8" i="528"/>
  <c r="W8" i="528"/>
  <c r="Q8" i="528"/>
  <c r="O8" i="528"/>
  <c r="M8" i="528"/>
  <c r="G8" i="528"/>
  <c r="E8" i="528"/>
  <c r="AA7" i="528"/>
  <c r="Y7" i="528"/>
  <c r="W7" i="528"/>
  <c r="Q7" i="528"/>
  <c r="O7" i="528"/>
  <c r="M7" i="528"/>
  <c r="G7" i="528"/>
  <c r="E7" i="528"/>
  <c r="K10" i="529"/>
  <c r="M10" i="529" s="1"/>
  <c r="M9" i="529"/>
  <c r="K9" i="529"/>
  <c r="K8" i="529"/>
  <c r="M8" i="529" s="1"/>
  <c r="M6" i="529"/>
  <c r="K6" i="529"/>
  <c r="K5" i="529"/>
  <c r="M5" i="529" s="1"/>
  <c r="I66" i="531"/>
  <c r="K59" i="531"/>
  <c r="J59" i="531"/>
  <c r="I58" i="531"/>
  <c r="I61" i="531" s="1"/>
  <c r="T45" i="531"/>
  <c r="S45" i="531"/>
  <c r="R45" i="531"/>
  <c r="Q45" i="531"/>
  <c r="P45" i="531"/>
  <c r="AC43" i="531"/>
  <c r="AA43" i="531"/>
  <c r="Y43" i="531"/>
  <c r="W43" i="531"/>
  <c r="L42" i="531"/>
  <c r="L41" i="531" s="1"/>
  <c r="K42" i="531"/>
  <c r="J42" i="531"/>
  <c r="I42" i="531"/>
  <c r="T46" i="531" s="1"/>
  <c r="T47" i="531" s="1"/>
  <c r="H42" i="531"/>
  <c r="T40" i="531"/>
  <c r="S40" i="531"/>
  <c r="R40" i="531"/>
  <c r="Q40" i="531"/>
  <c r="P40" i="531"/>
  <c r="T30" i="531"/>
  <c r="S30" i="531"/>
  <c r="R30" i="531"/>
  <c r="Q30" i="531"/>
  <c r="P30" i="531"/>
  <c r="AC28" i="531"/>
  <c r="AA28" i="531"/>
  <c r="Y28" i="531"/>
  <c r="W28" i="531"/>
  <c r="L27" i="531"/>
  <c r="L26" i="531" s="1"/>
  <c r="K27" i="531"/>
  <c r="I34" i="531" s="1"/>
  <c r="J27" i="531"/>
  <c r="I27" i="531"/>
  <c r="S31" i="531" s="1"/>
  <c r="S32" i="531" s="1"/>
  <c r="H27" i="531"/>
  <c r="T20" i="531"/>
  <c r="S20" i="531"/>
  <c r="R20" i="531"/>
  <c r="Q20" i="531"/>
  <c r="P20" i="531"/>
  <c r="AC18" i="531"/>
  <c r="AA18" i="531"/>
  <c r="Y18" i="531"/>
  <c r="W18" i="531"/>
  <c r="L17" i="531"/>
  <c r="K17" i="531"/>
  <c r="I24" i="531" s="1"/>
  <c r="J17" i="531"/>
  <c r="I17" i="531"/>
  <c r="P21" i="531" s="1"/>
  <c r="P22" i="531" s="1"/>
  <c r="H17" i="531"/>
  <c r="L16" i="531"/>
  <c r="T14" i="531"/>
  <c r="S14" i="531"/>
  <c r="R14" i="531"/>
  <c r="Q14" i="531"/>
  <c r="P14" i="531"/>
  <c r="AC10" i="531"/>
  <c r="AA10" i="531"/>
  <c r="Y10" i="531"/>
  <c r="W10" i="531"/>
  <c r="L8" i="531"/>
  <c r="K8" i="531"/>
  <c r="J8" i="531"/>
  <c r="I8" i="531"/>
  <c r="H8" i="531"/>
  <c r="F8" i="531"/>
  <c r="Q48" i="446"/>
  <c r="Q47" i="446"/>
  <c r="Q46" i="446"/>
  <c r="Q45" i="446"/>
  <c r="S34" i="531" l="1"/>
  <c r="Q31" i="531"/>
  <c r="Q32" i="531" s="1"/>
  <c r="Q34" i="531" s="1"/>
  <c r="S46" i="531"/>
  <c r="S47" i="531" s="1"/>
  <c r="T31" i="531"/>
  <c r="T32" i="531" s="1"/>
  <c r="T34" i="531" s="1"/>
  <c r="T49" i="531"/>
  <c r="T51" i="531"/>
  <c r="P24" i="531"/>
  <c r="S51" i="531"/>
  <c r="S49" i="531"/>
  <c r="P31" i="531"/>
  <c r="P32" i="531" s="1"/>
  <c r="P34" i="531" s="1"/>
  <c r="P46" i="531"/>
  <c r="P47" i="531" s="1"/>
  <c r="T21" i="531"/>
  <c r="T22" i="531" s="1"/>
  <c r="R31" i="531"/>
  <c r="R32" i="531" s="1"/>
  <c r="R34" i="531" s="1"/>
  <c r="Q46" i="531"/>
  <c r="Q47" i="531" s="1"/>
  <c r="I59" i="531"/>
  <c r="S21" i="531"/>
  <c r="S22" i="531" s="1"/>
  <c r="R46" i="531"/>
  <c r="R47" i="531" s="1"/>
  <c r="Q21" i="531"/>
  <c r="Q22" i="531" s="1"/>
  <c r="I60" i="531"/>
  <c r="R21" i="531"/>
  <c r="R22" i="531" s="1"/>
  <c r="R36" i="531" l="1"/>
  <c r="R24" i="531"/>
  <c r="R51" i="531"/>
  <c r="R49" i="531"/>
  <c r="T24" i="531"/>
  <c r="T36" i="531"/>
  <c r="Q36" i="531"/>
  <c r="Q24" i="531"/>
  <c r="S24" i="531"/>
  <c r="S36" i="531"/>
  <c r="Q49" i="531"/>
  <c r="Q51" i="531"/>
  <c r="P49" i="531"/>
  <c r="P51" i="531"/>
  <c r="P36" i="531"/>
  <c r="Q43" i="446" l="1"/>
  <c r="Q42" i="446" l="1"/>
  <c r="Q39" i="446" l="1"/>
  <c r="AI14" i="446" l="1"/>
  <c r="AH14" i="446"/>
  <c r="AD14" i="446"/>
  <c r="W14" i="446"/>
  <c r="V14" i="446"/>
  <c r="AA13" i="446" l="1"/>
  <c r="Z13" i="446"/>
  <c r="AB13" i="446" s="1"/>
  <c r="M13" i="446" l="1"/>
  <c r="AE13" i="446"/>
  <c r="AA12" i="446" l="1"/>
  <c r="Z12" i="446"/>
  <c r="AB12" i="446" s="1"/>
  <c r="M12" i="446" l="1"/>
  <c r="AE12" i="446"/>
  <c r="AA11" i="446" l="1"/>
  <c r="Z11" i="446"/>
  <c r="AB11" i="446" s="1"/>
  <c r="M11" i="446" l="1"/>
  <c r="AE11" i="446"/>
  <c r="AA10" i="446" l="1"/>
  <c r="Z10" i="446"/>
  <c r="AB10" i="446" s="1"/>
  <c r="M10" i="446" l="1"/>
  <c r="AE10" i="446"/>
  <c r="AA9" i="446" l="1"/>
  <c r="Z9" i="446"/>
  <c r="AB9" i="446" s="1"/>
  <c r="M9" i="446" l="1"/>
  <c r="AE9" i="446"/>
  <c r="AA8" i="446" l="1"/>
  <c r="Z8" i="446"/>
  <c r="AB8" i="446" s="1"/>
  <c r="M8" i="446" l="1"/>
  <c r="AE8" i="446"/>
  <c r="AA7" i="446" l="1"/>
  <c r="Z7" i="446"/>
  <c r="AB7" i="446" s="1"/>
  <c r="M7" i="446" l="1"/>
  <c r="AE7" i="446"/>
  <c r="AG6" i="446" l="1"/>
  <c r="AA6" i="446"/>
  <c r="Z6" i="446"/>
  <c r="AB6" i="446" s="1"/>
  <c r="M6" i="446" l="1"/>
  <c r="AA5" i="446" l="1"/>
  <c r="Z5" i="446"/>
  <c r="AB5" i="446" s="1"/>
  <c r="M5" i="446" l="1"/>
  <c r="AE5" i="446"/>
  <c r="AA4" i="446" l="1"/>
  <c r="AA14" i="446" s="1"/>
  <c r="Z4" i="446"/>
  <c r="Z14" i="446" s="1"/>
  <c r="AB2" i="446"/>
  <c r="AB4" i="446" l="1"/>
  <c r="AB14" i="446" l="1"/>
  <c r="AE4" i="446"/>
  <c r="X4" i="446"/>
  <c r="AG4" i="446" l="1"/>
  <c r="X13" i="446"/>
  <c r="AG13" i="446" s="1"/>
  <c r="X12" i="446"/>
  <c r="AG12" i="446" s="1"/>
  <c r="X11" i="446"/>
  <c r="AG11" i="446" s="1"/>
  <c r="X10" i="446"/>
  <c r="AG10" i="446" s="1"/>
  <c r="X9" i="446"/>
  <c r="AG9" i="446" s="1"/>
  <c r="X8" i="446"/>
  <c r="AG8" i="446" s="1"/>
  <c r="X7" i="446"/>
  <c r="AG7" i="446" s="1"/>
  <c r="X5" i="446"/>
  <c r="AG5" i="446" s="1"/>
  <c r="AG14" i="446" l="1"/>
  <c r="X14" i="446"/>
  <c r="A12" i="338" l="1"/>
  <c r="O12" i="338" l="1"/>
  <c r="K12" i="338"/>
  <c r="L12" i="338" a="1"/>
  <c r="V12" i="338" a="1"/>
  <c r="U12" i="338" a="1"/>
  <c r="U12" i="338" l="1"/>
  <c r="V12" i="338"/>
  <c r="L12" i="338"/>
  <c r="N12" i="338"/>
  <c r="AB12" i="338"/>
  <c r="AD12" i="338"/>
  <c r="Z12" i="338"/>
  <c r="A11" i="338" l="1"/>
  <c r="O11" i="338" l="1"/>
  <c r="K11" i="338"/>
  <c r="L11" i="338" a="1"/>
  <c r="U11" i="338" a="1"/>
  <c r="V11" i="338" a="1"/>
  <c r="V11" i="338" l="1"/>
  <c r="U11" i="338"/>
  <c r="L11" i="338"/>
  <c r="AD11" i="338"/>
  <c r="AB11" i="338"/>
  <c r="Z11" i="338"/>
  <c r="N11" i="338" l="1"/>
  <c r="A10" i="338" l="1"/>
  <c r="O10" i="338" l="1"/>
  <c r="K10" i="338"/>
  <c r="L10" i="338" a="1"/>
  <c r="V10" i="338" a="1"/>
  <c r="U10" i="338" a="1"/>
  <c r="U10" i="338" l="1"/>
  <c r="V10" i="338"/>
  <c r="L10" i="338"/>
  <c r="AD10" i="338"/>
  <c r="AB10" i="338"/>
  <c r="Z10" i="338"/>
  <c r="N10" i="338" l="1"/>
  <c r="A9" i="338" l="1"/>
  <c r="O9" i="338" l="1"/>
  <c r="K9" i="338"/>
  <c r="L9" i="338" a="1"/>
  <c r="U9" i="338" a="1"/>
  <c r="V9" i="338" a="1"/>
  <c r="V9" i="338" l="1"/>
  <c r="U9" i="338"/>
  <c r="L9" i="338"/>
  <c r="AD9" i="338"/>
  <c r="AB9" i="338"/>
  <c r="Z9" i="338"/>
  <c r="N9" i="338" l="1"/>
  <c r="A8" i="338"/>
  <c r="Q5" i="338"/>
  <c r="D5" i="338"/>
  <c r="E4" i="338"/>
  <c r="D4" i="338"/>
  <c r="Q3" i="338"/>
  <c r="E2" i="338"/>
  <c r="E1" i="338"/>
  <c r="J37" i="530"/>
  <c r="J38" i="530" s="1"/>
  <c r="I37" i="530"/>
  <c r="I38" i="530" s="1"/>
  <c r="H37" i="530"/>
  <c r="H38" i="530" s="1"/>
  <c r="J36" i="530"/>
  <c r="I36" i="530"/>
  <c r="H36" i="530"/>
  <c r="G36" i="530"/>
  <c r="G37" i="530" s="1"/>
  <c r="G38" i="530" s="1"/>
  <c r="F36" i="530"/>
  <c r="F37" i="530" s="1"/>
  <c r="F38" i="530" s="1"/>
  <c r="C36" i="530"/>
  <c r="C34" i="530"/>
  <c r="J33" i="530"/>
  <c r="J34" i="530" s="1"/>
  <c r="I33" i="530"/>
  <c r="I34" i="530" s="1"/>
  <c r="H33" i="530"/>
  <c r="H34" i="530" s="1"/>
  <c r="G33" i="530"/>
  <c r="G34" i="530" s="1"/>
  <c r="F33" i="530"/>
  <c r="F34" i="530" s="1"/>
  <c r="E33" i="530"/>
  <c r="D33" i="530"/>
  <c r="D32" i="530"/>
  <c r="C29" i="530"/>
  <c r="J27" i="530"/>
  <c r="C27" i="530"/>
  <c r="D26" i="530"/>
  <c r="A26" i="530"/>
  <c r="D25" i="530"/>
  <c r="U23" i="530"/>
  <c r="U24" i="530" s="1"/>
  <c r="C20" i="530"/>
  <c r="J19" i="530"/>
  <c r="L19" i="530" s="1"/>
  <c r="L18" i="530"/>
  <c r="L20" i="530" s="1"/>
  <c r="M20" i="530" s="1"/>
  <c r="D17" i="530"/>
  <c r="C18" i="530" s="1"/>
  <c r="D16" i="530"/>
  <c r="J14" i="530"/>
  <c r="J15" i="530" s="1"/>
  <c r="J16" i="530" s="1"/>
  <c r="G14" i="530"/>
  <c r="F12" i="530"/>
  <c r="C10" i="530"/>
  <c r="D7" i="530"/>
  <c r="D6" i="530"/>
  <c r="C8" i="530" s="1"/>
  <c r="F3" i="530"/>
  <c r="F4" i="530" s="1"/>
  <c r="AU12" i="338" a="1"/>
  <c r="AU8" i="338" a="1"/>
  <c r="AU11" i="338" a="1"/>
  <c r="AP8" i="338" a="1"/>
  <c r="AP10" i="338" a="1"/>
  <c r="AP9" i="338" a="1"/>
  <c r="AP11" i="338" a="1"/>
  <c r="AU9" i="338" a="1"/>
  <c r="AP12" i="338" a="1"/>
  <c r="AU10" i="338" a="1"/>
  <c r="AU10" i="338" l="1"/>
  <c r="AP12" i="338"/>
  <c r="AU9" i="338"/>
  <c r="AP11" i="338"/>
  <c r="AP9" i="338"/>
  <c r="AP10" i="338"/>
  <c r="AP8" i="338"/>
  <c r="AO8" i="338" s="1"/>
  <c r="AU11" i="338"/>
  <c r="AU8" i="338"/>
  <c r="AU12" i="338"/>
  <c r="AN3" i="338"/>
  <c r="O8" i="338"/>
  <c r="Q2" i="338"/>
  <c r="Q4" i="338" s="1"/>
  <c r="AM3" i="338"/>
  <c r="K8" i="338"/>
  <c r="F39" i="530"/>
  <c r="F40" i="530" s="1"/>
  <c r="G39" i="530"/>
  <c r="G40" i="530" s="1"/>
  <c r="H39" i="530"/>
  <c r="H40" i="530" s="1"/>
  <c r="I39" i="530"/>
  <c r="I40" i="530" s="1"/>
  <c r="L16" i="530"/>
  <c r="K16" i="530"/>
  <c r="J39" i="530"/>
  <c r="J40" i="530" s="1"/>
  <c r="L8" i="338" a="1"/>
  <c r="V8" i="338" a="1"/>
  <c r="U8" i="338" a="1"/>
  <c r="Q11" i="338" a="1"/>
  <c r="Q10" i="338" a="1"/>
  <c r="Q12" i="338" a="1"/>
  <c r="Q9" i="338" a="1"/>
  <c r="Q8" i="338" a="1"/>
  <c r="U8" i="338" l="1"/>
  <c r="V8" i="338"/>
  <c r="L8" i="338"/>
  <c r="Q12" i="338"/>
  <c r="Q10" i="338"/>
  <c r="Q11" i="338"/>
  <c r="Q9" i="338"/>
  <c r="Q8" i="338"/>
  <c r="AD8" i="338"/>
  <c r="Z8" i="338"/>
  <c r="AB8" i="338"/>
  <c r="AO9" i="338"/>
  <c r="AO10" i="338"/>
  <c r="AT11" i="338"/>
  <c r="AO12" i="338"/>
  <c r="AT8" i="338"/>
  <c r="AT9" i="338"/>
  <c r="AT10" i="338"/>
  <c r="AO11" i="338"/>
  <c r="AT12" i="338"/>
  <c r="J42" i="530"/>
  <c r="J41" i="530"/>
  <c r="I41" i="530"/>
  <c r="I42" i="530"/>
  <c r="H41" i="530"/>
  <c r="H42" i="530"/>
  <c r="G41" i="530"/>
  <c r="G42" i="530"/>
  <c r="F41" i="530"/>
  <c r="F42" i="530"/>
  <c r="AM12" i="338"/>
  <c r="AS8" i="338"/>
  <c r="AN10" i="338"/>
  <c r="AN11" i="338"/>
  <c r="AN12" i="338"/>
  <c r="AS11" i="338"/>
  <c r="AN8" i="338"/>
  <c r="AR10" i="338"/>
  <c r="AR12" i="338"/>
  <c r="AR11" i="338"/>
  <c r="AM10" i="338"/>
  <c r="AM9" i="338"/>
  <c r="AS12" i="338"/>
  <c r="AM8" i="338"/>
  <c r="AR9" i="338"/>
  <c r="AR8" i="338"/>
  <c r="AS9" i="338"/>
  <c r="AN9" i="338"/>
  <c r="AM11" i="338"/>
  <c r="AS10" i="338"/>
  <c r="N8" i="33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 Grozdea</author>
  </authors>
  <commentList>
    <comment ref="B23" authorId="0" shapeId="0" xr:uid="{8B430706-38F5-44D4-BABE-EBB6AB3422EF}">
      <text>
        <r>
          <rPr>
            <b/>
            <sz val="9"/>
            <color indexed="81"/>
            <rFont val="Tahoma"/>
            <family val="2"/>
          </rPr>
          <t>Daniel Grozdea:</t>
        </r>
        <r>
          <rPr>
            <sz val="9"/>
            <color indexed="81"/>
            <rFont val="Tahoma"/>
            <family val="2"/>
          </rPr>
          <t xml:space="preserve">
1393 GS
170 BAML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<sst xmlns="http://schemas.openxmlformats.org/spreadsheetml/2006/main" count="4164" uniqueCount="1127">
  <si>
    <t>SPY</t>
  </si>
  <si>
    <t>Vol</t>
  </si>
  <si>
    <t>ESA</t>
  </si>
  <si>
    <t>RSP</t>
  </si>
  <si>
    <t>XLP</t>
  </si>
  <si>
    <t>Price</t>
  </si>
  <si>
    <t>KBWB</t>
  </si>
  <si>
    <t>ASHR</t>
  </si>
  <si>
    <t>ADR</t>
  </si>
  <si>
    <t>KWEB</t>
  </si>
  <si>
    <t>Return</t>
  </si>
  <si>
    <t>Exp</t>
  </si>
  <si>
    <t>Longs</t>
  </si>
  <si>
    <t>Shorts</t>
  </si>
  <si>
    <t>Net</t>
  </si>
  <si>
    <t>Gross</t>
  </si>
  <si>
    <t>USD return</t>
  </si>
  <si>
    <t>BRL return</t>
  </si>
  <si>
    <t>Ex Gold</t>
  </si>
  <si>
    <t>KRE</t>
  </si>
  <si>
    <t>Row Labels</t>
  </si>
  <si>
    <t>Average of % Chg</t>
  </si>
  <si>
    <t>Sum of 
P&amp;L bps</t>
  </si>
  <si>
    <t>Sum of D1 Exp %</t>
  </si>
  <si>
    <t>Sum of Option Exp %</t>
  </si>
  <si>
    <t>Sum of Exp %</t>
  </si>
  <si>
    <t>Index</t>
  </si>
  <si>
    <t>AAPL</t>
  </si>
  <si>
    <t>COIN</t>
  </si>
  <si>
    <t>META</t>
  </si>
  <si>
    <t>TTWO</t>
  </si>
  <si>
    <t>UBER</t>
  </si>
  <si>
    <t>Financials</t>
  </si>
  <si>
    <t>BRK/B</t>
  </si>
  <si>
    <t>MA</t>
  </si>
  <si>
    <t>V</t>
  </si>
  <si>
    <t>XLF</t>
  </si>
  <si>
    <t>IGV</t>
  </si>
  <si>
    <t>MSFT</t>
  </si>
  <si>
    <t>Gold</t>
  </si>
  <si>
    <t>LYSDY</t>
  </si>
  <si>
    <t>MP</t>
  </si>
  <si>
    <t>NVDA</t>
  </si>
  <si>
    <t>SOXX</t>
  </si>
  <si>
    <t>TSM</t>
  </si>
  <si>
    <t>Grand Total</t>
  </si>
  <si>
    <t>XXXX</t>
  </si>
  <si>
    <t>Long</t>
  </si>
  <si>
    <t>Short</t>
  </si>
  <si>
    <t>Expo Long</t>
  </si>
  <si>
    <t>Expo Short</t>
  </si>
  <si>
    <t>% Chg</t>
  </si>
  <si>
    <t>Pair</t>
  </si>
  <si>
    <t>Daily Z</t>
  </si>
  <si>
    <t>Imp Vol</t>
  </si>
  <si>
    <t>Vol 30D</t>
  </si>
  <si>
    <t>Cor 126D</t>
  </si>
  <si>
    <t xml:space="preserve">% 2D </t>
  </si>
  <si>
    <t xml:space="preserve">% 5D </t>
  </si>
  <si>
    <t>% 52H</t>
  </si>
  <si>
    <t>% 52L</t>
  </si>
  <si>
    <t>RSI</t>
  </si>
  <si>
    <t>Target</t>
  </si>
  <si>
    <t>Stop</t>
  </si>
  <si>
    <t>Cost</t>
  </si>
  <si>
    <t>Next Event Long</t>
  </si>
  <si>
    <t>Next Event Short</t>
  </si>
  <si>
    <t>SI Days Long</t>
  </si>
  <si>
    <t>SI Days Short</t>
  </si>
  <si>
    <t>SI % FF Long</t>
  </si>
  <si>
    <t>SI % FF Short</t>
  </si>
  <si>
    <t>EPS Revsn 4W</t>
  </si>
  <si>
    <t>EPS Revsn 13W</t>
  </si>
  <si>
    <t>P/E</t>
  </si>
  <si>
    <t>EPS BF Long</t>
  </si>
  <si>
    <t>EPS BF Short</t>
  </si>
  <si>
    <t>BKNG</t>
  </si>
  <si>
    <t>ABNB</t>
  </si>
  <si>
    <t>GDX</t>
  </si>
  <si>
    <t>NEM</t>
  </si>
  <si>
    <t>EXPE</t>
  </si>
  <si>
    <t>CRM</t>
  </si>
  <si>
    <t>QQQ</t>
  </si>
  <si>
    <t>SMH</t>
  </si>
  <si>
    <t>AVGO</t>
  </si>
  <si>
    <t>MRVL</t>
  </si>
  <si>
    <t>GSENEPOW</t>
  </si>
  <si>
    <t>XLU</t>
  </si>
  <si>
    <t>QQQE</t>
  </si>
  <si>
    <t>IWM</t>
  </si>
  <si>
    <t>Mid</t>
  </si>
  <si>
    <t>Entry</t>
  </si>
  <si>
    <t>vol 30D</t>
  </si>
  <si>
    <t>EFA</t>
  </si>
  <si>
    <t>vol 10D</t>
  </si>
  <si>
    <t>X</t>
  </si>
  <si>
    <t>TOTAL</t>
  </si>
  <si>
    <t>"C:\Users\dgroz\OneDrive - Capstone\Documents\CAPSTONE\Gerencial\Apoio\Relatorios de Posicao\2024 09 06 - Relatorio Posicao Equity.xlsx"</t>
  </si>
  <si>
    <t>SPX</t>
  </si>
  <si>
    <t>D1 Exp %</t>
  </si>
  <si>
    <t>D1 P&amp;L bps</t>
  </si>
  <si>
    <t>Option Exp %</t>
  </si>
  <si>
    <t>Options P&amp;L bps</t>
  </si>
  <si>
    <t>Exp %</t>
  </si>
  <si>
    <t>P&amp;L bps</t>
  </si>
  <si>
    <t>Returns %</t>
  </si>
  <si>
    <t>Alpha %</t>
  </si>
  <si>
    <t>Alpha Cont bps</t>
  </si>
  <si>
    <t>Beta Cont bps</t>
  </si>
  <si>
    <t>Beta Adj Exp %</t>
  </si>
  <si>
    <t>AuM USD (beg day)</t>
  </si>
  <si>
    <t>CapsOne</t>
  </si>
  <si>
    <t>Zenith</t>
  </si>
  <si>
    <t>Total</t>
  </si>
  <si>
    <t>Ano</t>
  </si>
  <si>
    <t xml:space="preserve">Mês </t>
  </si>
  <si>
    <t>Dia</t>
  </si>
  <si>
    <t>Ticker</t>
  </si>
  <si>
    <t>Product</t>
  </si>
  <si>
    <t>Crncy</t>
  </si>
  <si>
    <t>Long / Short</t>
  </si>
  <si>
    <t xml:space="preserve">Qtdd </t>
  </si>
  <si>
    <t>Price Today</t>
  </si>
  <si>
    <t>Price Yest</t>
  </si>
  <si>
    <t>FX</t>
  </si>
  <si>
    <t>Mult</t>
  </si>
  <si>
    <t>D1 Exp USD</t>
  </si>
  <si>
    <t>Options Exp USD (delta adj)</t>
  </si>
  <si>
    <t>xx</t>
  </si>
  <si>
    <t>Ticker2</t>
  </si>
  <si>
    <t>xx2</t>
  </si>
  <si>
    <t>Expo Beta Adj</t>
  </si>
  <si>
    <t>VALUE</t>
  </si>
  <si>
    <t>Report Date2</t>
  </si>
  <si>
    <t>Column3</t>
  </si>
  <si>
    <t>Column4</t>
  </si>
  <si>
    <t>PnL Cash</t>
  </si>
  <si>
    <t>USD</t>
  </si>
  <si>
    <t>HCTK5</t>
  </si>
  <si>
    <t>4EJ5P 4700</t>
  </si>
  <si>
    <t>1,0X</t>
  </si>
  <si>
    <t>Option Ticker</t>
  </si>
  <si>
    <t>Call / Put</t>
  </si>
  <si>
    <t>Underlying</t>
  </si>
  <si>
    <t>Expiry</t>
  </si>
  <si>
    <t>Days to Expiry</t>
  </si>
  <si>
    <t>Currency</t>
  </si>
  <si>
    <t>Qtt</t>
  </si>
  <si>
    <t>Price BTG</t>
  </si>
  <si>
    <t>Price Yest Close</t>
  </si>
  <si>
    <t>Last Price</t>
  </si>
  <si>
    <t>% of spot</t>
  </si>
  <si>
    <t>Bid</t>
  </si>
  <si>
    <t>Ask</t>
  </si>
  <si>
    <t>Bid / Ask Spread</t>
  </si>
  <si>
    <t>Prem Exp USD</t>
  </si>
  <si>
    <t>Prem bps</t>
  </si>
  <si>
    <t>Ex-Intrins bps</t>
  </si>
  <si>
    <t>Intrins Value</t>
  </si>
  <si>
    <t>Prem minus Intrins</t>
  </si>
  <si>
    <t>Under-lying Price</t>
  </si>
  <si>
    <t>Strike</t>
  </si>
  <si>
    <t>% OTM</t>
  </si>
  <si>
    <t>Delta</t>
  </si>
  <si>
    <t>Exp % (delta adj)</t>
  </si>
  <si>
    <t>Exp USD (delta adj)</t>
  </si>
  <si>
    <t>Theta</t>
  </si>
  <si>
    <t>Theta USD</t>
  </si>
  <si>
    <t>Theta bps</t>
  </si>
  <si>
    <t>P&amp;L USD</t>
  </si>
  <si>
    <t>Next Earnings</t>
  </si>
  <si>
    <t>Delta 1</t>
  </si>
  <si>
    <t>Notional</t>
  </si>
  <si>
    <t>Gamma</t>
  </si>
  <si>
    <t>LAST PRICE value</t>
  </si>
  <si>
    <t>BRL VALUE</t>
  </si>
  <si>
    <t>P&amp;L BRL</t>
  </si>
  <si>
    <t>INTC US 12/19/25 P10</t>
  </si>
  <si>
    <t>COIN US 06/20/25 C210</t>
  </si>
  <si>
    <t>COIN US 06/20/25 C240</t>
  </si>
  <si>
    <t>GDX US 06/20/25 C52</t>
  </si>
  <si>
    <t>GDX US 06/20/25 C56</t>
  </si>
  <si>
    <t>GDX US 06/20/25 C50</t>
  </si>
  <si>
    <t>GDX US 06/20/25 C55</t>
  </si>
  <si>
    <t>GDX US 07/18/25 C50</t>
  </si>
  <si>
    <t>GDX US 07/18/25 C55</t>
  </si>
  <si>
    <t>Prem Exp bps</t>
  </si>
  <si>
    <t>Last PX</t>
  </si>
  <si>
    <t>Theta % of Spot</t>
  </si>
  <si>
    <t>CALL near</t>
  </si>
  <si>
    <t>Buy</t>
  </si>
  <si>
    <t>Sell</t>
  </si>
  <si>
    <t>Far/near</t>
  </si>
  <si>
    <t>Prem</t>
  </si>
  <si>
    <t>Interval</t>
  </si>
  <si>
    <t>Delta adj</t>
  </si>
  <si>
    <t>Payoff</t>
  </si>
  <si>
    <t>PUT near</t>
  </si>
  <si>
    <t>RSP US 03/21/25 P175 -&gt; Sell to close 500x</t>
  </si>
  <si>
    <t>RSP US 04/17/25 P170 -&gt; Buy to open 750x</t>
  </si>
  <si>
    <t>3EQ5P    5000</t>
  </si>
  <si>
    <t>NVDA US 12/20/24 C130 - Sell to open 1000x</t>
  </si>
  <si>
    <t>NVDA US 12/20/24 C120 -&gt; Sell to open 2000x</t>
  </si>
  <si>
    <t>NVDA US 12/20/24 C105 -&gt; Buy to open 2000x</t>
  </si>
  <si>
    <t>META US 05/02/25 C540</t>
  </si>
  <si>
    <t>META US 05/02/25 C580</t>
  </si>
  <si>
    <t>META US 06/20/25 C560</t>
  </si>
  <si>
    <t>META US 06/20/25 C610</t>
  </si>
  <si>
    <t>EQTY.IntlUS.off</t>
  </si>
  <si>
    <t>EQTY.InternacionalUS2.off</t>
  </si>
  <si>
    <t>Ticker (Daniel)</t>
  </si>
  <si>
    <t>Carteira (Daniel)</t>
  </si>
  <si>
    <t>Amount (APM)</t>
  </si>
  <si>
    <t>Dif (APM)</t>
  </si>
  <si>
    <t>Amount (Daniel)</t>
  </si>
  <si>
    <t>Amount (Saraiva)</t>
  </si>
  <si>
    <t>Dif (Books)</t>
  </si>
  <si>
    <t>Total FUNDO</t>
  </si>
  <si>
    <t>Ticker (APM)</t>
  </si>
  <si>
    <t>Amount</t>
  </si>
  <si>
    <t>Dif</t>
  </si>
  <si>
    <t>Cash CAD</t>
  </si>
  <si>
    <t>Cash CHF</t>
  </si>
  <si>
    <t>Cash CNH</t>
  </si>
  <si>
    <t>Cash EUR</t>
  </si>
  <si>
    <t>Cash GBP</t>
  </si>
  <si>
    <t>Cash HKD</t>
  </si>
  <si>
    <t>Cash KRW</t>
  </si>
  <si>
    <t>Cash USD</t>
  </si>
  <si>
    <t>GOOGL</t>
  </si>
  <si>
    <t>GSC1000P 03/20/26 C79.50</t>
  </si>
  <si>
    <t>NTGR</t>
  </si>
  <si>
    <t>Provision ETF USD_</t>
  </si>
  <si>
    <t>Provision US Equity USD_</t>
  </si>
  <si>
    <t>S&amp;P500 E-mini Options Expiration USD_</t>
  </si>
  <si>
    <t>SPY US 05/30/25 P505</t>
  </si>
  <si>
    <t>SPY US 05/30/25 P545</t>
  </si>
  <si>
    <t/>
  </si>
  <si>
    <t>Product Class</t>
  </si>
  <si>
    <t>Book</t>
  </si>
  <si>
    <t>YestAmount</t>
  </si>
  <si>
    <t>3EQ5P 5000</t>
  </si>
  <si>
    <t>US Equity</t>
  </si>
  <si>
    <t>Provisions and Costs</t>
  </si>
  <si>
    <t>US Equity Options</t>
  </si>
  <si>
    <t>ETF</t>
  </si>
  <si>
    <t>Cash</t>
  </si>
  <si>
    <t>ESM5</t>
  </si>
  <si>
    <t>ETF Options</t>
  </si>
  <si>
    <t>Basket Index Options</t>
  </si>
  <si>
    <t>META US</t>
  </si>
  <si>
    <t>ADR Options</t>
  </si>
  <si>
    <t>2EK5P 5000</t>
  </si>
  <si>
    <t>2EK5P 5100</t>
  </si>
  <si>
    <t>2EK5P 5150</t>
  </si>
  <si>
    <t>2EK5P 5250</t>
  </si>
  <si>
    <t>2EK5P 5400</t>
  </si>
  <si>
    <t>COIN US 05/02/25 C205</t>
  </si>
  <si>
    <t>COIN US 05/02/25 C225</t>
  </si>
  <si>
    <t>HCTJ5</t>
  </si>
  <si>
    <t>Provision ETF Options USD_</t>
  </si>
  <si>
    <t>Provision US Equity Options USD_</t>
  </si>
  <si>
    <t>QQQ DIVIDEND_</t>
  </si>
  <si>
    <t>Data</t>
  </si>
  <si>
    <t>Ajuste</t>
  </si>
  <si>
    <t>D+1 adjust</t>
  </si>
  <si>
    <t>Dia Referencia</t>
  </si>
  <si>
    <t>.</t>
  </si>
  <si>
    <t>De (Lote)</t>
  </si>
  <si>
    <t>Para (Ticker Daniel)</t>
  </si>
  <si>
    <t>Input_One</t>
  </si>
  <si>
    <t>NOW</t>
  </si>
  <si>
    <t>Input_Zenith</t>
  </si>
  <si>
    <t>SWAP GSTMTAIS 22JAN2025 19JAN2026 118.3726</t>
  </si>
  <si>
    <t>GSTMTAIS</t>
  </si>
  <si>
    <t>SWAP GSTMTAIS 24JAN2025 22JAN2026 123.562</t>
  </si>
  <si>
    <t>SWAP GSTMTAIS 31JAN2025 29JAN2026 125.2757</t>
  </si>
  <si>
    <t>RDDT</t>
  </si>
  <si>
    <t>SWAP 3661 TT 23JAN2025 22JAN2026 89.8239</t>
  </si>
  <si>
    <t>3661 TT</t>
  </si>
  <si>
    <t>STX</t>
  </si>
  <si>
    <t>ESH5</t>
  </si>
  <si>
    <t>VGH5</t>
  </si>
  <si>
    <t>VGA</t>
  </si>
  <si>
    <t>SWAP UXAH5 02DEC2024 31MAR2025 79.25</t>
  </si>
  <si>
    <t>UXAH5</t>
  </si>
  <si>
    <t>SWAP UXAH5 02DEC2024 31MAR2025 79.75</t>
  </si>
  <si>
    <t>U-U CN</t>
  </si>
  <si>
    <t>YCA LN</t>
  </si>
  <si>
    <t>SWAP 3661 TT 11FEB2025 11FEB2026 103.8209</t>
  </si>
  <si>
    <t>SWAP GSENEPOW 10FEB2025 09FEB2026 157.212</t>
  </si>
  <si>
    <t>SWAP GSENEPOW 11FEB2025 09FEB2026 158.5867</t>
  </si>
  <si>
    <t>GSXECEAS</t>
  </si>
  <si>
    <t>SWAP MSAPCACC 26FEB2025 24FEB2026 1185.2033</t>
  </si>
  <si>
    <t>MSAPCACC</t>
  </si>
  <si>
    <t>SWAP MSAPCATE 26FEB2025 24FEB2026 96.1324</t>
  </si>
  <si>
    <t>MSAPCATE</t>
  </si>
  <si>
    <t>SWAP MSAPCACC 27FEB2025 25FEB2026 1148.4593</t>
  </si>
  <si>
    <t>SWAP MSAPCATE 27FEB2025 25FEB2026 94.5188</t>
  </si>
  <si>
    <t>SWAP GSCBDEDC 11MAR2025 10MAR2026 110.3534</t>
  </si>
  <si>
    <t>SWAP GSXACHAI 10MAR2025 10MAR2026 136.8834</t>
  </si>
  <si>
    <t>GSXACHAI</t>
  </si>
  <si>
    <t>SWAP GSXECEAS 10MAR2025 10MAR2026 109.8798</t>
  </si>
  <si>
    <t>SWAP GSXEGFSC 11MAR2025 10MAR2026 107.5275</t>
  </si>
  <si>
    <t>GSXEGFSC</t>
  </si>
  <si>
    <t>SWAP GSXEGFSC 12MAR2025 10MAR2026 105.048</t>
  </si>
  <si>
    <t>SWAP GSXEGFSC 18MAR2025 17MAR2026 108.596</t>
  </si>
  <si>
    <t>SWAP GSXEGFSC 18MAR2025 17MAR2026 108.8994</t>
  </si>
  <si>
    <t>4EJ5P 5200</t>
  </si>
  <si>
    <t>4EJ5P    5200</t>
  </si>
  <si>
    <t>4EJ5P 5000</t>
  </si>
  <si>
    <t>4EJ5P    5000</t>
  </si>
  <si>
    <t>4EJ5P    4700</t>
  </si>
  <si>
    <t>4EJ5P 5100</t>
  </si>
  <si>
    <t>4EJ5P    5100</t>
  </si>
  <si>
    <t>BPS</t>
  </si>
  <si>
    <t>AMZN</t>
  </si>
  <si>
    <t>ACN</t>
  </si>
  <si>
    <t>XRT</t>
  </si>
  <si>
    <t>US</t>
  </si>
  <si>
    <t>BZ</t>
  </si>
  <si>
    <t>CHINA CDS</t>
  </si>
  <si>
    <t>CNH CS AGO 7,33/7,47</t>
  </si>
  <si>
    <t>CNH CS DEZ 7,35/7,50</t>
  </si>
  <si>
    <t>Itraxx</t>
  </si>
  <si>
    <t>DB</t>
  </si>
  <si>
    <t>Soc Gen</t>
  </si>
  <si>
    <t>Barclays</t>
  </si>
  <si>
    <t>Points</t>
  </si>
  <si>
    <t>DV01</t>
  </si>
  <si>
    <t>Size</t>
  </si>
  <si>
    <t>BOOK</t>
  </si>
  <si>
    <t>AMD</t>
  </si>
  <si>
    <t>ASML</t>
  </si>
  <si>
    <t>BABA</t>
  </si>
  <si>
    <t>Global Bonds</t>
  </si>
  <si>
    <t>CDS</t>
  </si>
  <si>
    <t>COPX</t>
  </si>
  <si>
    <t>DELL</t>
  </si>
  <si>
    <t>EWT</t>
  </si>
  <si>
    <t>MU</t>
  </si>
  <si>
    <t>Total Return Swap</t>
  </si>
  <si>
    <t>INTC</t>
  </si>
  <si>
    <t>ValDate</t>
  </si>
  <si>
    <t>ProductClass</t>
  </si>
  <si>
    <t>Provision NYSE USD_</t>
  </si>
  <si>
    <t>EQTY.IntlUS.on</t>
  </si>
  <si>
    <t>Synthetic Exposure Transfer Products</t>
  </si>
  <si>
    <t>Exposure Transfer USD_</t>
  </si>
  <si>
    <t>Ativo</t>
  </si>
  <si>
    <t>Diff</t>
  </si>
  <si>
    <t>P&amp;L VALUE</t>
  </si>
  <si>
    <t>SWAP GSTMTAIS 15MAY2025 15MAY2026 128.4708</t>
  </si>
  <si>
    <t>CGSPRSPX</t>
  </si>
  <si>
    <t>Oil</t>
  </si>
  <si>
    <t>BP</t>
  </si>
  <si>
    <t>SHEL</t>
  </si>
  <si>
    <t>TTE</t>
  </si>
  <si>
    <t>COF</t>
  </si>
  <si>
    <t>Risco</t>
  </si>
  <si>
    <t>Carteira</t>
  </si>
  <si>
    <t>AUM</t>
  </si>
  <si>
    <t>XHB</t>
  </si>
  <si>
    <t>TEVA</t>
  </si>
  <si>
    <t>TEVA US 07/18/25 C17</t>
  </si>
  <si>
    <t>TEVA US 07/18/25 C19</t>
  </si>
  <si>
    <t>ITB</t>
  </si>
  <si>
    <t>UBER US 07/18/25 C95</t>
  </si>
  <si>
    <t>UBER US 07/18/25 C105</t>
  </si>
  <si>
    <t>Carteira  2</t>
  </si>
  <si>
    <t>GLD</t>
  </si>
  <si>
    <t>BETA vs SPY</t>
  </si>
  <si>
    <t>Vol 10d</t>
  </si>
  <si>
    <t>VLOOKUP(B4;Precificação!$B:$O;14;FALSE)</t>
  </si>
  <si>
    <t>UBER US 07/18/25 C90</t>
  </si>
  <si>
    <t>UBER US 07/18/25 C100</t>
  </si>
  <si>
    <t>IF(F1="Short"; "Pls sell " &amp; X1 &amp; " " &amp; ROUND(W1; 0) &amp; " shs"; IF(F1="Long"; "Pls buy " &amp; X1 &amp; " " &amp; ROUND(W1; 0) &amp; " shs"; ""))</t>
  </si>
  <si>
    <t>Daily P&amp;L</t>
  </si>
  <si>
    <t>TEVA US 07/18/25 C18</t>
  </si>
  <si>
    <t>TEVA US 07/18/25 C20</t>
  </si>
  <si>
    <t>MSFT US 07/18/25 P455</t>
  </si>
  <si>
    <t>Qtt Shs</t>
  </si>
  <si>
    <t>GDX US 09/19/25 C54</t>
  </si>
  <si>
    <t>GDX US 09/19/25 C59</t>
  </si>
  <si>
    <t>SMH US 07/18/25 P240</t>
  </si>
  <si>
    <t>SMH US 07/18/25 P225</t>
  </si>
  <si>
    <t>NVDA US 07/18/25 P135</t>
  </si>
  <si>
    <t>NVDA US 07/18/25 P125</t>
  </si>
  <si>
    <t>GLD US 09/19/25 C315</t>
  </si>
  <si>
    <t>GLD US 09/19/25 C335</t>
  </si>
  <si>
    <t>MA US 07/18/25 P550</t>
  </si>
  <si>
    <t>ESM5P    5950</t>
  </si>
  <si>
    <t>META US 07/18/25 P645</t>
  </si>
  <si>
    <t>META US 07/18/25 C750</t>
  </si>
  <si>
    <t>NVDA US 07/18/25 P140</t>
  </si>
  <si>
    <t>NVDA US 07/18/25 P130</t>
  </si>
  <si>
    <t>NVDA US 07/18/25 C160</t>
  </si>
  <si>
    <t>MSFT US 07/18/25 C495</t>
  </si>
  <si>
    <t>SOXX US 07/18/25 C240</t>
  </si>
  <si>
    <t>SOXX US 07/18/25 P215</t>
  </si>
  <si>
    <t>SOXX US 07/18/25 P200</t>
  </si>
  <si>
    <t>ESM5P 5950</t>
  </si>
  <si>
    <t>SWAP CGCPRSPX 06JUN2025 05NOV2025 97.2738</t>
  </si>
  <si>
    <t>XLF US 07/18/25 P50</t>
  </si>
  <si>
    <t>XLF US 07/18/25 P48</t>
  </si>
  <si>
    <t>TSM US 10/17/25 C210</t>
  </si>
  <si>
    <t>TSM US 10/17/25 C230</t>
  </si>
  <si>
    <t>SPY US 07/18/25 P595</t>
  </si>
  <si>
    <t>SPY US 07/18/25 P580</t>
  </si>
  <si>
    <t>SPY US 07/18/25 C625</t>
  </si>
  <si>
    <t>NVDA US 07/18/25 C155</t>
  </si>
  <si>
    <t>HOOD</t>
  </si>
  <si>
    <t>AAPL US 07/18/25 C215</t>
  </si>
  <si>
    <t>HCTA</t>
  </si>
  <si>
    <t>CPNG</t>
  </si>
  <si>
    <t>KMU5</t>
  </si>
  <si>
    <t>MSFT US 07/18/25 P465</t>
  </si>
  <si>
    <t>MSFT US 07/18/25 P445</t>
  </si>
  <si>
    <t>META US 07/18/25 P685</t>
  </si>
  <si>
    <t>META US 07/18/25 P655</t>
  </si>
  <si>
    <t>O QUE IMPORTA</t>
  </si>
  <si>
    <t>2EM5P    6000</t>
  </si>
  <si>
    <t>2EM5P    5900</t>
  </si>
  <si>
    <t>MU US 07/18/25 C135</t>
  </si>
  <si>
    <t>WDAY</t>
  </si>
  <si>
    <t>EWY</t>
  </si>
  <si>
    <t>2EM5P 5900</t>
  </si>
  <si>
    <t>2EM5P 6000</t>
  </si>
  <si>
    <t>NVDA DIVIDEND_</t>
  </si>
  <si>
    <t>SWAP KMU5 12JUN2025 11SEP2025 0.2845</t>
  </si>
  <si>
    <t>TSM DIVIDEND_</t>
  </si>
  <si>
    <t>3EM5P    6000</t>
  </si>
  <si>
    <t>000660 KS</t>
  </si>
  <si>
    <t>2330 TT</t>
  </si>
  <si>
    <t>GLD US 07/18/25 C315</t>
  </si>
  <si>
    <t>3EM5P 6000</t>
  </si>
  <si>
    <t>SWAP 00066=N5 KS 17JUN2025 10JUL2025 173.764667182441</t>
  </si>
  <si>
    <t>SWAP 2330 TT 17JUN2025 20APR2026 1.00421617588799</t>
  </si>
  <si>
    <t>SWAP 2330 TT 17JUN2025 20APR2026 1.1715745111261</t>
  </si>
  <si>
    <t>SWAP KMU5 17JUN2025 11SEP2025 0.284364300696736</t>
  </si>
  <si>
    <t>MA US 07/18/25 C580</t>
  </si>
  <si>
    <t>x</t>
  </si>
  <si>
    <t>QQQ US 07/11/25 C550</t>
  </si>
  <si>
    <t>CHINAGOV 06/20/30</t>
  </si>
  <si>
    <t>GLD US 07/18/25 C325</t>
  </si>
  <si>
    <t>ADBE</t>
  </si>
  <si>
    <t>CRM DIVIDEND_</t>
  </si>
  <si>
    <t>SWAP KMU5 18JUN2025 11SEP2025 0.295603790277753</t>
  </si>
  <si>
    <t>TTE DIVIDEND_</t>
  </si>
  <si>
    <t>QQQ US 07/18/25 P525</t>
  </si>
  <si>
    <t>QQQ US 07/18/25 P515</t>
  </si>
  <si>
    <t>Ivol</t>
  </si>
  <si>
    <t>Vol 10D</t>
  </si>
  <si>
    <t>Ivol/Vol</t>
  </si>
  <si>
    <t>V US 07/11/25 P335</t>
  </si>
  <si>
    <t>V US 07/11/25 P325</t>
  </si>
  <si>
    <t>V US 07/11/25 C350</t>
  </si>
  <si>
    <t>EWT US 09/19/25 P50</t>
  </si>
  <si>
    <t>EWT US 09/19/25 C58</t>
  </si>
  <si>
    <t>EWT US 09/19/25 P55</t>
  </si>
  <si>
    <t>QQQ US 07/03/25 P525</t>
  </si>
  <si>
    <t>QQQ US 07/03/25 P520</t>
  </si>
  <si>
    <t>MSFT US 08/15/25 P480</t>
  </si>
  <si>
    <t>MSFT US 08/15/25 P460</t>
  </si>
  <si>
    <t>MSFT US 08/15/25 C515</t>
  </si>
  <si>
    <t>XLF US 07/18/25 P49</t>
  </si>
  <si>
    <t>XLF US 07/18/25 P51.5</t>
  </si>
  <si>
    <t>MU US 07/18/25 C130</t>
  </si>
  <si>
    <t>MU US 07/18/25 C140</t>
  </si>
  <si>
    <t>XLF US 07/18/25 C53.5</t>
  </si>
  <si>
    <t>KKR US 07/18/25 C130</t>
  </si>
  <si>
    <t>KKR</t>
  </si>
  <si>
    <t>Column5</t>
  </si>
  <si>
    <t>HOOD US 07/18/25 C90</t>
  </si>
  <si>
    <t>HOOD US 07/18/25 C100</t>
  </si>
  <si>
    <t>PINS US 07/18/25 C36</t>
  </si>
  <si>
    <t>MSFT US 08/15/25 C520</t>
  </si>
  <si>
    <t>MSFT US 08/15/25 P490</t>
  </si>
  <si>
    <t>MSFT US 08/15/25 P470</t>
  </si>
  <si>
    <t>MA US 07/18/25 P520</t>
  </si>
  <si>
    <t>XLF US 07/11/25 P51</t>
  </si>
  <si>
    <t>XLF US 07/18/25 C53.5 - Sell to open 3750x</t>
  </si>
  <si>
    <t>NVDA US 07/18/25 P150</t>
  </si>
  <si>
    <t>NVDA US 07/18/25 C165</t>
  </si>
  <si>
    <t>SOXX US 07/18/25 P235</t>
  </si>
  <si>
    <t>SOXX US 07/18/25 P220</t>
  </si>
  <si>
    <t>SOXX US 07/18/25 C250</t>
  </si>
  <si>
    <t>QQQ US 07/18/25 C555</t>
  </si>
  <si>
    <t>QQQ US 07/18/25 P530</t>
  </si>
  <si>
    <t>QQQ US 07/18/25 P540</t>
  </si>
  <si>
    <t>MU US 07/03/25 C140</t>
  </si>
  <si>
    <t>MU US 07/03/25 C150</t>
  </si>
  <si>
    <t>EWT US 09/19/25 C60</t>
  </si>
  <si>
    <t>EWT US 09/19/25 P53</t>
  </si>
  <si>
    <t>EWT US 09/19/25 P57</t>
  </si>
  <si>
    <t>COIN US 07/18/25 C360</t>
  </si>
  <si>
    <t>COIN US 07/18/25 C400</t>
  </si>
  <si>
    <t>TSM US 07/18/25 C225</t>
  </si>
  <si>
    <t>TSM US 07/18/25 C240</t>
  </si>
  <si>
    <t>EWY US 07/18/25 C72</t>
  </si>
  <si>
    <t>QQQ US 07/03/25 P546</t>
  </si>
  <si>
    <t>COPX DIVIDEND_</t>
  </si>
  <si>
    <t>MU US 08/15/25 C125</t>
  </si>
  <si>
    <t>MU US 08/15/25 C135</t>
  </si>
  <si>
    <t>CPNG US 09/19/25 C30</t>
  </si>
  <si>
    <t>CPNG US 09/19/25 C33</t>
  </si>
  <si>
    <t>Total Return Swap Payment USD_</t>
  </si>
  <si>
    <t>GEO US 12/19/25 C26</t>
  </si>
  <si>
    <t>CXW US 12/19/25 C22</t>
  </si>
  <si>
    <t>CXW US 12/19/25 C25</t>
  </si>
  <si>
    <t>GEO US 12/19/25 C29</t>
  </si>
  <si>
    <t>Cotações EoD</t>
  </si>
  <si>
    <t>GSXUNPTC</t>
  </si>
  <si>
    <t>SWAP GSXUNPTC 28JUL2025 28JUL2026 182.501</t>
  </si>
  <si>
    <t>BTG Day after</t>
  </si>
  <si>
    <t>Financeiro</t>
  </si>
  <si>
    <t>Bps</t>
  </si>
  <si>
    <t>XLI</t>
  </si>
  <si>
    <t>CRWV</t>
  </si>
  <si>
    <t>SWAP GSXUNPTC 31JUL2025 31JUL2026 173.6652</t>
  </si>
  <si>
    <t xml:space="preserve">MSXXQE7 </t>
  </si>
  <si>
    <t>GSXUDEFS</t>
  </si>
  <si>
    <t>GSXUCYCL</t>
  </si>
  <si>
    <t>402340 KS</t>
  </si>
  <si>
    <t>SWAP 402340 KS 04AUG2025 20APR2026 110.1082</t>
  </si>
  <si>
    <t>SWAP GSXUCYCL 05AUG2025 05AUG2026 130.0642</t>
  </si>
  <si>
    <t>SWAP GSXUDEFS 05AUG2025 05AUG2026 103.5302</t>
  </si>
  <si>
    <t>RTYA</t>
  </si>
  <si>
    <t>HCTQ5</t>
  </si>
  <si>
    <t>RTYU5</t>
  </si>
  <si>
    <t>SWAP 00066=U5 KS 06AUG2025 15SEP2025 184.506452894925</t>
  </si>
  <si>
    <t>SWAP 00066=U5 KS 06AUG2025 15SEP2025 186.230164403145</t>
  </si>
  <si>
    <t>SWAP GSXUCYCL 06AUG2025 06AUG2026 131.6125</t>
  </si>
  <si>
    <t>SWAP GSXUDEFS 06AUG2025 06AUG2026 107.4908</t>
  </si>
  <si>
    <t>SWAP MSXXQE7 04AUG2025 03JUN2026 104.2289</t>
  </si>
  <si>
    <t>SWAP GSXUCYCL 07AUG2025 07AUG2026 130.7612</t>
  </si>
  <si>
    <t>SWAP GSXUDEFS 05AUG2025 05AUG2026 106.5302</t>
  </si>
  <si>
    <t>SWAP GSXUDEFS 07AUG2025 07AUG2026 107.5129</t>
  </si>
  <si>
    <t>SWAP GSXUCYCL 11AUG2025 11AUG2026 130.5074</t>
  </si>
  <si>
    <t>SWAP GSXUDEFS 11AUG2025 11AUG2026 107.7306</t>
  </si>
  <si>
    <t>Trading Basis</t>
  </si>
  <si>
    <t>Sector</t>
  </si>
  <si>
    <t>Diretoria</t>
  </si>
  <si>
    <t>Software</t>
  </si>
  <si>
    <t>Internet</t>
  </si>
  <si>
    <t>Semis</t>
  </si>
  <si>
    <t>4EU5P    6450</t>
  </si>
  <si>
    <t>4EU5P    6250</t>
  </si>
  <si>
    <t>4EU5P 6250</t>
  </si>
  <si>
    <t>4EU5P 6450</t>
  </si>
  <si>
    <t>HCTU5</t>
  </si>
  <si>
    <t>ESu5</t>
  </si>
  <si>
    <t>ORCL</t>
  </si>
  <si>
    <t>Core</t>
  </si>
  <si>
    <t>Tactical</t>
  </si>
  <si>
    <t>Current</t>
  </si>
  <si>
    <t>FM</t>
  </si>
  <si>
    <t>BT</t>
  </si>
  <si>
    <t>SW/oAI</t>
  </si>
  <si>
    <t>Semis/oAI</t>
  </si>
  <si>
    <t>Metal</t>
  </si>
  <si>
    <t>GSC1000P 03/20/26 C104</t>
  </si>
  <si>
    <t>GSC1000P 03/20/26 C119</t>
  </si>
  <si>
    <t>RTYWU5C3 2425</t>
  </si>
  <si>
    <t>RTYWU5C3 2500</t>
  </si>
  <si>
    <t>SW</t>
  </si>
  <si>
    <t>BX</t>
  </si>
  <si>
    <t>AO1/'Master P&amp;L'!$AD$6*10000</t>
  </si>
  <si>
    <t>xxx</t>
  </si>
  <si>
    <t>CRWV/NBIS</t>
  </si>
  <si>
    <t>Inc / (Dec)</t>
  </si>
  <si>
    <t>CHINAGOV 12/20/30</t>
  </si>
  <si>
    <t>China</t>
  </si>
  <si>
    <t>NQA</t>
  </si>
  <si>
    <t>NQZ5</t>
  </si>
  <si>
    <t>FCX</t>
  </si>
  <si>
    <t>SHOP</t>
  </si>
  <si>
    <t>Tech Longs</t>
  </si>
  <si>
    <t>Cod. Capstone</t>
  </si>
  <si>
    <t>Equity Option</t>
  </si>
  <si>
    <t>Underlying Stock</t>
  </si>
  <si>
    <t>Maturity</t>
  </si>
  <si>
    <t>P/C</t>
  </si>
  <si>
    <t>Spot</t>
  </si>
  <si>
    <t>Fut</t>
  </si>
  <si>
    <t>Intrinsic Value</t>
  </si>
  <si>
    <t>PX_BID</t>
  </si>
  <si>
    <t>PX_ASK</t>
  </si>
  <si>
    <t>PX_MID</t>
  </si>
  <si>
    <t>Price - BTG</t>
  </si>
  <si>
    <t>criterio_marcacao</t>
  </si>
  <si>
    <t>Put</t>
  </si>
  <si>
    <t>-</t>
  </si>
  <si>
    <t>calculadora_bgg</t>
  </si>
  <si>
    <t>GSC1000P 03/20/26 C104 Equity</t>
  </si>
  <si>
    <t>GSC1000P Equity</t>
  </si>
  <si>
    <t>Call</t>
  </si>
  <si>
    <t>CNY</t>
  </si>
  <si>
    <t>calculadora_BVAL</t>
  </si>
  <si>
    <t>GSC1000P 03/20/26 C119 Equity</t>
  </si>
  <si>
    <t>mid_negociacao</t>
  </si>
  <si>
    <t>EWZ US Equity</t>
  </si>
  <si>
    <t>MSFT US Equity</t>
  </si>
  <si>
    <t>TSM US Equity</t>
  </si>
  <si>
    <t>MSCS500X 09/15/26 C7487.249</t>
  </si>
  <si>
    <t>MSCS500X 09/15/26 C7487.249 Equity</t>
  </si>
  <si>
    <t>MSCS500X Equity</t>
  </si>
  <si>
    <t>MSCS500X 09/15/26 C8200.3203</t>
  </si>
  <si>
    <t>MSCS500X 09/15/26 C8200.3203 Equity</t>
  </si>
  <si>
    <t>ABEV US 04/17/26 C2.55</t>
  </si>
  <si>
    <t>ABEV US 04/17/26 C2.55 Equity</t>
  </si>
  <si>
    <t>ABEV US Equity</t>
  </si>
  <si>
    <t>ABEV US 04/17/26 P1.95</t>
  </si>
  <si>
    <t>ABEV US 04/17/26 P1.95 Equity</t>
  </si>
  <si>
    <t>ABEV US 04/17/26 P2.25</t>
  </si>
  <si>
    <t>ABEV US 04/17/26 P2.25 Equity</t>
  </si>
  <si>
    <t>QQQ US Equity</t>
  </si>
  <si>
    <t>SMFT3 Equity</t>
  </si>
  <si>
    <t>calculadora_proprietaria</t>
  </si>
  <si>
    <t>ABEV3 Equity</t>
  </si>
  <si>
    <t>1Q</t>
  </si>
  <si>
    <t>2Q</t>
  </si>
  <si>
    <t>3Q</t>
  </si>
  <si>
    <t>4Q</t>
  </si>
  <si>
    <t>1M Imp</t>
  </si>
  <si>
    <t>Vol 30 Realized</t>
  </si>
  <si>
    <t>1M Implied</t>
  </si>
  <si>
    <t>% Move</t>
  </si>
  <si>
    <t>% Realized</t>
  </si>
  <si>
    <t>1W Implied</t>
  </si>
  <si>
    <t>AMZN US 10/31/25 C220</t>
  </si>
  <si>
    <t xml:space="preserve">Call ATM </t>
  </si>
  <si>
    <t>Day</t>
  </si>
  <si>
    <t>Avg decline</t>
  </si>
  <si>
    <t>Ratio</t>
  </si>
  <si>
    <t>GOOGL US 10/31/25 C275 Equity</t>
  </si>
  <si>
    <t>Vol T0</t>
  </si>
  <si>
    <t>Vol T+1</t>
  </si>
  <si>
    <t>META US 10/31/25 C750 Equity</t>
  </si>
  <si>
    <t>MSFT US 10/31/25 C542.5 Equity</t>
  </si>
  <si>
    <t>AAPL US 10/31/25 C270 Equity</t>
  </si>
  <si>
    <t>n/a</t>
  </si>
  <si>
    <t>(A)</t>
  </si>
  <si>
    <t>(B)</t>
  </si>
  <si>
    <t>(A)/(B)</t>
  </si>
  <si>
    <t>ratio</t>
  </si>
  <si>
    <t>desvpad anualizado do dia do earnings</t>
  </si>
  <si>
    <t>desvpad do dia do earnings</t>
  </si>
  <si>
    <t>variancia do dia do earnings</t>
  </si>
  <si>
    <t>varianca no periodo de 21 dias</t>
  </si>
  <si>
    <t>desv pad de 21 dias, depois do earnings</t>
  </si>
  <si>
    <t>desvpad diário, depois do earnings</t>
  </si>
  <si>
    <t>cov ewz, eem</t>
  </si>
  <si>
    <t>desvpad 1 mes a frente, anualizado, depois do earnings</t>
  </si>
  <si>
    <t>correl ewz, eem</t>
  </si>
  <si>
    <t>variancia 22 dias a frente, antes do earnings</t>
  </si>
  <si>
    <t>desvpad ewz/eem justo</t>
  </si>
  <si>
    <t>desvpad 22 dias a frente, antes do earnings</t>
  </si>
  <si>
    <t>desvpad eem</t>
  </si>
  <si>
    <t>desvpad 1 mes a frente, anualizado, 1 dia antes do earnings</t>
  </si>
  <si>
    <t>desvpad ewz</t>
  </si>
  <si>
    <t>meta ultmoi</t>
  </si>
  <si>
    <t>metal penultino</t>
  </si>
  <si>
    <t>meta antepenultino</t>
  </si>
  <si>
    <t>amazon ultimo</t>
  </si>
  <si>
    <t>googl ultimo</t>
  </si>
  <si>
    <t>var</t>
  </si>
  <si>
    <t>desvpad</t>
  </si>
  <si>
    <t>cov itub,xp</t>
  </si>
  <si>
    <t>correl itub xp</t>
  </si>
  <si>
    <t>desvpad itub+xp justo</t>
  </si>
  <si>
    <t>b</t>
  </si>
  <si>
    <t>desvpad xp</t>
  </si>
  <si>
    <t>a</t>
  </si>
  <si>
    <t>desvpad itub</t>
  </si>
  <si>
    <t>var (xa+yb) = x^2 * var(a) + y^2 * var(b) + 2xy*cov(a,b)</t>
  </si>
  <si>
    <t>desvpad brl</t>
  </si>
  <si>
    <t>desvpad ibov</t>
  </si>
  <si>
    <t>correl(a,b)=cov(a,b)/(desvpad(a)*desvpad(b))</t>
  </si>
  <si>
    <t>var (a+b) = var(a) + var(b) + 2*cov(a,b)</t>
  </si>
  <si>
    <t>IBOVE Equity</t>
  </si>
  <si>
    <t>TSM US 06/18/26 C370</t>
  </si>
  <si>
    <t>TSM US 06/18/26 C300</t>
  </si>
  <si>
    <t>TSM US 06/18/26 P210</t>
  </si>
  <si>
    <t>TSM US 06/18/26 P250</t>
  </si>
  <si>
    <t>MSFT US 06/18/26 C585</t>
  </si>
  <si>
    <t>MSFT US 06/18/26 C515</t>
  </si>
  <si>
    <t>MSFT US 06/18/26 P425</t>
  </si>
  <si>
    <t>TSM US 06/18/26 C300 Equity</t>
  </si>
  <si>
    <t>TSM US 06/18/26 C370 Equity</t>
  </si>
  <si>
    <t>TSM US 06/18/26 P250 Equity</t>
  </si>
  <si>
    <t>TSM US 06/18/26 P210 Equity</t>
  </si>
  <si>
    <t>MSFT US 06/18/26 P425 Equity</t>
  </si>
  <si>
    <t>MSFT US 06/18/26 C515 Equity</t>
  </si>
  <si>
    <t>MSFT US 06/18/26 C585 Equity</t>
  </si>
  <si>
    <t>QQQ US 03/20/26 P580</t>
  </si>
  <si>
    <t>QQQ US 03/20/26 P550</t>
  </si>
  <si>
    <t>QQQ US 03/20/26 P550 Equity</t>
  </si>
  <si>
    <t>AMZN US Equity</t>
  </si>
  <si>
    <t>QQQ US 03/20/26 P580 Equity</t>
  </si>
  <si>
    <t>AMZN US 06/18/26 C230</t>
  </si>
  <si>
    <t>AMZN US 06/18/26 C260</t>
  </si>
  <si>
    <t>AMZN US 06/18/26 P200</t>
  </si>
  <si>
    <t>AMZN US 06/18/26 C230 Equity</t>
  </si>
  <si>
    <t>AMZN US 06/18/26 C260 Equity</t>
  </si>
  <si>
    <t>AMZN US 06/18/26 P200 Equity</t>
  </si>
  <si>
    <t>SMFT3 20/02/26 C27.57 OTC</t>
  </si>
  <si>
    <t>SMFT3 20/02/26 P21.57 OTC</t>
  </si>
  <si>
    <t>SMFT3 20/02/26 P24.07 OTC</t>
  </si>
  <si>
    <t>SMFT3 20/02/26 C28.32 OTC</t>
  </si>
  <si>
    <t>SMFT3 20/02/26 P23.82 OTC</t>
  </si>
  <si>
    <t>SMFT3 20/02/26 P26.32 OTC</t>
  </si>
  <si>
    <t>MSFT US 03/20/26 C515</t>
  </si>
  <si>
    <t>MSFT US 03/20/26 C490</t>
  </si>
  <si>
    <t>MSFT US 03/20/26 P465</t>
  </si>
  <si>
    <t>MSFT US 03/20/26 P455</t>
  </si>
  <si>
    <t>MSFT US 03/20/26 C490 Equity</t>
  </si>
  <si>
    <t>MSFT US 03/20/26 C515 Equity</t>
  </si>
  <si>
    <t>MSFT US 03/20/26 P455 Equity</t>
  </si>
  <si>
    <t>MSFT US 03/20/26 P465 Equity</t>
  </si>
  <si>
    <t>ENEV3 20/02/26 P19.00 OTC</t>
  </si>
  <si>
    <t>ENEV3 Equity</t>
  </si>
  <si>
    <t>ENEV3 20/02/26 P20.50 OTC</t>
  </si>
  <si>
    <t>MRVL US 03/20/26 P80</t>
  </si>
  <si>
    <t>MRVL US 03/20/26 P90</t>
  </si>
  <si>
    <t>MRVL US 03/20/26 P80 Equity</t>
  </si>
  <si>
    <t>MRVL US Equity</t>
  </si>
  <si>
    <t>MRVL US 03/20/26 P90 Equity</t>
  </si>
  <si>
    <t>LITE</t>
  </si>
  <si>
    <t>Networking</t>
  </si>
  <si>
    <t>META US 04/17/26 C750</t>
  </si>
  <si>
    <t>META US 04/17/26 C690</t>
  </si>
  <si>
    <t>META US 04/17/26 P590</t>
  </si>
  <si>
    <t>META US 04/17/26 C690 Equity</t>
  </si>
  <si>
    <t>META US Equity</t>
  </si>
  <si>
    <t>META US 04/17/26 C750 Equity</t>
  </si>
  <si>
    <t>META US 04/17/26 P590 Equity</t>
  </si>
  <si>
    <t>LITE US 02/20/26 C400</t>
  </si>
  <si>
    <t>LITE US 02/20/26 C450</t>
  </si>
  <si>
    <t>ABEV3 20/02/26 P12.11 OTC</t>
  </si>
  <si>
    <t>ABEV3 20/02/26 P13.36 OTC</t>
  </si>
  <si>
    <t>COHR US 03/20/26 C210</t>
  </si>
  <si>
    <t>COHR US 03/20/26 C250</t>
  </si>
  <si>
    <t>LITE US 02/20/26 C450 Equity</t>
  </si>
  <si>
    <t>LITE US Equity</t>
  </si>
  <si>
    <t>LITE US 02/20/26 C400 Equity</t>
  </si>
  <si>
    <t>COHR US 03/20/26 C210 Equity</t>
  </si>
  <si>
    <t>COHR US Equity</t>
  </si>
  <si>
    <t>COHR US 03/20/26 C250 Equity</t>
  </si>
  <si>
    <t>AXIA3 Equity</t>
  </si>
  <si>
    <t>NFLX US 03/20/26 P92</t>
  </si>
  <si>
    <t>NFLX US 03/20/26 C104</t>
  </si>
  <si>
    <t>NFLX US 03/20/26 P83</t>
  </si>
  <si>
    <t>NFLX US 03/20/26 C104 Equity</t>
  </si>
  <si>
    <t>NFLX US Equity</t>
  </si>
  <si>
    <t>NFLX US 03/20/26 P83 Equity</t>
  </si>
  <si>
    <t>NFLX US 03/20/26 P92 Equity</t>
  </si>
  <si>
    <t>MRVL US 03/20/26 P85</t>
  </si>
  <si>
    <t>MRVL US 03/20/26 P75</t>
  </si>
  <si>
    <t>TSM US 03/20/26 C300</t>
  </si>
  <si>
    <t>TSM US 03/20/26 C330</t>
  </si>
  <si>
    <t>MRVL US 03/20/26 P75 Equity</t>
  </si>
  <si>
    <t>MRVL US 03/20/26 P85 Equity</t>
  </si>
  <si>
    <t>SMAL11 Equity</t>
  </si>
  <si>
    <t>AVGO US 06/18/26 P300</t>
  </si>
  <si>
    <t>AVGO US 06/18/26 C350</t>
  </si>
  <si>
    <t>AVGO US 06/18/26 P270</t>
  </si>
  <si>
    <t>AVGO US 06/18/26 C410</t>
  </si>
  <si>
    <t>META US 04/17/26 P600</t>
  </si>
  <si>
    <t>META US 04/17/26 P570</t>
  </si>
  <si>
    <t>KRW</t>
  </si>
  <si>
    <t>AVGO US 06/18/26 C350 Equity</t>
  </si>
  <si>
    <t>AVGO US Equity</t>
  </si>
  <si>
    <t>AVGO US 06/18/26 C410 Equity</t>
  </si>
  <si>
    <t>AVGO US 06/18/26 P270 Equity</t>
  </si>
  <si>
    <t>AVGO US 06/18/26 P300 Equity</t>
  </si>
  <si>
    <t>META US 04/17/26 P600 Equity</t>
  </si>
  <si>
    <t>TSM US 03/20/26 C330 Equity</t>
  </si>
  <si>
    <t>TSM US 03/20/26 C300 Equity</t>
  </si>
  <si>
    <t>META US 04/17/26 P570 Equity</t>
  </si>
  <si>
    <t>BPAC11 20/02/26 C57.32 OTC</t>
  </si>
  <si>
    <t>BPAC11 Equity</t>
  </si>
  <si>
    <t>BPAC11 20/02/26 P47.82 OTC</t>
  </si>
  <si>
    <t>BPAC11 20/02/26 P51.82 OTC</t>
  </si>
  <si>
    <t>% of Theta bps</t>
  </si>
  <si>
    <t>Theta anlzd</t>
  </si>
  <si>
    <t>Cash CNY</t>
  </si>
  <si>
    <t>SPXW US 12/31/25 C6950</t>
  </si>
  <si>
    <t>AXIA3 20/02/26 P43.00 OTC</t>
  </si>
  <si>
    <t>AXIA3 20/02/26 P48.00 OTC</t>
  </si>
  <si>
    <t>RIOT</t>
  </si>
  <si>
    <t xml:space="preserve">Power </t>
  </si>
  <si>
    <t>Equity Total Return Swap</t>
  </si>
  <si>
    <t>SWAP 000660 KP 26DEC2025 28DEC2026 386.679</t>
  </si>
  <si>
    <t>SUZB3 20/02/26 P50.38 OTC</t>
  </si>
  <si>
    <t>SUZB3 Equity</t>
  </si>
  <si>
    <t>Memory</t>
  </si>
  <si>
    <t>Metals</t>
  </si>
  <si>
    <t xml:space="preserve">GDX </t>
  </si>
  <si>
    <t>PETR4 Equity</t>
  </si>
  <si>
    <t>BIDU</t>
  </si>
  <si>
    <t>ABEV3 20/02/26 P11.42 OTC</t>
  </si>
  <si>
    <t>ABEV3 20/02/26 P12.67 OTC</t>
  </si>
  <si>
    <t>ABEV3 20/02/26 P13.67 OTC</t>
  </si>
  <si>
    <t>LREN3 20/02/26 P12.04 OTC</t>
  </si>
  <si>
    <t>LREN3 Equity</t>
  </si>
  <si>
    <t>LREN3 20/02/26 P13.04 OTC</t>
  </si>
  <si>
    <t>GOOG</t>
  </si>
  <si>
    <t>104</t>
  </si>
  <si>
    <t>119</t>
  </si>
  <si>
    <t>AXIA3 20/02/26 C54.50 OTC</t>
  </si>
  <si>
    <t>AXIA3 20/02/26 P47.00 OTC</t>
  </si>
  <si>
    <t>AXIA3 20/02/26 P50.50 OTC</t>
  </si>
  <si>
    <t>SMFT3 20/03/26 C25.31 OTC</t>
  </si>
  <si>
    <t>SMFT3 20/03/26 P21.31 OTC</t>
  </si>
  <si>
    <t>SMFT3 20/03/26 P23.31 OTC</t>
  </si>
  <si>
    <t>VALE3 20/02/26 C75.90 OTC</t>
  </si>
  <si>
    <t>VALE3 Equity</t>
  </si>
  <si>
    <t>VALE3 20/02/26 C80.90 OTC</t>
  </si>
  <si>
    <t>ASHR US 02/20/26 C35</t>
  </si>
  <si>
    <t>TSM US 06/18/26 C340</t>
  </si>
  <si>
    <t>TSM US 06/18/26 C380</t>
  </si>
  <si>
    <t>TSM US 06/18/26 C340 Equity</t>
  </si>
  <si>
    <t>TSM US 06/18/26 C380 Equity</t>
  </si>
  <si>
    <t>ASHR US 02/20/26 C35 Equity</t>
  </si>
  <si>
    <t>ASHR US Equity</t>
  </si>
  <si>
    <t>ABEV3 20/02/26 C14.92 OTC</t>
  </si>
  <si>
    <t>IBOVE 18/02/26 P161000 OTC</t>
  </si>
  <si>
    <t>SMAL11 20/02/26 P108 OTC</t>
  </si>
  <si>
    <t>SMAL11 20/02/26 P113 OTC</t>
  </si>
  <si>
    <t>Internet/SW</t>
  </si>
  <si>
    <t>Pairs</t>
  </si>
  <si>
    <t>SMAL11 20/02/26 P114 OTC</t>
  </si>
  <si>
    <t>VIVA3 20/02/26 C30.14 OTC</t>
  </si>
  <si>
    <t>VIVA3 Equity</t>
  </si>
  <si>
    <t>VIVA3 20/02/26 P25.89 OTC</t>
  </si>
  <si>
    <t>VIVA3 20/02/26 P28.14 OTC</t>
  </si>
  <si>
    <t>GDX US 09/18/26 C105</t>
  </si>
  <si>
    <t>GDX US 09/18/26 C115</t>
  </si>
  <si>
    <t>KHC</t>
  </si>
  <si>
    <t>GDX US 09/18/26 C115 Equity</t>
  </si>
  <si>
    <t>GDX US Equity</t>
  </si>
  <si>
    <t>GDX US 09/18/26 C105 Equity</t>
  </si>
  <si>
    <t>IBOVE 18/02/26 P163000 OTC</t>
  </si>
  <si>
    <t>SNDK US 02/20/26 C500</t>
  </si>
  <si>
    <t>MRVL US 03/20/26 P70</t>
  </si>
  <si>
    <t>Net ex Metals</t>
  </si>
  <si>
    <t>Net total</t>
  </si>
  <si>
    <t>SNDK US 02/20/26 C500 Equity</t>
  </si>
  <si>
    <t>SNDK US Equity</t>
  </si>
  <si>
    <t>EWZ US 02/20/26 C35</t>
  </si>
  <si>
    <t>EWZ US 02/20/26 C35 Equity</t>
  </si>
  <si>
    <t>MRVL US 03/20/26 P70 Equity</t>
  </si>
  <si>
    <t>SNDK US 02/20/26 C550</t>
  </si>
  <si>
    <t>LITE US 03/20/26 C420</t>
  </si>
  <si>
    <t>AMZN US 07/17/26 C245</t>
  </si>
  <si>
    <t>META US 07/17/26 C670</t>
  </si>
  <si>
    <t>MSFT US 07/17/26 C465</t>
  </si>
  <si>
    <t>META US 02/27/26 C660</t>
  </si>
  <si>
    <t>SNDK US 02/20/26 C550 Equity</t>
  </si>
  <si>
    <t>META US 07/17/26 C670 Equity</t>
  </si>
  <si>
    <t>AMZN US 07/17/26 C245 Equity</t>
  </si>
  <si>
    <t>KOSPI2 12/10/26 C1000</t>
  </si>
  <si>
    <t>KOSPI2 12/10/26 C1000 Equity</t>
  </si>
  <si>
    <t>KOSPI2 Equity</t>
  </si>
  <si>
    <t>LITE US 03/20/26 C420 Equity</t>
  </si>
  <si>
    <t>MSFT US 07/17/26 C465 Equity</t>
  </si>
  <si>
    <t>PETR4 20/02/26 P34.15 OTC</t>
  </si>
  <si>
    <t>PRIO3 20/02/26 P43.25 OTC</t>
  </si>
  <si>
    <t>PRIO3 Equity</t>
  </si>
  <si>
    <t>PRIO3 20/02/26 P46.25 OTC</t>
  </si>
  <si>
    <t>PRIO3 20/03/26 C50.50 OTC</t>
  </si>
  <si>
    <t>PRIO3 20/03/26 P42.50 OTC</t>
  </si>
  <si>
    <t>PRIO3 20/03/26 P46.50 OTC</t>
  </si>
  <si>
    <t>Chg</t>
  </si>
  <si>
    <t>bps</t>
  </si>
  <si>
    <t>KOSPI 200 Index Options - KRX</t>
  </si>
  <si>
    <t>SWAP 000660 KS 26JAN2026 26JAN2027 509.6192</t>
  </si>
  <si>
    <t>INTC US 07/17/26 P40</t>
  </si>
  <si>
    <t>INTC US 07/17/26 C50</t>
  </si>
  <si>
    <t>INTC US 07/17/26 C60</t>
  </si>
  <si>
    <t>MSFT US 07/17/26 C475</t>
  </si>
  <si>
    <t>EWZ US 02/20/26 C37</t>
  </si>
  <si>
    <t>EWZ US 02/20/26 C37 Equity</t>
  </si>
  <si>
    <t>INTC US 07/17/26 C50 Equity</t>
  </si>
  <si>
    <t>INTC US Equity</t>
  </si>
  <si>
    <t>INTC US 07/17/26 C60 Equity</t>
  </si>
  <si>
    <t>INTC US 07/17/26 P40 Equity</t>
  </si>
  <si>
    <t>MSFT US 07/17/26 C475 Equity</t>
  </si>
  <si>
    <t>ITUB4 20/02/26 P40.94 OTC</t>
  </si>
  <si>
    <t>ITUB4 Equity</t>
  </si>
  <si>
    <t>ITUB4 20/02/26 P42.88 OTC</t>
  </si>
  <si>
    <t>CSCO</t>
  </si>
  <si>
    <t>YEST</t>
  </si>
  <si>
    <t>TODAY</t>
  </si>
  <si>
    <t>SMAL11 20/02/26 P120 OTC</t>
  </si>
  <si>
    <t>VALE3 20/02/26 P77.90 OTC</t>
  </si>
  <si>
    <t>VALE3 20/02/26 P82.90 OTC</t>
  </si>
  <si>
    <t>MSFT US 07/17/26 C500</t>
  </si>
  <si>
    <t>Max Loss bps</t>
  </si>
  <si>
    <t>META 4 ⅞ 11/15/35 Corp</t>
  </si>
  <si>
    <t>Spread</t>
  </si>
  <si>
    <t>Bond</t>
  </si>
  <si>
    <t>Treasury</t>
  </si>
  <si>
    <t>Yield</t>
  </si>
  <si>
    <t>YAS</t>
  </si>
  <si>
    <t>META 4 ¾ 08/15/2034 Corp</t>
  </si>
  <si>
    <t>BB Bid Sprd to Bnch</t>
  </si>
  <si>
    <t>Loss</t>
  </si>
  <si>
    <t>Gain</t>
  </si>
  <si>
    <t>Annual Carry</t>
  </si>
  <si>
    <t>MSFT US 07/17/26 C500 Equity</t>
  </si>
  <si>
    <t>EEM US 04/17/26 C61</t>
  </si>
  <si>
    <t>EEM US 04/17/26 C61 Equity</t>
  </si>
  <si>
    <t>EEM US Equity</t>
  </si>
  <si>
    <t>EEM US 04/17/26 C65</t>
  </si>
  <si>
    <t>EEM US 04/17/26 C65 Equity</t>
  </si>
  <si>
    <t>EEM US 02/20/26 C61</t>
  </si>
  <si>
    <t>EEM US 02/20/26 C61 Equity</t>
  </si>
  <si>
    <t>ABEV3 20/02/26 P14.67 OTC</t>
  </si>
  <si>
    <t>GGBR4 20/03/26 P21.31 OTC</t>
  </si>
  <si>
    <t>GGBR4 Equity</t>
  </si>
  <si>
    <t>GGBR4 20/03/26 P22.81 OTC</t>
  </si>
  <si>
    <t>NVDA US 05/15/26 C200</t>
  </si>
  <si>
    <t>NVDA US 02/13/26 C202.5</t>
  </si>
  <si>
    <t>%OTM</t>
  </si>
  <si>
    <t>%Not</t>
  </si>
  <si>
    <t>%Delta</t>
  </si>
  <si>
    <t>Bps Risk</t>
  </si>
  <si>
    <t>Pre</t>
  </si>
  <si>
    <t>Post</t>
  </si>
  <si>
    <t>DOWN</t>
  </si>
  <si>
    <t>UP</t>
  </si>
  <si>
    <t>Unch</t>
  </si>
  <si>
    <t>bps chg</t>
  </si>
  <si>
    <t>META US 07/17/26 C700</t>
  </si>
  <si>
    <t>P&amp;L</t>
  </si>
  <si>
    <t>META 4.875% 11/15/35</t>
  </si>
  <si>
    <t>TBOND</t>
  </si>
  <si>
    <t>T 4.000% 11/15/35</t>
  </si>
  <si>
    <t>NVDA US Equity</t>
  </si>
  <si>
    <t>NVDA US 02/13/26 C202.5 Equity</t>
  </si>
  <si>
    <t>NVDA US 05/15/26 C200 Equity</t>
  </si>
  <si>
    <t>META US 07/17/26 C700 Equity</t>
  </si>
  <si>
    <t>CPLE3 20/02/26 P12.48 OTC</t>
  </si>
  <si>
    <t>CPLE3 Equity</t>
  </si>
  <si>
    <t>CPLE3 20/02/26 P13.23 OTC</t>
  </si>
  <si>
    <t>MULT3 20/03/26 C34.63 OTC</t>
  </si>
  <si>
    <t>MULT3 Equity</t>
  </si>
  <si>
    <t>RADL3 20/03/26 C27.05 OTC</t>
  </si>
  <si>
    <t>RADL3 Equity</t>
  </si>
  <si>
    <t>RADL3 20/03/26 P22.39 OTC</t>
  </si>
  <si>
    <t>RADL3 20/03/26 P24.84 OTC</t>
  </si>
  <si>
    <t>USIM5 20/02/26 C7.03 OTC</t>
  </si>
  <si>
    <t>USIM5 Equity</t>
  </si>
  <si>
    <t>USIM5 20/02/26 C7.83 OTC</t>
  </si>
  <si>
    <t>005930 KS</t>
  </si>
  <si>
    <t>META US 07/17/26 C750</t>
  </si>
  <si>
    <t>AAPL US 04/17/26 C260</t>
  </si>
  <si>
    <t>AAPL US 04/17/26 C280</t>
  </si>
  <si>
    <t>Expo QQQ Adj</t>
  </si>
  <si>
    <t>market</t>
  </si>
  <si>
    <t>NASDAQ-100 E-mini Futures - CME</t>
  </si>
  <si>
    <t>NQH6</t>
  </si>
  <si>
    <t>AAPL US 04/17/26 C260 Equity</t>
  </si>
  <si>
    <t>AAPL US Equity</t>
  </si>
  <si>
    <t>AAPL US 04/17/26 C280 Equity</t>
  </si>
  <si>
    <t>META US 07/17/26 C750 Equity</t>
  </si>
  <si>
    <t>B3SA3 20/02/26 C17.67 OTC</t>
  </si>
  <si>
    <t>B3SA3 Equity</t>
  </si>
  <si>
    <t>MOTV3 20/02/26 C18.01 OTC</t>
  </si>
  <si>
    <t>MOTV3 Equity</t>
  </si>
  <si>
    <t>PRIO3 17/04/26 P45.5 OTC</t>
  </si>
  <si>
    <t>PRIO3 17/04/26 P49.5 OTC</t>
  </si>
  <si>
    <t>WMB</t>
  </si>
  <si>
    <t>SNDK</t>
  </si>
  <si>
    <t>AMAT</t>
  </si>
  <si>
    <t>KLAC</t>
  </si>
  <si>
    <t>LRCX</t>
  </si>
  <si>
    <t>MRVL US 03/20/26 P60</t>
  </si>
  <si>
    <t>NFLX US 05/15/26 C90</t>
  </si>
  <si>
    <t>NFLX US 05/15/26 P70</t>
  </si>
  <si>
    <t>NFLX</t>
  </si>
  <si>
    <t>WDC</t>
  </si>
  <si>
    <t>CTA</t>
  </si>
  <si>
    <t>ST</t>
  </si>
  <si>
    <t>MT</t>
  </si>
  <si>
    <t>LT</t>
  </si>
  <si>
    <t>MRVL US 03/20/26 P60 Equity</t>
  </si>
  <si>
    <t>NFLX US 05/15/26 C90 Equity</t>
  </si>
  <si>
    <t>NFLX US 05/15/26 P70 Equity</t>
  </si>
  <si>
    <t>KLBN11 20/03/26 P18.87 OTC</t>
  </si>
  <si>
    <t>KLBN11 Equity</t>
  </si>
  <si>
    <t>VIVA3 20/02/26 C30.64 OTC</t>
  </si>
  <si>
    <t>VIVA3 20/02/26 P26.64 OTC</t>
  </si>
  <si>
    <t>VIVA3 20/02/26 P28.64 OTC</t>
  </si>
  <si>
    <t>SAP</t>
  </si>
  <si>
    <t>MELI US 02/20/26 C2150</t>
  </si>
  <si>
    <t>AVGO US 02/13/26 C330</t>
  </si>
  <si>
    <t>MELI US 02/20/26 C2150 Equity</t>
  </si>
  <si>
    <t>MELI US Equity</t>
  </si>
  <si>
    <t>AVGO US 02/13/26 C330 Equity</t>
  </si>
  <si>
    <t>INBR32 20/02/26 C53.54 OTC</t>
  </si>
  <si>
    <t>INBR32 Equity</t>
  </si>
  <si>
    <t>INBR32 20/02/26 P45.54 OTC</t>
  </si>
  <si>
    <t>INBR32 20/02/26 P49.29 OTC</t>
  </si>
  <si>
    <t>PGMN3 20/03/26 C7.37 OTC</t>
  </si>
  <si>
    <t>PGMN3 Equity</t>
  </si>
  <si>
    <t>PGMN3 20/03/26 P6.17 OTC</t>
  </si>
  <si>
    <t>PGMN3 20/03/26 P6.77 OTC</t>
  </si>
  <si>
    <t>AMZN US 04/17/26 C235</t>
  </si>
  <si>
    <t>AMZN US 04/17/26 C250</t>
  </si>
  <si>
    <t>Column1</t>
  </si>
  <si>
    <t>Beta</t>
  </si>
  <si>
    <t>Asia</t>
  </si>
  <si>
    <t>TWD</t>
  </si>
  <si>
    <t>AMZN US 04/17/26 C235 Equity</t>
  </si>
  <si>
    <t>AMZN US 04/17/26 C250 Equity</t>
  </si>
  <si>
    <t>SBFG3 20/03/26 C15.20 OTC</t>
  </si>
  <si>
    <t>SBFG3 Equity</t>
  </si>
  <si>
    <t>SBFG3 20/03/26 P12.70 OTC</t>
  </si>
  <si>
    <t>SBFG3 20/03/26 P13.70 OTC</t>
  </si>
  <si>
    <t>VALE3 20/03/26 P81.18 OTC</t>
  </si>
  <si>
    <t>VALE3 20/03/26 P86.18 OTC</t>
  </si>
  <si>
    <t>2OG6P 24750</t>
  </si>
  <si>
    <t>CPLE3 20/03/26 C14.48 OTC</t>
  </si>
  <si>
    <t>CPLE3 20/03/26 P12.23 OTC</t>
  </si>
  <si>
    <t>CPLE3 20/03/26 P13.23 OTC</t>
  </si>
  <si>
    <t>AMZN 4.65% 11/20/35</t>
  </si>
  <si>
    <t>SWAP 000660 KS 10FEB2026 20APR2026 592.6251</t>
  </si>
  <si>
    <t>SWAP 005930 KS 03FEB2026 20APR2026 113.36</t>
  </si>
  <si>
    <t>SWAP 005930 KS 04FEB2026 20APR2026 105.82</t>
  </si>
  <si>
    <t>SWAP 005930 KS 10FEB2026 20APR2026 110.873</t>
  </si>
  <si>
    <t>SWAP 402340 KS 09FEB2026 20APR2026 348.49</t>
  </si>
  <si>
    <t>SWAP 402340 KS 09FEB2026 20APR2026 390.92</t>
  </si>
  <si>
    <t>SWAP 402340 KS 10FEB2026 20APR2026 377.6597</t>
  </si>
  <si>
    <t>AGX</t>
  </si>
  <si>
    <t>GEV</t>
  </si>
  <si>
    <t xml:space="preserve">Put Spread </t>
  </si>
  <si>
    <t xml:space="preserve">Call Spread </t>
  </si>
  <si>
    <t>Power</t>
  </si>
  <si>
    <t>005935 KS</t>
  </si>
  <si>
    <t>FLRY3 19/06/26 P14.91 OTC</t>
  </si>
  <si>
    <t>FLRY3 Equity</t>
  </si>
  <si>
    <t>FLRY3 19/06/26 P16.91 OTC</t>
  </si>
  <si>
    <t>LITE US 06/18/26 C600</t>
  </si>
  <si>
    <t>LITE US 06/18/26 C720</t>
  </si>
  <si>
    <t>ENR GY</t>
  </si>
  <si>
    <t>EUR</t>
  </si>
  <si>
    <t>ASHR US 02/27/26 C35</t>
  </si>
  <si>
    <t>CSCO US 04/17/26 C100</t>
  </si>
  <si>
    <t>CSCO US 04/17/26 C95</t>
  </si>
  <si>
    <t>COHR</t>
  </si>
  <si>
    <t>EUR Equity</t>
  </si>
  <si>
    <t>Provision EUR Equity EUR_</t>
  </si>
  <si>
    <t>SWAP 2330 TT 11FEB2026 20APR2026 55.7697</t>
  </si>
  <si>
    <t>SWAP 402340 KS 11FEB2026 20APR2026 350.7653</t>
  </si>
  <si>
    <t>ASHR US 02/27/26 C35 Equity</t>
  </si>
  <si>
    <t>LITE US 06/18/26 C600 Equity</t>
  </si>
  <si>
    <t>LITE US 06/18/26 C720 Equity</t>
  </si>
  <si>
    <t>CSCO US 04/17/26 C100 Equity</t>
  </si>
  <si>
    <t>CSCO US Equity</t>
  </si>
  <si>
    <t>CSCO US 04/17/26 C95 Equity</t>
  </si>
  <si>
    <t>IBOVE 18/03/26 P176000 OTC</t>
  </si>
  <si>
    <t>IBOVE 18/03/26 P185000 OTC</t>
  </si>
  <si>
    <t>QQQ US 02/13/26 P610</t>
  </si>
  <si>
    <t>QQQ US 02/13/26 P605</t>
  </si>
  <si>
    <t>QQQ US 02/20/26 P605</t>
  </si>
  <si>
    <t>QQQ US 02/20/26 P590</t>
  </si>
  <si>
    <t>NVDA US 03/20/26 C200</t>
  </si>
  <si>
    <t>NVDA US 03/20/26 C220</t>
  </si>
  <si>
    <t>AMZN US 12/18/26 C250</t>
  </si>
  <si>
    <t>AMZN US 12/18/26 C230</t>
  </si>
  <si>
    <t>AMZN US 07/17/26 C230</t>
  </si>
  <si>
    <t>AMZN US 07/17/26 P180</t>
  </si>
  <si>
    <t>AMZN US 12/18/26 P180</t>
  </si>
  <si>
    <t>AMZN US 07/17/26 C240</t>
  </si>
  <si>
    <t>CSCO US 07/17/26 C95</t>
  </si>
  <si>
    <t>CSCO US 07/17/26 C100</t>
  </si>
  <si>
    <t>AKAM</t>
  </si>
  <si>
    <t>QQQ US 02/13/26 P610 Equity</t>
  </si>
  <si>
    <t>QQQ US 02/20/26 P590 Equity</t>
  </si>
  <si>
    <t>QQQ US 02/20/26 P605 Equity</t>
  </si>
  <si>
    <t>NVDA US 03/20/26 C200 Equity</t>
  </si>
  <si>
    <t>AMZN US 07/17/26 C240 Equity</t>
  </si>
  <si>
    <t>AMZN US 07/17/26 P180 Equity</t>
  </si>
  <si>
    <t>CSCO US 07/17/26 C100 Equity</t>
  </si>
  <si>
    <t>CSCO US 07/17/26 C95 Equity</t>
  </si>
  <si>
    <t>NVDA US 03/20/26 C220 Equity</t>
  </si>
  <si>
    <t>QQQ US 02/13/26 P605 Equity</t>
  </si>
  <si>
    <t>B3SA3 20/02/26 P16.42 OTC</t>
  </si>
  <si>
    <t>B3SA3 20/02/26 P17.17 OTC</t>
  </si>
  <si>
    <t>BBAS3 20/02/26 P23.49 OTC</t>
  </si>
  <si>
    <t>BBAS3 Equity</t>
  </si>
  <si>
    <t>BBAS3 20/02/26 P24.86 OTC</t>
  </si>
  <si>
    <t>QQQ US 02/27/26 P590</t>
  </si>
  <si>
    <t>QQQ US 02/20/26 P600</t>
  </si>
  <si>
    <t>QQQ US 02/27/26 P580</t>
  </si>
  <si>
    <t>LITE US 02/20/26 C680</t>
  </si>
  <si>
    <t>LITE US 02/20/26 C690</t>
  </si>
  <si>
    <t>NVDA US 03/20/26 C210</t>
  </si>
  <si>
    <t>QQQ US 02/13/26 P595</t>
  </si>
  <si>
    <t>QQQ US 02/13/26 P590</t>
  </si>
  <si>
    <t>QQQ US 02/12/26 P599</t>
  </si>
  <si>
    <t>QQQ US 02/12/26 P598</t>
  </si>
  <si>
    <t>3/20/2026</t>
  </si>
  <si>
    <t>9/15/2026</t>
  </si>
  <si>
    <t>4/17/2026</t>
  </si>
  <si>
    <t>6/18/2026</t>
  </si>
  <si>
    <t>2/20/2026</t>
  </si>
  <si>
    <t>9/18/2026</t>
  </si>
  <si>
    <t>7/17/2026</t>
  </si>
  <si>
    <t>2/13/2026</t>
  </si>
  <si>
    <t>5/15/2026</t>
  </si>
  <si>
    <t>2/27/2026</t>
  </si>
  <si>
    <t>QQQ US 02/20/26 P600 Equity</t>
  </si>
  <si>
    <t>QQQ US 02/27/26 P590 Equity</t>
  </si>
  <si>
    <t>QQQ US 02/27/26 P580 Equity</t>
  </si>
  <si>
    <t>QQQ US 02/12/26 P598 Equity</t>
  </si>
  <si>
    <t>QQQ US 02/12/26 P599 Equity</t>
  </si>
  <si>
    <t>2/18/2026</t>
  </si>
  <si>
    <t>6/19/2026</t>
  </si>
  <si>
    <t>3/18/2026</t>
  </si>
  <si>
    <t>NFLX 4.90% 08/15/34</t>
  </si>
  <si>
    <t>Provision Global Bonds USD_</t>
  </si>
  <si>
    <t>Provision TBOND USD_</t>
  </si>
  <si>
    <t xml:space="preserve">                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</si>
</sst>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7">
    <numFmt numFmtId="8" formatCode="&quot;R$&quot;\ #,##0.00;[Red]\-&quot;R$&quot;\ #,##0.00"/>
    <numFmt numFmtId="41" formatCode="_-* #,##0_-;\-* #,##0_-;_-* &quot;-&quot;_-;_-@_-"/>
    <numFmt numFmtId="43" formatCode="_-* #,##0.00_-;\-* #,##0.00_-;_-* &quot;-&quot;??_-;_-@_-"/>
    <numFmt numFmtId="164" formatCode="&quot;$&quot;#,##0.00_);\(&quot;$&quot;#,##0.00\)"/>
    <numFmt numFmtId="165" formatCode="_(* #,##0.00_);_(* \(#,##0.00\);_(* &quot;-&quot;??_);_(@_)"/>
    <numFmt numFmtId="166" formatCode="#,##0_ ;[Red]\-#,##0\ "/>
    <numFmt numFmtId="167" formatCode="_-* #,##0.0_-;\-* #,##0.0_-;_-* &quot;-&quot;??_-;_-@_-"/>
    <numFmt numFmtId="168" formatCode="_-* #,##0_-;\-* #,##0_-;_-* &quot;-&quot;??_-;_-@_-"/>
    <numFmt numFmtId="169" formatCode="#,##0.0_ ;[Red]\-#,##0.0\ "/>
    <numFmt numFmtId="170" formatCode="#,##0.00_ ;[Red]\-#,##0.00\ "/>
    <numFmt numFmtId="171" formatCode="#,##0.000_ ;[Red]\-#,##0.000\ "/>
    <numFmt numFmtId="172" formatCode="0.0%"/>
    <numFmt numFmtId="173" formatCode="0.000%"/>
    <numFmt numFmtId="174" formatCode="_(* #,##0.0_);_(* \(#,##0.0\);_(* &quot;-&quot;??_);_(@_)"/>
    <numFmt numFmtId="175" formatCode="0.000"/>
    <numFmt numFmtId="176" formatCode="[$-416]d\-mmm\-yy;@"/>
    <numFmt numFmtId="177" formatCode="[$-409]dd\-mmm\-yy;@"/>
    <numFmt numFmtId="178" formatCode="_(* #,##0_);_(* \(#,##0\);_(* &quot;-&quot;??_);_(@_)"/>
    <numFmt numFmtId="179" formatCode="[$-416]d\-mmm;@"/>
    <numFmt numFmtId="180" formatCode="_-* #,##0.000_-;\-* #,##0.000_-;_-* &quot;-&quot;??_-;_-@_-"/>
    <numFmt numFmtId="181" formatCode="0.0"/>
    <numFmt numFmtId="182" formatCode="0.0000"/>
    <numFmt numFmtId="183" formatCode="0&quot;bp&quot;"/>
    <numFmt numFmtId="184" formatCode="_([$€-2]* #,##0.00_);_([$€-2]* \(#,##0.00\);_([$€-2]* &quot;-&quot;??_)"/>
    <numFmt numFmtId="185" formatCode="0.00_);\(0.00\)"/>
    <numFmt numFmtId="186" formatCode="_([$€-2]* #,##0.0000_);_([$€-2]* \(#,##0.0000\);_([$€-2]* &quot;-&quot;??_)"/>
    <numFmt numFmtId="187" formatCode="0.00\%;\-0.00\%;0.00\%"/>
    <numFmt numFmtId="188" formatCode="0.00\x;\-0.00\x;0.00\x"/>
    <numFmt numFmtId="189" formatCode="##0.00000"/>
    <numFmt numFmtId="190" formatCode="_-&quot;£&quot;* #,##0_-;\-&quot;£&quot;* #,##0_-;_-&quot;£&quot;* &quot;-&quot;_-;_-@_-"/>
    <numFmt numFmtId="191" formatCode="_-&quot;£&quot;* #,##0.00_-;\-&quot;£&quot;* #,##0.00_-;_-&quot;£&quot;* &quot;-&quot;??_-;_-@_-"/>
    <numFmt numFmtId="192" formatCode="#,##0.000"/>
    <numFmt numFmtId="193" formatCode="_-* #,##0.000_-;\-* #,##0.000_-;_-* &quot;-&quot;???_-;_-@_-"/>
    <numFmt numFmtId="194" formatCode="#,##0.0"/>
    <numFmt numFmtId="195" formatCode="d/m/yy;@"/>
    <numFmt numFmtId="196" formatCode="0.0000%"/>
    <numFmt numFmtId="197" formatCode="_-* #,##0.0_-;\-* #,##0.0_-;_-* &quot;-&quot;?_-;_-@_-"/>
  </numFmts>
  <fonts count="108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u/>
      <sz val="11"/>
      <color rgb="FFFF000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B050"/>
      <name val="Aptos Narrow"/>
      <family val="2"/>
      <scheme val="minor"/>
    </font>
    <font>
      <i/>
      <sz val="10"/>
      <color theme="1"/>
      <name val="Aptos Narrow"/>
      <family val="2"/>
      <scheme val="minor"/>
    </font>
    <font>
      <sz val="10"/>
      <color rgb="FF0000FF"/>
      <name val="Aptos Narrow"/>
      <family val="2"/>
      <scheme val="minor"/>
    </font>
    <font>
      <sz val="10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8"/>
      <color theme="3"/>
      <name val="Aptos Display"/>
      <family val="2"/>
      <scheme val="major"/>
    </font>
    <font>
      <sz val="11"/>
      <color rgb="FF9C6500"/>
      <name val="Aptos Narrow"/>
      <family val="2"/>
      <scheme val="minor"/>
    </font>
    <font>
      <sz val="12"/>
      <name val="Helv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name val="Arial"/>
      <family val="2"/>
    </font>
    <font>
      <b/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0"/>
      <name val="Arial Narrow"/>
      <family val="2"/>
    </font>
    <font>
      <sz val="10"/>
      <color indexed="22"/>
      <name val="MS Sans Serif"/>
      <family val="2"/>
    </font>
    <font>
      <sz val="14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10"/>
      <color indexed="24"/>
      <name val="Arial"/>
      <family val="2"/>
    </font>
    <font>
      <sz val="8"/>
      <name val="Times New Roman"/>
      <family val="1"/>
    </font>
    <font>
      <sz val="8"/>
      <name val="Courier"/>
      <family val="3"/>
    </font>
    <font>
      <b/>
      <sz val="8"/>
      <name val="Courier"/>
      <family val="3"/>
    </font>
    <font>
      <b/>
      <u/>
      <sz val="10"/>
      <name val="Courier"/>
      <family val="3"/>
    </font>
    <font>
      <u/>
      <sz val="11"/>
      <color theme="10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color indexed="0"/>
      <name val="Arial"/>
      <family val="2"/>
    </font>
    <font>
      <i/>
      <sz val="10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2"/>
      <color indexed="8"/>
      <name val="Frutiger 45 Light"/>
      <family val="2"/>
    </font>
    <font>
      <b/>
      <i/>
      <sz val="12"/>
      <color indexed="8"/>
      <name val="Arial"/>
      <family val="2"/>
    </font>
    <font>
      <sz val="12"/>
      <color indexed="8"/>
      <name val="Frutiger 45 Light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0"/>
      <color indexed="8"/>
      <name val="Frutiger 45 Light"/>
      <family val="2"/>
    </font>
    <font>
      <i/>
      <sz val="12"/>
      <color indexed="8"/>
      <name val="Arial"/>
      <family val="2"/>
    </font>
    <font>
      <sz val="19"/>
      <color indexed="48"/>
      <name val="Frutiger 45 Light"/>
      <family val="2"/>
    </font>
    <font>
      <sz val="12"/>
      <color indexed="14"/>
      <name val="Arial"/>
      <family val="2"/>
    </font>
    <font>
      <sz val="10"/>
      <color indexed="23"/>
      <name val="Arial"/>
      <family val="2"/>
    </font>
    <font>
      <b/>
      <sz val="12"/>
      <name val="MS Sans Serif"/>
      <family val="2"/>
    </font>
    <font>
      <sz val="10"/>
      <name val="Courier"/>
      <family val="3"/>
    </font>
    <font>
      <b/>
      <sz val="8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i/>
      <sz val="11"/>
      <color indexed="23"/>
      <name val="Calibri"/>
      <family val="2"/>
    </font>
    <font>
      <b/>
      <sz val="18"/>
      <color indexed="49"/>
      <name val="Cambria"/>
      <family val="2"/>
    </font>
    <font>
      <b/>
      <sz val="15"/>
      <color indexed="49"/>
      <name val="Calibri"/>
      <family val="2"/>
    </font>
    <font>
      <b/>
      <sz val="13"/>
      <color indexed="49"/>
      <name val="Calibri"/>
      <family val="2"/>
    </font>
    <font>
      <b/>
      <sz val="11"/>
      <color indexed="49"/>
      <name val="Calibri"/>
      <family val="2"/>
    </font>
    <font>
      <sz val="11"/>
      <color indexed="8"/>
      <name val="Aptos Narrow"/>
      <family val="2"/>
      <scheme val="minor"/>
    </font>
    <font>
      <sz val="9"/>
      <color theme="1"/>
      <name val="Calibri"/>
      <family val="2"/>
    </font>
    <font>
      <sz val="14"/>
      <color indexed="16"/>
      <name val="Arial"/>
      <family val="2"/>
    </font>
    <font>
      <b/>
      <sz val="8"/>
      <color indexed="62"/>
      <name val="Arial"/>
      <family val="2"/>
    </font>
    <font>
      <b/>
      <sz val="8"/>
      <color indexed="18"/>
      <name val="Arial"/>
      <family val="2"/>
    </font>
    <font>
      <sz val="11"/>
      <color theme="1"/>
      <name val="Calibri"/>
      <family val="2"/>
    </font>
    <font>
      <sz val="10"/>
      <color theme="1"/>
      <name val="Calibri"/>
      <family val="2"/>
    </font>
    <font>
      <b/>
      <sz val="10"/>
      <color theme="0"/>
      <name val="Calibri"/>
      <family val="2"/>
    </font>
    <font>
      <sz val="11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2"/>
      <color theme="1"/>
      <name val="Aptos Display"/>
      <family val="2"/>
      <scheme val="major"/>
    </font>
    <font>
      <b/>
      <u/>
      <sz val="12"/>
      <color theme="1"/>
      <name val="Aptos Display"/>
      <family val="2"/>
      <scheme val="major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0"/>
      <name val="Calibri"/>
      <family val="2"/>
    </font>
    <font>
      <sz val="11"/>
      <color indexed="17"/>
      <name val="Calibri"/>
      <family val="2"/>
    </font>
    <font>
      <sz val="11"/>
      <color indexed="52"/>
      <name val="Calibri"/>
      <family val="2"/>
    </font>
    <font>
      <sz val="11"/>
      <color indexed="54"/>
      <name val="Calibri"/>
      <family val="2"/>
    </font>
    <font>
      <sz val="10"/>
      <name val="Helv"/>
    </font>
    <font>
      <sz val="10"/>
      <name val="Frutiger 45 Light"/>
    </font>
    <font>
      <sz val="8"/>
      <name val="MS Sans Serif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sz val="11"/>
      <color rgb="FF0000FF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</font>
    <font>
      <sz val="10"/>
      <color rgb="FFFF0000"/>
      <name val="Calibri"/>
      <family val="2"/>
    </font>
    <font>
      <sz val="11"/>
      <color rgb="FF000000"/>
      <name val="Calibri"/>
      <family val="2"/>
    </font>
    <font>
      <sz val="10"/>
      <color rgb="FF9C0006"/>
      <name val="Calibri"/>
      <family val="2"/>
    </font>
    <font>
      <sz val="11"/>
      <color rgb="FF000000"/>
      <name val="Aptos Narrow"/>
      <family val="2"/>
    </font>
  </fonts>
  <fills count="9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49"/>
      </patternFill>
    </fill>
    <fill>
      <patternFill patternType="solid">
        <fgColor rgb="FF4F81BD"/>
        <bgColor indexed="64"/>
      </patternFill>
    </fill>
    <fill>
      <patternFill patternType="lightGray">
        <fgColor indexed="12"/>
      </patternFill>
    </fill>
    <fill>
      <patternFill patternType="solid">
        <fgColor indexed="13"/>
        <bgColor indexed="64"/>
      </patternFill>
    </fill>
    <fill>
      <patternFill patternType="darkGray">
        <fgColor indexed="2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13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E5E79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97D"/>
        <bgColor rgb="FF000000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4546A"/>
        <bgColor rgb="FF000000"/>
      </patternFill>
    </fill>
    <fill>
      <patternFill patternType="solid">
        <fgColor rgb="FFACB9CA"/>
        <bgColor rgb="FF000000"/>
      </patternFill>
    </fill>
    <fill>
      <patternFill patternType="solid">
        <fgColor rgb="FFE7E6E6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D9E1F2"/>
        <bgColor rgb="FF000000"/>
      </patternFill>
    </fill>
    <fill>
      <patternFill patternType="solid">
        <fgColor rgb="FFFFC7CE"/>
        <bgColor rgb="FF000000"/>
      </patternFill>
    </fill>
  </fills>
  <borders count="6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indexed="64"/>
      </right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indexed="64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/>
      <bottom/>
      <diagonal/>
    </border>
  </borders>
  <cellStyleXfs count="2100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7" fillId="15" borderId="0" applyNumberFormat="0" applyBorder="0" applyAlignment="0" applyProtection="0"/>
    <xf numFmtId="0" fontId="18" fillId="16" borderId="0" applyNumberFormat="0" applyBorder="0" applyAlignment="0" applyProtection="0"/>
    <xf numFmtId="0" fontId="19" fillId="17" borderId="0" applyNumberFormat="0" applyBorder="0" applyAlignment="0" applyProtection="0"/>
    <xf numFmtId="0" fontId="20" fillId="18" borderId="23" applyNumberFormat="0" applyAlignment="0" applyProtection="0"/>
    <xf numFmtId="0" fontId="23" fillId="0" borderId="25" applyNumberFormat="0" applyFill="0" applyAlignment="0" applyProtection="0"/>
    <xf numFmtId="0" fontId="8" fillId="20" borderId="26" applyNumberFormat="0" applyAlignment="0" applyProtection="0"/>
    <xf numFmtId="0" fontId="24" fillId="0" borderId="0" applyNumberFormat="0" applyFill="0" applyBorder="0" applyAlignment="0" applyProtection="0"/>
    <xf numFmtId="0" fontId="1" fillId="21" borderId="27" applyNumberFormat="0" applyFont="0" applyAlignment="0" applyProtection="0"/>
    <xf numFmtId="0" fontId="2" fillId="0" borderId="28" applyNumberFormat="0" applyFill="0" applyAlignment="0" applyProtection="0"/>
    <xf numFmtId="37" fontId="29" fillId="0" borderId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30" fillId="46" borderId="0" applyNumberFormat="0" applyBorder="0" applyAlignment="0" applyProtection="0"/>
    <xf numFmtId="0" fontId="30" fillId="47" borderId="0" applyNumberFormat="0" applyBorder="0" applyAlignment="0" applyProtection="0"/>
    <xf numFmtId="0" fontId="30" fillId="48" borderId="0" applyNumberFormat="0" applyBorder="0" applyAlignment="0" applyProtection="0"/>
    <xf numFmtId="0" fontId="30" fillId="46" borderId="0" applyNumberFormat="0" applyBorder="0" applyAlignment="0" applyProtection="0"/>
    <xf numFmtId="0" fontId="30" fillId="48" borderId="0" applyNumberFormat="0" applyBorder="0" applyAlignment="0" applyProtection="0"/>
    <xf numFmtId="0" fontId="30" fillId="47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6" borderId="0" applyNumberFormat="0" applyBorder="0" applyAlignment="0" applyProtection="0"/>
    <xf numFmtId="0" fontId="1" fillId="40" borderId="0" applyNumberFormat="0" applyBorder="0" applyAlignment="0" applyProtection="0"/>
    <xf numFmtId="0" fontId="1" fillId="44" borderId="0" applyNumberFormat="0" applyBorder="0" applyAlignment="0" applyProtection="0"/>
    <xf numFmtId="0" fontId="30" fillId="49" borderId="0" applyNumberFormat="0" applyBorder="0" applyAlignment="0" applyProtection="0"/>
    <xf numFmtId="0" fontId="30" fillId="50" borderId="0" applyNumberFormat="0" applyBorder="0" applyAlignment="0" applyProtection="0"/>
    <xf numFmtId="0" fontId="30" fillId="48" borderId="0" applyNumberFormat="0" applyBorder="0" applyAlignment="0" applyProtection="0"/>
    <xf numFmtId="0" fontId="30" fillId="49" borderId="0" applyNumberFormat="0" applyBorder="0" applyAlignment="0" applyProtection="0"/>
    <xf numFmtId="0" fontId="30" fillId="48" borderId="0" applyNumberFormat="0" applyBorder="0" applyAlignment="0" applyProtection="0"/>
    <xf numFmtId="0" fontId="30" fillId="47" borderId="0" applyNumberFormat="0" applyBorder="0" applyAlignment="0" applyProtection="0"/>
    <xf numFmtId="0" fontId="26" fillId="25" borderId="0" applyNumberFormat="0" applyBorder="0" applyAlignment="0" applyProtection="0"/>
    <xf numFmtId="0" fontId="26" fillId="29" borderId="0" applyNumberFormat="0" applyBorder="0" applyAlignment="0" applyProtection="0"/>
    <xf numFmtId="0" fontId="26" fillId="33" borderId="0" applyNumberFormat="0" applyBorder="0" applyAlignment="0" applyProtection="0"/>
    <xf numFmtId="0" fontId="26" fillId="37" borderId="0" applyNumberFormat="0" applyBorder="0" applyAlignment="0" applyProtection="0"/>
    <xf numFmtId="0" fontId="26" fillId="41" borderId="0" applyNumberFormat="0" applyBorder="0" applyAlignment="0" applyProtection="0"/>
    <xf numFmtId="0" fontId="26" fillId="45" borderId="0" applyNumberFormat="0" applyBorder="0" applyAlignment="0" applyProtection="0"/>
    <xf numFmtId="0" fontId="31" fillId="51" borderId="0" applyNumberFormat="0" applyBorder="0" applyAlignment="0" applyProtection="0"/>
    <xf numFmtId="0" fontId="31" fillId="50" borderId="0" applyNumberFormat="0" applyBorder="0" applyAlignment="0" applyProtection="0"/>
    <xf numFmtId="0" fontId="31" fillId="48" borderId="0" applyNumberFormat="0" applyBorder="0" applyAlignment="0" applyProtection="0"/>
    <xf numFmtId="0" fontId="31" fillId="49" borderId="0" applyNumberFormat="0" applyBorder="0" applyAlignment="0" applyProtection="0"/>
    <xf numFmtId="0" fontId="31" fillId="51" borderId="0" applyNumberFormat="0" applyBorder="0" applyAlignment="0" applyProtection="0"/>
    <xf numFmtId="0" fontId="31" fillId="47" borderId="0" applyNumberFormat="0" applyBorder="0" applyAlignment="0" applyProtection="0"/>
    <xf numFmtId="37" fontId="29" fillId="0" borderId="0"/>
    <xf numFmtId="0" fontId="26" fillId="22" borderId="0" applyNumberFormat="0" applyBorder="0" applyAlignment="0" applyProtection="0"/>
    <xf numFmtId="0" fontId="26" fillId="26" borderId="0" applyNumberFormat="0" applyBorder="0" applyAlignment="0" applyProtection="0"/>
    <xf numFmtId="0" fontId="26" fillId="30" borderId="0" applyNumberFormat="0" applyBorder="0" applyAlignment="0" applyProtection="0"/>
    <xf numFmtId="0" fontId="26" fillId="34" borderId="0" applyNumberFormat="0" applyBorder="0" applyAlignment="0" applyProtection="0"/>
    <xf numFmtId="0" fontId="26" fillId="38" borderId="0" applyNumberFormat="0" applyBorder="0" applyAlignment="0" applyProtection="0"/>
    <xf numFmtId="0" fontId="26" fillId="42" borderId="0" applyNumberFormat="0" applyBorder="0" applyAlignment="0" applyProtection="0"/>
    <xf numFmtId="0" fontId="32" fillId="0" borderId="0"/>
    <xf numFmtId="41" fontId="32" fillId="0" borderId="0" applyFont="0" applyFill="0" applyBorder="0" applyAlignment="0" applyProtection="0"/>
    <xf numFmtId="0" fontId="18" fillId="16" borderId="0" applyNumberFormat="0" applyBorder="0" applyAlignment="0" applyProtection="0"/>
    <xf numFmtId="183" fontId="32" fillId="0" borderId="0" applyFill="0" applyBorder="0" applyAlignment="0" applyProtection="0">
      <alignment horizontal="right"/>
      <protection locked="0"/>
    </xf>
    <xf numFmtId="0" fontId="33" fillId="52" borderId="0"/>
    <xf numFmtId="0" fontId="22" fillId="19" borderId="23" applyNumberFormat="0" applyAlignment="0" applyProtection="0"/>
    <xf numFmtId="0" fontId="34" fillId="46" borderId="29" applyNumberFormat="0" applyAlignment="0" applyProtection="0"/>
    <xf numFmtId="0" fontId="8" fillId="20" borderId="26" applyNumberFormat="0" applyAlignment="0" applyProtection="0"/>
    <xf numFmtId="0" fontId="32" fillId="0" borderId="0">
      <alignment horizontal="center" wrapText="1"/>
      <protection hidden="1"/>
    </xf>
    <xf numFmtId="0" fontId="35" fillId="0" borderId="0" applyNumberFormat="0" applyFill="0" applyBorder="0" applyAlignment="0"/>
    <xf numFmtId="182" fontId="32" fillId="0" borderId="0" applyFont="0" applyFill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3" fontId="36" fillId="0" borderId="0" applyFont="0" applyFill="0" applyBorder="0" applyAlignment="0" applyProtection="0"/>
    <xf numFmtId="0" fontId="37" fillId="53" borderId="0">
      <alignment horizontal="center" vertical="center" wrapText="1"/>
    </xf>
    <xf numFmtId="0" fontId="38" fillId="0" borderId="30" applyNumberFormat="0"/>
    <xf numFmtId="0" fontId="39" fillId="0" borderId="30" applyNumberFormat="0"/>
    <xf numFmtId="1" fontId="36" fillId="0" borderId="0" applyFont="0" applyFill="0" applyBorder="0" applyAlignment="0" applyProtection="0"/>
    <xf numFmtId="2" fontId="40" fillId="54" borderId="16">
      <protection locked="0"/>
    </xf>
    <xf numFmtId="0" fontId="41" fillId="0" borderId="0" applyNumberFormat="0" applyBorder="0" applyAlignment="0">
      <alignment horizontal="center"/>
    </xf>
    <xf numFmtId="0" fontId="41" fillId="55" borderId="0" applyNumberFormat="0" applyBorder="0" applyAlignment="0">
      <alignment horizontal="center"/>
    </xf>
    <xf numFmtId="0" fontId="42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0" fontId="31" fillId="51" borderId="0" applyNumberFormat="0" applyBorder="0" applyAlignment="0" applyProtection="0"/>
    <xf numFmtId="0" fontId="31" fillId="56" borderId="0" applyNumberFormat="0" applyBorder="0" applyAlignment="0" applyProtection="0"/>
    <xf numFmtId="0" fontId="31" fillId="57" borderId="0" applyNumberFormat="0" applyBorder="0" applyAlignment="0" applyProtection="0"/>
    <xf numFmtId="0" fontId="31" fillId="58" borderId="0" applyNumberFormat="0" applyBorder="0" applyAlignment="0" applyProtection="0"/>
    <xf numFmtId="0" fontId="31" fillId="51" borderId="0" applyNumberFormat="0" applyBorder="0" applyAlignment="0" applyProtection="0"/>
    <xf numFmtId="0" fontId="31" fillId="59" borderId="0" applyNumberFormat="0" applyBorder="0" applyAlignment="0" applyProtection="0"/>
    <xf numFmtId="0" fontId="32" fillId="0" borderId="0"/>
    <xf numFmtId="184" fontId="32" fillId="0" borderId="0" applyFont="0" applyFill="0" applyBorder="0" applyAlignment="0" applyProtection="0"/>
    <xf numFmtId="0" fontId="25" fillId="0" borderId="0" applyNumberFormat="0" applyFill="0" applyBorder="0" applyAlignment="0" applyProtection="0"/>
    <xf numFmtId="2" fontId="42" fillId="0" borderId="0" applyFont="0" applyFill="0" applyBorder="0" applyAlignment="0" applyProtection="0"/>
    <xf numFmtId="0" fontId="43" fillId="0" borderId="0" applyFill="0" applyBorder="0" applyProtection="0">
      <alignment horizontal="left"/>
    </xf>
    <xf numFmtId="0" fontId="17" fillId="15" borderId="0" applyNumberFormat="0" applyBorder="0" applyAlignment="0" applyProtection="0"/>
    <xf numFmtId="0" fontId="44" fillId="0" borderId="0" applyNumberFormat="0">
      <alignment horizontal="right"/>
    </xf>
    <xf numFmtId="0" fontId="45" fillId="0" borderId="0" applyNumberFormat="0">
      <alignment horizontal="right"/>
    </xf>
    <xf numFmtId="0" fontId="45" fillId="0" borderId="0" applyNumberFormat="0">
      <alignment horizontal="left"/>
    </xf>
    <xf numFmtId="0" fontId="44" fillId="0" borderId="0" applyNumberFormat="0">
      <alignment horizontal="left"/>
    </xf>
    <xf numFmtId="0" fontId="46" fillId="0" borderId="0" applyNumberFormat="0">
      <alignment horizontal="left" vertical="top"/>
    </xf>
    <xf numFmtId="0" fontId="14" fillId="0" borderId="20" applyNumberFormat="0" applyFill="0" applyAlignment="0" applyProtection="0"/>
    <xf numFmtId="0" fontId="15" fillId="0" borderId="21" applyNumberFormat="0" applyFill="0" applyAlignment="0" applyProtection="0"/>
    <xf numFmtId="0" fontId="16" fillId="0" borderId="22" applyNumberFormat="0" applyFill="0" applyAlignment="0" applyProtection="0"/>
    <xf numFmtId="0" fontId="16" fillId="0" borderId="0" applyNumberFormat="0" applyFill="0" applyBorder="0" applyAlignment="0" applyProtection="0"/>
    <xf numFmtId="0" fontId="47" fillId="0" borderId="0" applyNumberFormat="0" applyFill="0" applyBorder="0" applyAlignment="0" applyProtection="0">
      <alignment vertical="top"/>
      <protection locked="0"/>
    </xf>
    <xf numFmtId="0" fontId="48" fillId="60" borderId="0" applyNumberFormat="0" applyBorder="0" applyAlignment="0" applyProtection="0"/>
    <xf numFmtId="0" fontId="20" fillId="18" borderId="23" applyNumberFormat="0" applyAlignment="0" applyProtection="0"/>
    <xf numFmtId="185" fontId="32" fillId="0" borderId="0" applyFill="0" applyBorder="0">
      <alignment horizontal="right"/>
      <protection locked="0"/>
    </xf>
    <xf numFmtId="0" fontId="40" fillId="61" borderId="30">
      <alignment horizontal="left" vertical="center" wrapText="1"/>
    </xf>
    <xf numFmtId="0" fontId="23" fillId="0" borderId="25" applyNumberFormat="0" applyFill="0" applyAlignment="0" applyProtection="0"/>
    <xf numFmtId="0" fontId="49" fillId="62" borderId="0" applyNumberFormat="0" applyBorder="0" applyAlignment="0" applyProtection="0"/>
    <xf numFmtId="0" fontId="28" fillId="17" borderId="0" applyNumberFormat="0" applyBorder="0" applyAlignment="0" applyProtection="0"/>
    <xf numFmtId="171" fontId="32" fillId="0" borderId="0"/>
    <xf numFmtId="0" fontId="50" fillId="0" borderId="0"/>
    <xf numFmtId="0" fontId="32" fillId="0" borderId="0"/>
    <xf numFmtId="0" fontId="1" fillId="0" borderId="0"/>
    <xf numFmtId="0" fontId="32" fillId="0" borderId="0"/>
    <xf numFmtId="186" fontId="1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" fillId="21" borderId="27" applyNumberFormat="0" applyFont="0" applyAlignment="0" applyProtection="0"/>
    <xf numFmtId="0" fontId="51" fillId="0" borderId="19"/>
    <xf numFmtId="0" fontId="52" fillId="0" borderId="0"/>
    <xf numFmtId="0" fontId="21" fillId="19" borderId="24" applyNumberFormat="0" applyAlignment="0" applyProtection="0"/>
    <xf numFmtId="9" fontId="32" fillId="0" borderId="0" applyFont="0" applyFill="0" applyBorder="0" applyAlignment="0" applyProtection="0"/>
    <xf numFmtId="9" fontId="1" fillId="0" borderId="0" applyFont="0" applyFill="0" applyBorder="0" applyAlignment="0" applyProtection="0"/>
    <xf numFmtId="187" fontId="32" fillId="0" borderId="0" applyFill="0" applyBorder="0">
      <alignment horizontal="right"/>
      <protection locked="0"/>
    </xf>
    <xf numFmtId="164" fontId="32" fillId="0" borderId="0" applyFont="0" applyFill="0" applyBorder="0" applyAlignment="0" applyProtection="0"/>
    <xf numFmtId="188" fontId="32" fillId="0" borderId="0">
      <alignment horizontal="right"/>
      <protection locked="0"/>
    </xf>
    <xf numFmtId="1" fontId="40" fillId="54" borderId="0" applyBorder="0">
      <protection locked="0"/>
    </xf>
    <xf numFmtId="1" fontId="40" fillId="54" borderId="13" applyBorder="0">
      <protection locked="0"/>
    </xf>
    <xf numFmtId="181" fontId="40" fillId="54" borderId="13" applyBorder="0">
      <protection locked="0"/>
    </xf>
    <xf numFmtId="0" fontId="53" fillId="46" borderId="31" applyNumberFormat="0" applyAlignment="0" applyProtection="0"/>
    <xf numFmtId="4" fontId="54" fillId="63" borderId="32" applyNumberFormat="0" applyProtection="0">
      <alignment vertical="center"/>
    </xf>
    <xf numFmtId="4" fontId="55" fillId="63" borderId="32" applyNumberFormat="0" applyProtection="0">
      <alignment vertical="center"/>
    </xf>
    <xf numFmtId="4" fontId="56" fillId="63" borderId="32" applyNumberFormat="0" applyProtection="0">
      <alignment horizontal="left" vertical="center" indent="1"/>
    </xf>
    <xf numFmtId="4" fontId="56" fillId="64" borderId="0" applyNumberFormat="0" applyProtection="0">
      <alignment horizontal="left" vertical="center" indent="1"/>
    </xf>
    <xf numFmtId="4" fontId="57" fillId="65" borderId="32" applyNumberFormat="0" applyProtection="0">
      <alignment horizontal="right" vertical="center"/>
    </xf>
    <xf numFmtId="4" fontId="57" fillId="66" borderId="32" applyNumberFormat="0" applyProtection="0">
      <alignment horizontal="right" vertical="center"/>
    </xf>
    <xf numFmtId="4" fontId="57" fillId="67" borderId="32" applyNumberFormat="0" applyProtection="0">
      <alignment horizontal="right" vertical="center"/>
    </xf>
    <xf numFmtId="4" fontId="57" fillId="68" borderId="32" applyNumberFormat="0" applyProtection="0">
      <alignment horizontal="right" vertical="center"/>
    </xf>
    <xf numFmtId="4" fontId="57" fillId="69" borderId="32" applyNumberFormat="0" applyProtection="0">
      <alignment horizontal="right" vertical="center"/>
    </xf>
    <xf numFmtId="4" fontId="57" fillId="70" borderId="32" applyNumberFormat="0" applyProtection="0">
      <alignment horizontal="right" vertical="center"/>
    </xf>
    <xf numFmtId="4" fontId="57" fillId="71" borderId="32" applyNumberFormat="0" applyProtection="0">
      <alignment horizontal="right" vertical="center"/>
    </xf>
    <xf numFmtId="4" fontId="57" fillId="72" borderId="32" applyNumberFormat="0" applyProtection="0">
      <alignment horizontal="right" vertical="center"/>
    </xf>
    <xf numFmtId="4" fontId="57" fillId="73" borderId="32" applyNumberFormat="0" applyProtection="0">
      <alignment horizontal="right" vertical="center"/>
    </xf>
    <xf numFmtId="4" fontId="54" fillId="74" borderId="33" applyNumberFormat="0" applyProtection="0">
      <alignment horizontal="left" vertical="center" indent="1"/>
    </xf>
    <xf numFmtId="4" fontId="54" fillId="75" borderId="0" applyNumberFormat="0" applyProtection="0">
      <alignment horizontal="left" vertical="center" indent="1"/>
    </xf>
    <xf numFmtId="4" fontId="58" fillId="64" borderId="0" applyNumberFormat="0" applyProtection="0">
      <alignment horizontal="left" vertical="center" indent="1"/>
    </xf>
    <xf numFmtId="4" fontId="57" fillId="75" borderId="32" applyNumberFormat="0" applyProtection="0">
      <alignment horizontal="right" vertical="center"/>
    </xf>
    <xf numFmtId="4" fontId="59" fillId="75" borderId="0" applyNumberFormat="0" applyProtection="0">
      <alignment horizontal="left" vertical="center" indent="1"/>
    </xf>
    <xf numFmtId="4" fontId="59" fillId="64" borderId="0" applyNumberFormat="0" applyProtection="0">
      <alignment horizontal="left" vertical="center" indent="1"/>
    </xf>
    <xf numFmtId="4" fontId="57" fillId="76" borderId="32" applyNumberFormat="0" applyProtection="0">
      <alignment vertical="center"/>
    </xf>
    <xf numFmtId="4" fontId="60" fillId="76" borderId="32" applyNumberFormat="0" applyProtection="0">
      <alignment vertical="center"/>
    </xf>
    <xf numFmtId="4" fontId="58" fillId="75" borderId="34" applyNumberFormat="0" applyProtection="0">
      <alignment horizontal="left" vertical="center" indent="1"/>
    </xf>
    <xf numFmtId="4" fontId="56" fillId="76" borderId="32" applyNumberFormat="0" applyProtection="0">
      <alignment horizontal="right" vertical="center"/>
    </xf>
    <xf numFmtId="4" fontId="60" fillId="76" borderId="32" applyNumberFormat="0" applyProtection="0">
      <alignment horizontal="right" vertical="center"/>
    </xf>
    <xf numFmtId="4" fontId="54" fillId="75" borderId="32" applyNumberFormat="0" applyProtection="0">
      <alignment horizontal="left" vertical="center" indent="1"/>
    </xf>
    <xf numFmtId="4" fontId="61" fillId="77" borderId="34" applyNumberFormat="0" applyProtection="0">
      <alignment horizontal="left" vertical="center" indent="1"/>
    </xf>
    <xf numFmtId="4" fontId="62" fillId="76" borderId="32" applyNumberFormat="0" applyProtection="0">
      <alignment horizontal="right" vertical="center"/>
    </xf>
    <xf numFmtId="189" fontId="63" fillId="0" borderId="0" applyFill="0" applyBorder="0">
      <alignment horizontal="right"/>
      <protection hidden="1"/>
    </xf>
    <xf numFmtId="0" fontId="64" fillId="53" borderId="16">
      <alignment horizontal="center" vertical="center" wrapText="1"/>
      <protection hidden="1"/>
    </xf>
    <xf numFmtId="0" fontId="40" fillId="54" borderId="0">
      <protection locked="0"/>
    </xf>
    <xf numFmtId="0" fontId="40" fillId="54" borderId="13" applyBorder="0">
      <protection locked="0"/>
    </xf>
    <xf numFmtId="180" fontId="32" fillId="0" borderId="0"/>
    <xf numFmtId="182" fontId="32" fillId="0" borderId="0">
      <alignment textRotation="255"/>
    </xf>
    <xf numFmtId="0" fontId="65" fillId="0" borderId="0">
      <alignment vertical="center"/>
    </xf>
    <xf numFmtId="0" fontId="32" fillId="0" borderId="0"/>
    <xf numFmtId="0" fontId="66" fillId="0" borderId="0" applyBorder="0" applyProtection="0">
      <alignment horizontal="left"/>
    </xf>
    <xf numFmtId="0" fontId="67" fillId="0" borderId="0" applyFill="0" applyBorder="0" applyProtection="0">
      <alignment horizontal="left"/>
    </xf>
    <xf numFmtId="0" fontId="68" fillId="0" borderId="18" applyFill="0" applyBorder="0" applyProtection="0">
      <alignment horizontal="left" vertical="top"/>
    </xf>
    <xf numFmtId="0" fontId="69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32" fillId="0" borderId="0" applyBorder="0"/>
    <xf numFmtId="0" fontId="70" fillId="0" borderId="0" applyNumberFormat="0" applyFill="0" applyBorder="0" applyAlignment="0" applyProtection="0"/>
    <xf numFmtId="0" fontId="71" fillId="0" borderId="35" applyNumberFormat="0" applyFill="0" applyAlignment="0" applyProtection="0"/>
    <xf numFmtId="0" fontId="72" fillId="0" borderId="36" applyNumberFormat="0" applyFill="0" applyAlignment="0" applyProtection="0"/>
    <xf numFmtId="0" fontId="73" fillId="0" borderId="37" applyNumberFormat="0" applyFill="0" applyAlignment="0" applyProtection="0"/>
    <xf numFmtId="0" fontId="73" fillId="0" borderId="0" applyNumberFormat="0" applyFill="0" applyBorder="0" applyAlignment="0" applyProtection="0"/>
    <xf numFmtId="0" fontId="2" fillId="0" borderId="28" applyNumberFormat="0" applyFill="0" applyAlignment="0" applyProtection="0"/>
    <xf numFmtId="175" fontId="40" fillId="54" borderId="16">
      <protection locked="0"/>
    </xf>
    <xf numFmtId="4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190" fontId="32" fillId="0" borderId="0" applyFont="0" applyFill="0" applyBorder="0" applyAlignment="0" applyProtection="0"/>
    <xf numFmtId="191" fontId="32" fillId="0" borderId="0" applyFont="0" applyFill="0" applyBorder="0" applyAlignment="0" applyProtection="0"/>
    <xf numFmtId="0" fontId="24" fillId="0" borderId="0" applyNumberFormat="0" applyFill="0" applyBorder="0" applyAlignment="0" applyProtection="0"/>
    <xf numFmtId="43" fontId="1" fillId="0" borderId="0" applyFont="0" applyFill="0" applyBorder="0" applyAlignment="0" applyProtection="0"/>
    <xf numFmtId="0" fontId="74" fillId="0" borderId="0"/>
    <xf numFmtId="0" fontId="75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74" fillId="0" borderId="0"/>
    <xf numFmtId="0" fontId="32" fillId="0" borderId="0"/>
    <xf numFmtId="0" fontId="1" fillId="0" borderId="0"/>
    <xf numFmtId="0" fontId="1" fillId="0" borderId="0"/>
    <xf numFmtId="0" fontId="1" fillId="0" borderId="0"/>
    <xf numFmtId="9" fontId="32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0" fontId="3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14" fontId="29" fillId="0" borderId="0"/>
    <xf numFmtId="14" fontId="29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50" fillId="0" borderId="0"/>
    <xf numFmtId="0" fontId="32" fillId="0" borderId="0"/>
    <xf numFmtId="0" fontId="3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0" fontId="32" fillId="0" borderId="0"/>
    <xf numFmtId="0" fontId="32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43" fontId="1" fillId="0" borderId="0" applyFont="0" applyFill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43" fontId="1" fillId="0" borderId="0" applyFont="0" applyFill="0" applyBorder="0" applyAlignment="0" applyProtection="0"/>
    <xf numFmtId="0" fontId="77" fillId="0" borderId="0">
      <alignment vertical="top"/>
    </xf>
    <xf numFmtId="0" fontId="78" fillId="0" borderId="0">
      <alignment horizontal="left" vertical="top"/>
    </xf>
    <xf numFmtId="14" fontId="77" fillId="0" borderId="0">
      <alignment vertical="top"/>
    </xf>
    <xf numFmtId="0" fontId="77" fillId="78" borderId="7">
      <alignment horizontal="left" vertical="top"/>
    </xf>
    <xf numFmtId="0" fontId="76" fillId="0" borderId="0">
      <alignment vertical="top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79" fillId="0" borderId="0"/>
    <xf numFmtId="43" fontId="79" fillId="0" borderId="0" applyFont="0" applyFill="0" applyBorder="0" applyAlignment="0" applyProtection="0"/>
    <xf numFmtId="0" fontId="79" fillId="0" borderId="0"/>
    <xf numFmtId="43" fontId="79" fillId="0" borderId="0" applyFont="0" applyFill="0" applyBorder="0" applyAlignment="0" applyProtection="0"/>
    <xf numFmtId="0" fontId="79" fillId="0" borderId="0"/>
    <xf numFmtId="43" fontId="79" fillId="0" borderId="0" applyFont="0" applyFill="0" applyBorder="0" applyAlignment="0" applyProtection="0"/>
    <xf numFmtId="0" fontId="79" fillId="0" borderId="0"/>
    <xf numFmtId="43" fontId="79" fillId="0" borderId="0" applyFont="0" applyFill="0" applyBorder="0" applyAlignment="0" applyProtection="0"/>
    <xf numFmtId="0" fontId="79" fillId="0" borderId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0" fontId="79" fillId="0" borderId="0"/>
    <xf numFmtId="0" fontId="79" fillId="0" borderId="0"/>
    <xf numFmtId="43" fontId="79" fillId="0" borderId="0" applyFont="0" applyFill="0" applyBorder="0" applyAlignment="0" applyProtection="0"/>
    <xf numFmtId="0" fontId="79" fillId="0" borderId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7" fillId="15" borderId="0" applyNumberFormat="0" applyBorder="0" applyAlignment="0" applyProtection="0"/>
    <xf numFmtId="0" fontId="20" fillId="18" borderId="23" applyNumberFormat="0" applyAlignment="0" applyProtection="0"/>
    <xf numFmtId="0" fontId="23" fillId="0" borderId="25" applyNumberFormat="0" applyFill="0" applyAlignment="0" applyProtection="0"/>
    <xf numFmtId="0" fontId="8" fillId="20" borderId="26" applyNumberFormat="0" applyAlignment="0" applyProtection="0"/>
    <xf numFmtId="0" fontId="24" fillId="0" borderId="0" applyNumberFormat="0" applyFill="0" applyBorder="0" applyAlignment="0" applyProtection="0"/>
    <xf numFmtId="0" fontId="1" fillId="21" borderId="27" applyNumberFormat="0" applyFont="0" applyAlignment="0" applyProtection="0"/>
    <xf numFmtId="0" fontId="1" fillId="25" borderId="0" applyNumberFormat="0" applyBorder="0" applyAlignment="0" applyProtection="0"/>
    <xf numFmtId="0" fontId="1" fillId="29" borderId="0" applyNumberFormat="0" applyBorder="0" applyAlignment="0" applyProtection="0"/>
    <xf numFmtId="0" fontId="1" fillId="33" borderId="0" applyNumberFormat="0" applyBorder="0" applyAlignment="0" applyProtection="0"/>
    <xf numFmtId="0" fontId="1" fillId="37" borderId="0" applyNumberFormat="0" applyBorder="0" applyAlignment="0" applyProtection="0"/>
    <xf numFmtId="0" fontId="1" fillId="41" borderId="0" applyNumberFormat="0" applyBorder="0" applyAlignment="0" applyProtection="0"/>
    <xf numFmtId="0" fontId="1" fillId="45" borderId="0" applyNumberFormat="0" applyBorder="0" applyAlignment="0" applyProtection="0"/>
    <xf numFmtId="0" fontId="30" fillId="46" borderId="0" applyNumberFormat="0" applyBorder="0" applyAlignment="0" applyProtection="0"/>
    <xf numFmtId="0" fontId="30" fillId="47" borderId="0" applyNumberFormat="0" applyBorder="0" applyAlignment="0" applyProtection="0"/>
    <xf numFmtId="0" fontId="30" fillId="48" borderId="0" applyNumberFormat="0" applyBorder="0" applyAlignment="0" applyProtection="0"/>
    <xf numFmtId="0" fontId="30" fillId="46" borderId="0" applyNumberFormat="0" applyBorder="0" applyAlignment="0" applyProtection="0"/>
    <xf numFmtId="0" fontId="30" fillId="48" borderId="0" applyNumberFormat="0" applyBorder="0" applyAlignment="0" applyProtection="0"/>
    <xf numFmtId="0" fontId="30" fillId="47" borderId="0" applyNumberFormat="0" applyBorder="0" applyAlignment="0" applyProtection="0"/>
    <xf numFmtId="0" fontId="30" fillId="49" borderId="0" applyNumberFormat="0" applyBorder="0" applyAlignment="0" applyProtection="0"/>
    <xf numFmtId="0" fontId="30" fillId="50" borderId="0" applyNumberFormat="0" applyBorder="0" applyAlignment="0" applyProtection="0"/>
    <xf numFmtId="0" fontId="30" fillId="48" borderId="0" applyNumberFormat="0" applyBorder="0" applyAlignment="0" applyProtection="0"/>
    <xf numFmtId="0" fontId="30" fillId="49" borderId="0" applyNumberFormat="0" applyBorder="0" applyAlignment="0" applyProtection="0"/>
    <xf numFmtId="0" fontId="30" fillId="48" borderId="0" applyNumberFormat="0" applyBorder="0" applyAlignment="0" applyProtection="0"/>
    <xf numFmtId="0" fontId="30" fillId="47" borderId="0" applyNumberFormat="0" applyBorder="0" applyAlignment="0" applyProtection="0"/>
    <xf numFmtId="0" fontId="31" fillId="51" borderId="0" applyNumberFormat="0" applyBorder="0" applyAlignment="0" applyProtection="0"/>
    <xf numFmtId="0" fontId="31" fillId="50" borderId="0" applyNumberFormat="0" applyBorder="0" applyAlignment="0" applyProtection="0"/>
    <xf numFmtId="0" fontId="31" fillId="48" borderId="0" applyNumberFormat="0" applyBorder="0" applyAlignment="0" applyProtection="0"/>
    <xf numFmtId="0" fontId="31" fillId="49" borderId="0" applyNumberFormat="0" applyBorder="0" applyAlignment="0" applyProtection="0"/>
    <xf numFmtId="0" fontId="31" fillId="51" borderId="0" applyNumberFormat="0" applyBorder="0" applyAlignment="0" applyProtection="0"/>
    <xf numFmtId="0" fontId="31" fillId="47" borderId="0" applyNumberFormat="0" applyBorder="0" applyAlignment="0" applyProtection="0"/>
    <xf numFmtId="0" fontId="90" fillId="48" borderId="0" applyNumberFormat="0" applyBorder="0" applyAlignment="0" applyProtection="0"/>
    <xf numFmtId="0" fontId="34" fillId="46" borderId="29" applyNumberFormat="0" applyAlignment="0" applyProtection="0"/>
    <xf numFmtId="0" fontId="33" fillId="86" borderId="42" applyNumberFormat="0" applyAlignment="0" applyProtection="0"/>
    <xf numFmtId="0" fontId="91" fillId="0" borderId="43" applyNumberFormat="0" applyFill="0" applyAlignment="0" applyProtection="0"/>
    <xf numFmtId="0" fontId="31" fillId="51" borderId="0" applyNumberFormat="0" applyBorder="0" applyAlignment="0" applyProtection="0"/>
    <xf numFmtId="0" fontId="31" fillId="56" borderId="0" applyNumberFormat="0" applyBorder="0" applyAlignment="0" applyProtection="0"/>
    <xf numFmtId="0" fontId="31" fillId="57" borderId="0" applyNumberFormat="0" applyBorder="0" applyAlignment="0" applyProtection="0"/>
    <xf numFmtId="0" fontId="31" fillId="58" borderId="0" applyNumberFormat="0" applyBorder="0" applyAlignment="0" applyProtection="0"/>
    <xf numFmtId="0" fontId="31" fillId="51" borderId="0" applyNumberFormat="0" applyBorder="0" applyAlignment="0" applyProtection="0"/>
    <xf numFmtId="0" fontId="31" fillId="59" borderId="0" applyNumberFormat="0" applyBorder="0" applyAlignment="0" applyProtection="0"/>
    <xf numFmtId="0" fontId="92" fillId="47" borderId="29" applyNumberFormat="0" applyAlignment="0" applyProtection="0"/>
    <xf numFmtId="0" fontId="32" fillId="0" borderId="0" applyFont="0" applyFill="0" applyBorder="0" applyAlignment="0" applyProtection="0"/>
    <xf numFmtId="8" fontId="93" fillId="0" borderId="0" applyFont="0" applyFill="0" applyBorder="0" applyAlignment="0" applyProtection="0"/>
    <xf numFmtId="0" fontId="94" fillId="87" borderId="44" applyNumberFormat="0" applyFont="0" applyAlignment="0" applyProtection="0"/>
    <xf numFmtId="0" fontId="53" fillId="46" borderId="31" applyNumberFormat="0" applyAlignment="0" applyProtection="0"/>
    <xf numFmtId="0" fontId="95" fillId="0" borderId="0" applyFont="0" applyFill="0" applyBorder="0" applyAlignment="0" applyProtection="0"/>
    <xf numFmtId="4" fontId="93" fillId="0" borderId="0" applyFont="0" applyFill="0" applyBorder="0" applyAlignment="0" applyProtection="0"/>
    <xf numFmtId="0" fontId="96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1" fillId="0" borderId="35" applyNumberFormat="0" applyFill="0" applyAlignment="0" applyProtection="0"/>
    <xf numFmtId="0" fontId="72" fillId="0" borderId="36" applyNumberFormat="0" applyFill="0" applyAlignment="0" applyProtection="0"/>
    <xf numFmtId="0" fontId="73" fillId="0" borderId="37" applyNumberFormat="0" applyFill="0" applyAlignment="0" applyProtection="0"/>
    <xf numFmtId="0" fontId="73" fillId="0" borderId="0" applyNumberFormat="0" applyFill="0" applyBorder="0" applyAlignment="0" applyProtection="0"/>
    <xf numFmtId="0" fontId="97" fillId="0" borderId="0" applyNumberFormat="0" applyFill="0" applyBorder="0" applyAlignment="0" applyProtection="0"/>
    <xf numFmtId="4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3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2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7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608">
    <xf numFmtId="0" fontId="0" fillId="0" borderId="0" xfId="0"/>
    <xf numFmtId="43" fontId="0" fillId="0" borderId="0" xfId="190" applyNumberFormat="1" applyFont="1"/>
    <xf numFmtId="167" fontId="0" fillId="0" borderId="0" xfId="190" applyNumberFormat="1" applyFont="1"/>
    <xf numFmtId="168" fontId="0" fillId="0" borderId="0" xfId="190" applyNumberFormat="1" applyFont="1"/>
    <xf numFmtId="166" fontId="0" fillId="0" borderId="0" xfId="190" applyNumberFormat="1" applyFont="1"/>
    <xf numFmtId="10" fontId="0" fillId="0" borderId="0" xfId="1" applyNumberFormat="1" applyFont="1"/>
    <xf numFmtId="0" fontId="2" fillId="0" borderId="0" xfId="0" applyFont="1"/>
    <xf numFmtId="0" fontId="2" fillId="0" borderId="0" xfId="0" applyFont="1" applyAlignment="1">
      <alignment horizontal="center"/>
    </xf>
    <xf numFmtId="168" fontId="0" fillId="2" borderId="0" xfId="190" applyNumberFormat="1" applyFont="1" applyFill="1"/>
    <xf numFmtId="170" fontId="0" fillId="0" borderId="0" xfId="190" applyNumberFormat="1" applyFont="1"/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3" xfId="0" applyFont="1" applyBorder="1" applyAlignment="1">
      <alignment horizontal="center" vertical="top" wrapText="1"/>
    </xf>
    <xf numFmtId="166" fontId="0" fillId="0" borderId="0" xfId="0" applyNumberFormat="1"/>
    <xf numFmtId="43" fontId="0" fillId="2" borderId="0" xfId="190" applyNumberFormat="1" applyFont="1" applyFill="1"/>
    <xf numFmtId="166" fontId="0" fillId="0" borderId="0" xfId="190" applyNumberFormat="1" applyFont="1" applyFill="1"/>
    <xf numFmtId="168" fontId="2" fillId="2" borderId="0" xfId="0" applyNumberFormat="1" applyFont="1" applyFill="1"/>
    <xf numFmtId="168" fontId="0" fillId="0" borderId="0" xfId="0" applyNumberFormat="1"/>
    <xf numFmtId="10" fontId="0" fillId="0" borderId="0" xfId="1" applyNumberFormat="1" applyFont="1" applyFill="1"/>
    <xf numFmtId="170" fontId="0" fillId="0" borderId="1" xfId="190" applyNumberFormat="1" applyFont="1" applyFill="1" applyBorder="1"/>
    <xf numFmtId="172" fontId="0" fillId="0" borderId="0" xfId="1" applyNumberFormat="1" applyFont="1"/>
    <xf numFmtId="0" fontId="0" fillId="0" borderId="0" xfId="0" applyAlignment="1">
      <alignment horizontal="center"/>
    </xf>
    <xf numFmtId="14" fontId="0" fillId="0" borderId="0" xfId="0" applyNumberFormat="1"/>
    <xf numFmtId="0" fontId="2" fillId="3" borderId="2" xfId="0" applyFont="1" applyFill="1" applyBorder="1" applyAlignment="1">
      <alignment horizontal="center" vertical="top" wrapText="1"/>
    </xf>
    <xf numFmtId="0" fontId="2" fillId="3" borderId="3" xfId="0" applyFont="1" applyFill="1" applyBorder="1" applyAlignment="1">
      <alignment horizontal="center" vertical="top" wrapText="1"/>
    </xf>
    <xf numFmtId="43" fontId="2" fillId="0" borderId="2" xfId="190" applyNumberFormat="1" applyFont="1" applyFill="1" applyBorder="1" applyAlignment="1">
      <alignment horizontal="center" vertical="top" wrapText="1"/>
    </xf>
    <xf numFmtId="172" fontId="0" fillId="0" borderId="0" xfId="1" applyNumberFormat="1" applyFont="1" applyFill="1" applyBorder="1"/>
    <xf numFmtId="0" fontId="2" fillId="0" borderId="2" xfId="0" applyFont="1" applyBorder="1"/>
    <xf numFmtId="172" fontId="2" fillId="0" borderId="2" xfId="1" applyNumberFormat="1" applyFont="1" applyFill="1" applyBorder="1"/>
    <xf numFmtId="172" fontId="2" fillId="0" borderId="0" xfId="1" applyNumberFormat="1" applyFont="1" applyFill="1" applyBorder="1"/>
    <xf numFmtId="169" fontId="2" fillId="0" borderId="1" xfId="190" applyNumberFormat="1" applyFont="1" applyFill="1" applyBorder="1"/>
    <xf numFmtId="173" fontId="0" fillId="0" borderId="0" xfId="1" applyNumberFormat="1" applyFont="1"/>
    <xf numFmtId="10" fontId="0" fillId="3" borderId="0" xfId="1" applyNumberFormat="1" applyFont="1" applyFill="1" applyBorder="1"/>
    <xf numFmtId="10" fontId="2" fillId="3" borderId="2" xfId="1" applyNumberFormat="1" applyFont="1" applyFill="1" applyBorder="1"/>
    <xf numFmtId="10" fontId="2" fillId="3" borderId="0" xfId="1" applyNumberFormat="1" applyFont="1" applyFill="1" applyBorder="1"/>
    <xf numFmtId="43" fontId="0" fillId="0" borderId="0" xfId="190" applyNumberFormat="1" applyFont="1" applyFill="1"/>
    <xf numFmtId="167" fontId="0" fillId="0" borderId="0" xfId="190" applyNumberFormat="1" applyFont="1" applyFill="1"/>
    <xf numFmtId="170" fontId="0" fillId="0" borderId="0" xfId="190" applyNumberFormat="1" applyFont="1" applyFill="1"/>
    <xf numFmtId="170" fontId="0" fillId="3" borderId="1" xfId="190" applyNumberFormat="1" applyFont="1" applyFill="1" applyBorder="1"/>
    <xf numFmtId="172" fontId="0" fillId="0" borderId="0" xfId="1" applyNumberFormat="1" applyFont="1" applyFill="1"/>
    <xf numFmtId="170" fontId="2" fillId="3" borderId="1" xfId="190" applyNumberFormat="1" applyFont="1" applyFill="1" applyBorder="1"/>
    <xf numFmtId="166" fontId="0" fillId="4" borderId="0" xfId="190" applyNumberFormat="1" applyFont="1" applyFill="1"/>
    <xf numFmtId="10" fontId="0" fillId="0" borderId="0" xfId="0" applyNumberFormat="1"/>
    <xf numFmtId="10" fontId="2" fillId="0" borderId="2" xfId="1" applyNumberFormat="1" applyFont="1" applyFill="1" applyBorder="1"/>
    <xf numFmtId="0" fontId="0" fillId="0" borderId="0" xfId="0" applyAlignment="1">
      <alignment horizontal="right"/>
    </xf>
    <xf numFmtId="169" fontId="2" fillId="0" borderId="0" xfId="190" applyNumberFormat="1" applyFont="1" applyFill="1" applyBorder="1"/>
    <xf numFmtId="170" fontId="2" fillId="0" borderId="2" xfId="190" applyNumberFormat="1" applyFont="1" applyBorder="1"/>
    <xf numFmtId="173" fontId="0" fillId="0" borderId="0" xfId="1" applyNumberFormat="1" applyFont="1" applyFill="1"/>
    <xf numFmtId="172" fontId="2" fillId="0" borderId="0" xfId="1" applyNumberFormat="1" applyFont="1"/>
    <xf numFmtId="170" fontId="0" fillId="0" borderId="0" xfId="0" applyNumberFormat="1"/>
    <xf numFmtId="10" fontId="0" fillId="0" borderId="1" xfId="1" applyNumberFormat="1" applyFont="1" applyFill="1" applyBorder="1"/>
    <xf numFmtId="166" fontId="0" fillId="0" borderId="1" xfId="190" applyNumberFormat="1" applyFont="1" applyFill="1" applyBorder="1"/>
    <xf numFmtId="168" fontId="0" fillId="0" borderId="0" xfId="190" applyNumberFormat="1" applyFont="1" applyFill="1"/>
    <xf numFmtId="10" fontId="0" fillId="0" borderId="0" xfId="1" applyNumberFormat="1" applyFont="1" applyAlignment="1">
      <alignment horizontal="center"/>
    </xf>
    <xf numFmtId="170" fontId="0" fillId="0" borderId="0" xfId="190" applyNumberFormat="1" applyFont="1" applyAlignment="1">
      <alignment horizontal="center"/>
    </xf>
    <xf numFmtId="170" fontId="2" fillId="0" borderId="2" xfId="190" applyNumberFormat="1" applyFont="1" applyBorder="1" applyAlignment="1">
      <alignment horizontal="center"/>
    </xf>
    <xf numFmtId="0" fontId="2" fillId="0" borderId="4" xfId="0" applyFont="1" applyBorder="1" applyAlignment="1">
      <alignment horizontal="center" vertical="top" wrapText="1"/>
    </xf>
    <xf numFmtId="171" fontId="1" fillId="0" borderId="0" xfId="190" applyNumberFormat="1" applyFont="1" applyFill="1"/>
    <xf numFmtId="0" fontId="0" fillId="2" borderId="0" xfId="0" applyFill="1"/>
    <xf numFmtId="43" fontId="2" fillId="0" borderId="0" xfId="190" applyNumberFormat="1" applyFont="1" applyFill="1" applyAlignment="1">
      <alignment horizontal="center" vertical="top" wrapText="1"/>
    </xf>
    <xf numFmtId="167" fontId="0" fillId="7" borderId="0" xfId="190" applyNumberFormat="1" applyFont="1" applyFill="1"/>
    <xf numFmtId="0" fontId="0" fillId="7" borderId="0" xfId="0" applyFill="1"/>
    <xf numFmtId="1" fontId="0" fillId="7" borderId="0" xfId="190" applyNumberFormat="1" applyFont="1" applyFill="1"/>
    <xf numFmtId="43" fontId="0" fillId="0" borderId="0" xfId="0" applyNumberFormat="1"/>
    <xf numFmtId="171" fontId="0" fillId="0" borderId="0" xfId="0" applyNumberFormat="1"/>
    <xf numFmtId="172" fontId="0" fillId="0" borderId="0" xfId="0" applyNumberFormat="1"/>
    <xf numFmtId="168" fontId="2" fillId="0" borderId="0" xfId="190" applyNumberFormat="1" applyFont="1" applyFill="1" applyAlignment="1">
      <alignment horizontal="center" vertical="top" wrapText="1"/>
    </xf>
    <xf numFmtId="171" fontId="2" fillId="0" borderId="0" xfId="0" applyNumberFormat="1" applyFont="1" applyAlignment="1">
      <alignment horizontal="center" vertical="top" wrapText="1"/>
    </xf>
    <xf numFmtId="172" fontId="2" fillId="0" borderId="0" xfId="0" applyNumberFormat="1" applyFont="1" applyAlignment="1">
      <alignment horizontal="center" vertical="top" wrapText="1"/>
    </xf>
    <xf numFmtId="166" fontId="2" fillId="0" borderId="0" xfId="0" applyNumberFormat="1" applyFont="1" applyAlignment="1">
      <alignment horizontal="center" vertical="top" wrapText="1"/>
    </xf>
    <xf numFmtId="173" fontId="0" fillId="0" borderId="0" xfId="0" applyNumberFormat="1"/>
    <xf numFmtId="0" fontId="2" fillId="2" borderId="0" xfId="0" applyFont="1" applyFill="1" applyAlignment="1">
      <alignment horizontal="center" vertical="top" wrapText="1"/>
    </xf>
    <xf numFmtId="0" fontId="0" fillId="4" borderId="0" xfId="0" applyFill="1"/>
    <xf numFmtId="43" fontId="0" fillId="4" borderId="0" xfId="190" applyNumberFormat="1" applyFont="1" applyFill="1"/>
    <xf numFmtId="10" fontId="0" fillId="4" borderId="0" xfId="1" applyNumberFormat="1" applyFont="1" applyFill="1"/>
    <xf numFmtId="172" fontId="0" fillId="4" borderId="0" xfId="1" applyNumberFormat="1" applyFont="1" applyFill="1"/>
    <xf numFmtId="167" fontId="0" fillId="4" borderId="0" xfId="190" applyNumberFormat="1" applyFont="1" applyFill="1"/>
    <xf numFmtId="170" fontId="0" fillId="4" borderId="0" xfId="190" applyNumberFormat="1" applyFont="1" applyFill="1"/>
    <xf numFmtId="43" fontId="0" fillId="2" borderId="0" xfId="0" applyNumberFormat="1" applyFill="1"/>
    <xf numFmtId="16" fontId="0" fillId="0" borderId="0" xfId="0" applyNumberFormat="1"/>
    <xf numFmtId="168" fontId="1" fillId="0" borderId="0" xfId="190" applyNumberFormat="1" applyFont="1"/>
    <xf numFmtId="10" fontId="1" fillId="0" borderId="0" xfId="1" applyNumberFormat="1" applyFont="1"/>
    <xf numFmtId="168" fontId="2" fillId="2" borderId="0" xfId="190" applyNumberFormat="1" applyFont="1" applyFill="1" applyAlignment="1">
      <alignment horizontal="center" vertical="top" wrapText="1"/>
    </xf>
    <xf numFmtId="0" fontId="0" fillId="0" borderId="6" xfId="0" applyBorder="1"/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0" fillId="0" borderId="9" xfId="0" applyBorder="1"/>
    <xf numFmtId="168" fontId="2" fillId="2" borderId="0" xfId="190" applyNumberFormat="1" applyFont="1" applyFill="1" applyBorder="1"/>
    <xf numFmtId="168" fontId="2" fillId="0" borderId="10" xfId="190" applyNumberFormat="1" applyFont="1" applyBorder="1"/>
    <xf numFmtId="0" fontId="0" fillId="0" borderId="11" xfId="0" applyBorder="1"/>
    <xf numFmtId="168" fontId="2" fillId="0" borderId="4" xfId="190" applyNumberFormat="1" applyFont="1" applyBorder="1"/>
    <xf numFmtId="168" fontId="2" fillId="0" borderId="12" xfId="190" applyNumberFormat="1" applyFont="1" applyBorder="1"/>
    <xf numFmtId="0" fontId="2" fillId="2" borderId="0" xfId="0" applyFont="1" applyFill="1"/>
    <xf numFmtId="173" fontId="2" fillId="0" borderId="0" xfId="190" applyNumberFormat="1" applyFont="1" applyFill="1" applyAlignment="1">
      <alignment horizontal="center" vertical="top" wrapText="1"/>
    </xf>
    <xf numFmtId="0" fontId="0" fillId="5" borderId="0" xfId="0" applyFill="1"/>
    <xf numFmtId="166" fontId="0" fillId="9" borderId="0" xfId="190" applyNumberFormat="1" applyFont="1" applyFill="1"/>
    <xf numFmtId="43" fontId="0" fillId="6" borderId="0" xfId="190" applyNumberFormat="1" applyFont="1" applyFill="1"/>
    <xf numFmtId="0" fontId="5" fillId="6" borderId="0" xfId="0" applyFont="1" applyFill="1"/>
    <xf numFmtId="0" fontId="6" fillId="6" borderId="0" xfId="0" applyFont="1" applyFill="1"/>
    <xf numFmtId="0" fontId="7" fillId="3" borderId="0" xfId="0" applyFont="1" applyFill="1"/>
    <xf numFmtId="9" fontId="7" fillId="3" borderId="0" xfId="1" applyFont="1" applyFill="1"/>
    <xf numFmtId="43" fontId="7" fillId="3" borderId="0" xfId="0" applyNumberFormat="1" applyFont="1" applyFill="1"/>
    <xf numFmtId="10" fontId="7" fillId="3" borderId="0" xfId="1" applyNumberFormat="1" applyFont="1" applyFill="1"/>
    <xf numFmtId="166" fontId="7" fillId="6" borderId="0" xfId="190" applyNumberFormat="1" applyFont="1" applyFill="1"/>
    <xf numFmtId="43" fontId="2" fillId="2" borderId="0" xfId="190" applyNumberFormat="1" applyFont="1" applyFill="1" applyAlignment="1">
      <alignment horizontal="center" vertical="top" wrapText="1"/>
    </xf>
    <xf numFmtId="171" fontId="2" fillId="2" borderId="0" xfId="0" applyNumberFormat="1" applyFont="1" applyFill="1" applyAlignment="1">
      <alignment horizontal="center" vertical="top" wrapText="1"/>
    </xf>
    <xf numFmtId="170" fontId="7" fillId="3" borderId="0" xfId="0" applyNumberFormat="1" applyFont="1" applyFill="1"/>
    <xf numFmtId="43" fontId="7" fillId="3" borderId="0" xfId="190" applyNumberFormat="1" applyFont="1" applyFill="1"/>
    <xf numFmtId="0" fontId="2" fillId="2" borderId="0" xfId="0" applyFont="1" applyFill="1" applyAlignment="1">
      <alignment horizontal="center"/>
    </xf>
    <xf numFmtId="9" fontId="2" fillId="2" borderId="0" xfId="0" applyNumberFormat="1" applyFont="1" applyFill="1" applyAlignment="1">
      <alignment horizontal="center" vertical="top" wrapText="1"/>
    </xf>
    <xf numFmtId="9" fontId="2" fillId="0" borderId="0" xfId="0" applyNumberFormat="1" applyFont="1" applyAlignment="1">
      <alignment horizontal="center" vertical="top" wrapText="1"/>
    </xf>
    <xf numFmtId="170" fontId="1" fillId="4" borderId="0" xfId="190" applyNumberFormat="1" applyFont="1" applyFill="1"/>
    <xf numFmtId="172" fontId="0" fillId="2" borderId="0" xfId="0" applyNumberFormat="1" applyFill="1"/>
    <xf numFmtId="172" fontId="2" fillId="2" borderId="0" xfId="0" applyNumberFormat="1" applyFont="1" applyFill="1" applyAlignment="1">
      <alignment horizontal="center" vertical="top" wrapText="1"/>
    </xf>
    <xf numFmtId="170" fontId="0" fillId="5" borderId="0" xfId="0" applyNumberFormat="1" applyFill="1"/>
    <xf numFmtId="170" fontId="2" fillId="0" borderId="0" xfId="190" applyNumberFormat="1" applyFont="1" applyFill="1" applyAlignment="1">
      <alignment horizontal="center" vertical="top" wrapText="1"/>
    </xf>
    <xf numFmtId="43" fontId="0" fillId="4" borderId="0" xfId="190" quotePrefix="1" applyNumberFormat="1" applyFont="1" applyFill="1"/>
    <xf numFmtId="170" fontId="2" fillId="2" borderId="0" xfId="0" applyNumberFormat="1" applyFont="1" applyFill="1" applyAlignment="1">
      <alignment horizontal="center"/>
    </xf>
    <xf numFmtId="170" fontId="2" fillId="0" borderId="0" xfId="0" applyNumberFormat="1" applyFont="1" applyAlignment="1">
      <alignment horizontal="center" vertical="top" wrapText="1"/>
    </xf>
    <xf numFmtId="167" fontId="2" fillId="0" borderId="0" xfId="190" applyNumberFormat="1" applyFont="1" applyAlignment="1">
      <alignment horizontal="center" vertical="top" wrapText="1"/>
    </xf>
    <xf numFmtId="173" fontId="7" fillId="3" borderId="0" xfId="1" applyNumberFormat="1" applyFont="1" applyFill="1"/>
    <xf numFmtId="43" fontId="0" fillId="10" borderId="0" xfId="190" applyNumberFormat="1" applyFont="1" applyFill="1"/>
    <xf numFmtId="170" fontId="1" fillId="0" borderId="0" xfId="190" applyNumberFormat="1" applyFont="1" applyFill="1"/>
    <xf numFmtId="43" fontId="0" fillId="0" borderId="0" xfId="1" applyNumberFormat="1" applyFont="1" applyFill="1"/>
    <xf numFmtId="173" fontId="0" fillId="2" borderId="0" xfId="0" applyNumberFormat="1" applyFill="1"/>
    <xf numFmtId="10" fontId="0" fillId="2" borderId="0" xfId="1" applyNumberFormat="1" applyFont="1" applyFill="1"/>
    <xf numFmtId="9" fontId="0" fillId="0" borderId="0" xfId="1" applyFont="1"/>
    <xf numFmtId="166" fontId="7" fillId="3" borderId="0" xfId="0" applyNumberFormat="1" applyFont="1" applyFill="1"/>
    <xf numFmtId="168" fontId="0" fillId="9" borderId="0" xfId="190" applyNumberFormat="1" applyFont="1" applyFill="1"/>
    <xf numFmtId="168" fontId="2" fillId="3" borderId="0" xfId="190" applyNumberFormat="1" applyFont="1" applyFill="1" applyBorder="1"/>
    <xf numFmtId="9" fontId="0" fillId="0" borderId="0" xfId="1" applyFont="1" applyBorder="1"/>
    <xf numFmtId="43" fontId="2" fillId="0" borderId="0" xfId="190" applyNumberFormat="1" applyFont="1" applyAlignment="1">
      <alignment horizontal="center" vertical="top" wrapText="1"/>
    </xf>
    <xf numFmtId="166" fontId="0" fillId="0" borderId="0" xfId="190" applyNumberFormat="1" applyFont="1" applyFill="1" applyAlignment="1">
      <alignment horizontal="center"/>
    </xf>
    <xf numFmtId="0" fontId="0" fillId="2" borderId="0" xfId="0" applyFill="1" applyAlignment="1">
      <alignment horizontal="center"/>
    </xf>
    <xf numFmtId="0" fontId="9" fillId="0" borderId="0" xfId="0" applyFont="1" applyAlignment="1">
      <alignment horizontal="center"/>
    </xf>
    <xf numFmtId="43" fontId="2" fillId="2" borderId="0" xfId="0" applyNumberFormat="1" applyFont="1" applyFill="1"/>
    <xf numFmtId="170" fontId="0" fillId="0" borderId="3" xfId="190" applyNumberFormat="1" applyFont="1" applyFill="1" applyBorder="1"/>
    <xf numFmtId="43" fontId="0" fillId="0" borderId="1" xfId="190" applyNumberFormat="1" applyFont="1" applyFill="1" applyBorder="1"/>
    <xf numFmtId="0" fontId="0" fillId="0" borderId="0" xfId="0" applyAlignment="1">
      <alignment horizontal="left"/>
    </xf>
    <xf numFmtId="10" fontId="0" fillId="0" borderId="0" xfId="1" applyNumberFormat="1" applyFont="1" applyFill="1" applyBorder="1"/>
    <xf numFmtId="169" fontId="2" fillId="0" borderId="0" xfId="190" applyNumberFormat="1" applyFont="1"/>
    <xf numFmtId="176" fontId="3" fillId="0" borderId="0" xfId="0" applyNumberFormat="1" applyFont="1" applyAlignment="1">
      <alignment horizontal="center" vertical="center"/>
    </xf>
    <xf numFmtId="177" fontId="4" fillId="0" borderId="0" xfId="0" applyNumberFormat="1" applyFont="1" applyAlignment="1">
      <alignment horizontal="left"/>
    </xf>
    <xf numFmtId="15" fontId="10" fillId="0" borderId="16" xfId="0" applyNumberFormat="1" applyFont="1" applyBorder="1" applyAlignment="1">
      <alignment horizontal="center"/>
    </xf>
    <xf numFmtId="15" fontId="10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9" fontId="2" fillId="0" borderId="2" xfId="1" applyFont="1" applyBorder="1" applyAlignment="1">
      <alignment horizontal="center" vertical="top" wrapText="1"/>
    </xf>
    <xf numFmtId="0" fontId="0" fillId="0" borderId="0" xfId="0" applyAlignment="1">
      <alignment vertical="top" wrapText="1"/>
    </xf>
    <xf numFmtId="15" fontId="11" fillId="3" borderId="0" xfId="0" applyNumberFormat="1" applyFont="1" applyFill="1" applyAlignment="1">
      <alignment horizontal="center"/>
    </xf>
    <xf numFmtId="174" fontId="3" fillId="0" borderId="17" xfId="3" applyNumberFormat="1" applyFont="1" applyBorder="1" applyAlignment="1">
      <alignment horizontal="center" vertical="center"/>
    </xf>
    <xf numFmtId="172" fontId="3" fillId="0" borderId="17" xfId="1" applyNumberFormat="1" applyFont="1" applyBorder="1" applyAlignment="1">
      <alignment horizontal="center" vertical="center"/>
    </xf>
    <xf numFmtId="165" fontId="3" fillId="0" borderId="17" xfId="3" applyFont="1" applyBorder="1" applyAlignment="1">
      <alignment horizontal="center" vertical="center"/>
    </xf>
    <xf numFmtId="167" fontId="12" fillId="0" borderId="17" xfId="190" applyNumberFormat="1" applyFont="1" applyFill="1" applyBorder="1" applyAlignment="1">
      <alignment horizontal="center" vertical="center"/>
    </xf>
    <xf numFmtId="172" fontId="12" fillId="0" borderId="17" xfId="1" applyNumberFormat="1" applyFont="1" applyFill="1" applyBorder="1" applyAlignment="1">
      <alignment horizontal="center" vertical="center"/>
    </xf>
    <xf numFmtId="178" fontId="3" fillId="0" borderId="17" xfId="3" applyNumberFormat="1" applyFont="1" applyBorder="1" applyAlignment="1">
      <alignment horizontal="center" vertical="center"/>
    </xf>
    <xf numFmtId="165" fontId="3" fillId="3" borderId="17" xfId="3" applyFont="1" applyFill="1" applyBorder="1" applyAlignment="1">
      <alignment horizontal="center" vertical="center"/>
    </xf>
    <xf numFmtId="9" fontId="3" fillId="0" borderId="17" xfId="1" applyFont="1" applyBorder="1" applyAlignment="1">
      <alignment horizontal="center" vertical="center"/>
    </xf>
    <xf numFmtId="179" fontId="3" fillId="0" borderId="17" xfId="3" applyNumberFormat="1" applyFont="1" applyBorder="1" applyAlignment="1">
      <alignment horizontal="center" vertical="center"/>
    </xf>
    <xf numFmtId="167" fontId="3" fillId="0" borderId="17" xfId="190" applyNumberFormat="1" applyFont="1" applyBorder="1" applyAlignment="1">
      <alignment horizontal="center" vertical="center"/>
    </xf>
    <xf numFmtId="43" fontId="0" fillId="11" borderId="0" xfId="190" applyNumberFormat="1" applyFont="1" applyFill="1"/>
    <xf numFmtId="43" fontId="0" fillId="5" borderId="0" xfId="0" applyNumberFormat="1" applyFill="1"/>
    <xf numFmtId="0" fontId="0" fillId="0" borderId="38" xfId="0" applyBorder="1"/>
    <xf numFmtId="0" fontId="2" fillId="0" borderId="14" xfId="0" applyFont="1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4" fontId="0" fillId="0" borderId="19" xfId="0" applyNumberForma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4" xfId="0" applyBorder="1" applyAlignment="1">
      <alignment horizontal="center"/>
    </xf>
    <xf numFmtId="0" fontId="80" fillId="0" borderId="0" xfId="0" applyFont="1"/>
    <xf numFmtId="14" fontId="80" fillId="0" borderId="39" xfId="0" applyNumberFormat="1" applyFont="1" applyBorder="1" applyAlignment="1">
      <alignment horizontal="center"/>
    </xf>
    <xf numFmtId="4" fontId="80" fillId="0" borderId="39" xfId="0" applyNumberFormat="1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4" fontId="0" fillId="0" borderId="0" xfId="0" applyNumberFormat="1" applyAlignment="1">
      <alignment horizontal="center"/>
    </xf>
    <xf numFmtId="4" fontId="0" fillId="0" borderId="0" xfId="0" applyNumberFormat="1"/>
    <xf numFmtId="1" fontId="0" fillId="0" borderId="0" xfId="0" applyNumberFormat="1" applyAlignment="1">
      <alignment horizontal="center"/>
    </xf>
    <xf numFmtId="4" fontId="2" fillId="0" borderId="15" xfId="0" applyNumberFormat="1" applyFont="1" applyBorder="1" applyAlignment="1">
      <alignment horizontal="center"/>
    </xf>
    <xf numFmtId="168" fontId="0" fillId="10" borderId="0" xfId="190" applyNumberFormat="1" applyFont="1" applyFill="1"/>
    <xf numFmtId="180" fontId="7" fillId="3" borderId="0" xfId="190" applyNumberFormat="1" applyFont="1" applyFill="1"/>
    <xf numFmtId="11" fontId="80" fillId="0" borderId="0" xfId="0" applyNumberFormat="1" applyFont="1"/>
    <xf numFmtId="0" fontId="2" fillId="0" borderId="1" xfId="0" applyFont="1" applyBorder="1"/>
    <xf numFmtId="0" fontId="2" fillId="0" borderId="38" xfId="0" applyFont="1" applyBorder="1" applyAlignment="1">
      <alignment horizontal="left" vertical="top"/>
    </xf>
    <xf numFmtId="0" fontId="0" fillId="0" borderId="19" xfId="0" applyBorder="1" applyAlignment="1">
      <alignment horizontal="center"/>
    </xf>
    <xf numFmtId="0" fontId="81" fillId="79" borderId="39" xfId="0" applyFont="1" applyFill="1" applyBorder="1" applyAlignment="1">
      <alignment horizontal="center"/>
    </xf>
    <xf numFmtId="0" fontId="81" fillId="14" borderId="39" xfId="0" applyFont="1" applyFill="1" applyBorder="1" applyAlignment="1">
      <alignment horizontal="center"/>
    </xf>
    <xf numFmtId="170" fontId="0" fillId="0" borderId="0" xfId="190" applyNumberFormat="1" applyFont="1" applyFill="1" applyBorder="1"/>
    <xf numFmtId="166" fontId="2" fillId="0" borderId="15" xfId="190" applyNumberFormat="1" applyFont="1" applyBorder="1" applyAlignment="1">
      <alignment horizontal="center"/>
    </xf>
    <xf numFmtId="166" fontId="0" fillId="0" borderId="0" xfId="190" applyNumberFormat="1" applyFont="1" applyAlignment="1">
      <alignment horizontal="center"/>
    </xf>
    <xf numFmtId="166" fontId="2" fillId="0" borderId="0" xfId="190" applyNumberFormat="1" applyFont="1" applyAlignment="1">
      <alignment horizontal="center"/>
    </xf>
    <xf numFmtId="172" fontId="0" fillId="4" borderId="0" xfId="0" applyNumberFormat="1" applyFill="1"/>
    <xf numFmtId="14" fontId="0" fillId="2" borderId="19" xfId="0" applyNumberFormat="1" applyFill="1" applyBorder="1" applyAlignment="1">
      <alignment horizontal="center"/>
    </xf>
    <xf numFmtId="167" fontId="5" fillId="6" borderId="0" xfId="0" applyNumberFormat="1" applyFont="1" applyFill="1"/>
    <xf numFmtId="165" fontId="0" fillId="0" borderId="0" xfId="0" applyNumberFormat="1"/>
    <xf numFmtId="3" fontId="0" fillId="0" borderId="0" xfId="0" applyNumberFormat="1" applyAlignment="1">
      <alignment horizontal="center"/>
    </xf>
    <xf numFmtId="10" fontId="2" fillId="0" borderId="0" xfId="0" applyNumberFormat="1" applyFont="1" applyAlignment="1">
      <alignment horizontal="center"/>
    </xf>
    <xf numFmtId="170" fontId="0" fillId="0" borderId="0" xfId="1" applyNumberFormat="1" applyFont="1" applyFill="1"/>
    <xf numFmtId="3" fontId="0" fillId="0" borderId="0" xfId="190" applyNumberFormat="1" applyFont="1"/>
    <xf numFmtId="192" fontId="0" fillId="0" borderId="0" xfId="190" applyNumberFormat="1" applyFont="1"/>
    <xf numFmtId="4" fontId="0" fillId="5" borderId="0" xfId="190" applyFont="1" applyFill="1" applyAlignment="1">
      <alignment horizontal="right"/>
    </xf>
    <xf numFmtId="4" fontId="0" fillId="0" borderId="0" xfId="190" applyFont="1" applyFill="1" applyAlignment="1">
      <alignment horizontal="right"/>
    </xf>
    <xf numFmtId="4" fontId="2" fillId="0" borderId="0" xfId="190" applyFont="1" applyAlignment="1">
      <alignment horizontal="right" vertical="top" wrapText="1"/>
    </xf>
    <xf numFmtId="4" fontId="1" fillId="4" borderId="0" xfId="190" applyFont="1" applyFill="1" applyAlignment="1">
      <alignment horizontal="right"/>
    </xf>
    <xf numFmtId="4" fontId="1" fillId="0" borderId="0" xfId="190" applyFont="1" applyFill="1" applyAlignment="1">
      <alignment horizontal="right"/>
    </xf>
    <xf numFmtId="4" fontId="0" fillId="0" borderId="0" xfId="190" applyFont="1" applyAlignment="1">
      <alignment horizontal="right"/>
    </xf>
    <xf numFmtId="0" fontId="2" fillId="0" borderId="15" xfId="0" applyFont="1" applyBorder="1" applyAlignment="1">
      <alignment horizontal="left"/>
    </xf>
    <xf numFmtId="4" fontId="0" fillId="0" borderId="0" xfId="190" applyFont="1"/>
    <xf numFmtId="4" fontId="0" fillId="0" borderId="0" xfId="190" applyFont="1" applyFill="1"/>
    <xf numFmtId="172" fontId="0" fillId="0" borderId="0" xfId="1" applyNumberFormat="1" applyFont="1" applyBorder="1"/>
    <xf numFmtId="194" fontId="0" fillId="0" borderId="0" xfId="190" applyNumberFormat="1" applyFont="1"/>
    <xf numFmtId="4" fontId="5" fillId="6" borderId="0" xfId="190" applyFont="1" applyFill="1"/>
    <xf numFmtId="0" fontId="83" fillId="0" borderId="0" xfId="0" applyFont="1" applyAlignment="1">
      <alignment horizontal="left"/>
    </xf>
    <xf numFmtId="172" fontId="83" fillId="0" borderId="0" xfId="1" applyNumberFormat="1" applyFont="1" applyFill="1"/>
    <xf numFmtId="10" fontId="83" fillId="0" borderId="0" xfId="1" applyNumberFormat="1" applyFont="1" applyFill="1"/>
    <xf numFmtId="43" fontId="83" fillId="0" borderId="0" xfId="190" applyNumberFormat="1" applyFont="1"/>
    <xf numFmtId="0" fontId="83" fillId="0" borderId="0" xfId="0" applyFont="1"/>
    <xf numFmtId="169" fontId="83" fillId="0" borderId="0" xfId="0" applyNumberFormat="1" applyFont="1"/>
    <xf numFmtId="170" fontId="84" fillId="0" borderId="0" xfId="190" applyNumberFormat="1" applyFont="1"/>
    <xf numFmtId="0" fontId="84" fillId="0" borderId="0" xfId="0" applyFont="1" applyAlignment="1">
      <alignment horizontal="left"/>
    </xf>
    <xf numFmtId="10" fontId="84" fillId="0" borderId="0" xfId="1" applyNumberFormat="1" applyFont="1" applyFill="1"/>
    <xf numFmtId="10" fontId="83" fillId="0" borderId="0" xfId="1" applyNumberFormat="1" applyFont="1"/>
    <xf numFmtId="172" fontId="84" fillId="8" borderId="2" xfId="1" applyNumberFormat="1" applyFont="1" applyFill="1" applyBorder="1" applyAlignment="1">
      <alignment horizontal="left"/>
    </xf>
    <xf numFmtId="172" fontId="84" fillId="8" borderId="2" xfId="1" applyNumberFormat="1" applyFont="1" applyFill="1" applyBorder="1"/>
    <xf numFmtId="10" fontId="84" fillId="8" borderId="2" xfId="1" applyNumberFormat="1" applyFont="1" applyFill="1" applyBorder="1"/>
    <xf numFmtId="10" fontId="84" fillId="8" borderId="2" xfId="1" applyNumberFormat="1" applyFont="1" applyFill="1" applyBorder="1" applyAlignment="1">
      <alignment horizontal="center"/>
    </xf>
    <xf numFmtId="10" fontId="84" fillId="8" borderId="0" xfId="1" applyNumberFormat="1" applyFont="1" applyFill="1" applyBorder="1"/>
    <xf numFmtId="172" fontId="83" fillId="0" borderId="0" xfId="1" applyNumberFormat="1" applyFont="1" applyFill="1" applyAlignment="1">
      <alignment horizontal="left"/>
    </xf>
    <xf numFmtId="170" fontId="83" fillId="0" borderId="0" xfId="0" applyNumberFormat="1" applyFont="1" applyAlignment="1">
      <alignment wrapText="1"/>
    </xf>
    <xf numFmtId="172" fontId="84" fillId="3" borderId="0" xfId="1" applyNumberFormat="1" applyFont="1" applyFill="1" applyAlignment="1">
      <alignment horizontal="left"/>
    </xf>
    <xf numFmtId="172" fontId="84" fillId="3" borderId="0" xfId="1" applyNumberFormat="1" applyFont="1" applyFill="1"/>
    <xf numFmtId="170" fontId="84" fillId="3" borderId="0" xfId="0" applyNumberFormat="1" applyFont="1" applyFill="1" applyAlignment="1">
      <alignment wrapText="1"/>
    </xf>
    <xf numFmtId="10" fontId="84" fillId="3" borderId="0" xfId="1" applyNumberFormat="1" applyFont="1" applyFill="1"/>
    <xf numFmtId="10" fontId="84" fillId="0" borderId="0" xfId="1" applyNumberFormat="1" applyFont="1"/>
    <xf numFmtId="0" fontId="84" fillId="0" borderId="0" xfId="0" applyFont="1"/>
    <xf numFmtId="169" fontId="84" fillId="0" borderId="0" xfId="0" applyNumberFormat="1" applyFont="1"/>
    <xf numFmtId="172" fontId="84" fillId="0" borderId="0" xfId="1" applyNumberFormat="1" applyFont="1" applyFill="1" applyAlignment="1">
      <alignment horizontal="left"/>
    </xf>
    <xf numFmtId="172" fontId="84" fillId="0" borderId="0" xfId="1" applyNumberFormat="1" applyFont="1" applyFill="1"/>
    <xf numFmtId="168" fontId="84" fillId="0" borderId="0" xfId="190" applyNumberFormat="1" applyFont="1" applyFill="1"/>
    <xf numFmtId="172" fontId="84" fillId="0" borderId="4" xfId="1" applyNumberFormat="1" applyFont="1" applyFill="1" applyBorder="1" applyAlignment="1">
      <alignment horizontal="left"/>
    </xf>
    <xf numFmtId="172" fontId="84" fillId="0" borderId="4" xfId="1" applyNumberFormat="1" applyFont="1" applyFill="1" applyBorder="1"/>
    <xf numFmtId="168" fontId="84" fillId="0" borderId="4" xfId="190" applyNumberFormat="1" applyFont="1" applyFill="1" applyBorder="1"/>
    <xf numFmtId="10" fontId="84" fillId="0" borderId="4" xfId="1" applyNumberFormat="1" applyFont="1" applyFill="1" applyBorder="1"/>
    <xf numFmtId="10" fontId="84" fillId="0" borderId="0" xfId="1" applyNumberFormat="1" applyFont="1" applyFill="1" applyBorder="1"/>
    <xf numFmtId="14" fontId="84" fillId="0" borderId="0" xfId="0" applyNumberFormat="1" applyFont="1" applyAlignment="1">
      <alignment horizontal="left"/>
    </xf>
    <xf numFmtId="172" fontId="83" fillId="0" borderId="0" xfId="0" applyNumberFormat="1" applyFont="1" applyAlignment="1">
      <alignment horizontal="center" vertical="center" wrapText="1"/>
    </xf>
    <xf numFmtId="10" fontId="83" fillId="0" borderId="0" xfId="0" applyNumberFormat="1" applyFont="1"/>
    <xf numFmtId="0" fontId="85" fillId="0" borderId="0" xfId="0" applyFont="1"/>
    <xf numFmtId="169" fontId="84" fillId="0" borderId="0" xfId="190" applyNumberFormat="1" applyFont="1"/>
    <xf numFmtId="170" fontId="84" fillId="2" borderId="0" xfId="190" applyNumberFormat="1" applyFont="1" applyFill="1"/>
    <xf numFmtId="168" fontId="83" fillId="0" borderId="0" xfId="190" applyNumberFormat="1" applyFont="1" applyFill="1"/>
    <xf numFmtId="0" fontId="0" fillId="12" borderId="0" xfId="0" applyFill="1"/>
    <xf numFmtId="4" fontId="0" fillId="4" borderId="0" xfId="190" applyFont="1" applyFill="1"/>
    <xf numFmtId="194" fontId="0" fillId="4" borderId="0" xfId="190" applyNumberFormat="1" applyFont="1" applyFill="1"/>
    <xf numFmtId="194" fontId="0" fillId="0" borderId="0" xfId="190" applyNumberFormat="1" applyFont="1" applyFill="1"/>
    <xf numFmtId="4" fontId="0" fillId="5" borderId="0" xfId="190" applyFont="1" applyFill="1"/>
    <xf numFmtId="4" fontId="2" fillId="0" borderId="0" xfId="190" applyFont="1" applyAlignment="1">
      <alignment horizontal="center" vertical="top" wrapText="1"/>
    </xf>
    <xf numFmtId="4" fontId="0" fillId="2" borderId="0" xfId="0" applyNumberFormat="1" applyFill="1" applyAlignment="1">
      <alignment horizontal="center"/>
    </xf>
    <xf numFmtId="0" fontId="87" fillId="0" borderId="0" xfId="0" applyFont="1"/>
    <xf numFmtId="14" fontId="86" fillId="0" borderId="0" xfId="0" applyNumberFormat="1" applyFont="1"/>
    <xf numFmtId="0" fontId="86" fillId="0" borderId="0" xfId="0" applyFont="1"/>
    <xf numFmtId="3" fontId="86" fillId="0" borderId="0" xfId="0" applyNumberFormat="1" applyFont="1"/>
    <xf numFmtId="179" fontId="0" fillId="0" borderId="0" xfId="0" applyNumberFormat="1"/>
    <xf numFmtId="179" fontId="0" fillId="5" borderId="0" xfId="0" applyNumberFormat="1" applyFill="1"/>
    <xf numFmtId="179" fontId="2" fillId="0" borderId="0" xfId="0" applyNumberFormat="1" applyFont="1" applyAlignment="1">
      <alignment horizontal="center" vertical="top" wrapText="1"/>
    </xf>
    <xf numFmtId="4" fontId="24" fillId="4" borderId="0" xfId="190" applyFont="1" applyFill="1"/>
    <xf numFmtId="3" fontId="0" fillId="0" borderId="0" xfId="190" applyNumberFormat="1" applyFont="1" applyFill="1"/>
    <xf numFmtId="4" fontId="0" fillId="2" borderId="0" xfId="190" applyFont="1" applyFill="1"/>
    <xf numFmtId="0" fontId="0" fillId="80" borderId="0" xfId="0" applyFill="1"/>
    <xf numFmtId="10" fontId="0" fillId="80" borderId="0" xfId="0" applyNumberFormat="1" applyFill="1"/>
    <xf numFmtId="170" fontId="0" fillId="80" borderId="0" xfId="190" applyNumberFormat="1" applyFont="1" applyFill="1"/>
    <xf numFmtId="10" fontId="2" fillId="81" borderId="0" xfId="0" applyNumberFormat="1" applyFont="1" applyFill="1"/>
    <xf numFmtId="170" fontId="2" fillId="81" borderId="0" xfId="190" applyNumberFormat="1" applyFont="1" applyFill="1"/>
    <xf numFmtId="10" fontId="1" fillId="81" borderId="2" xfId="1" applyNumberFormat="1" applyFont="1" applyFill="1" applyBorder="1"/>
    <xf numFmtId="170" fontId="1" fillId="81" borderId="3" xfId="190" applyNumberFormat="1" applyFont="1" applyFill="1" applyBorder="1"/>
    <xf numFmtId="2" fontId="0" fillId="4" borderId="0" xfId="0" applyNumberFormat="1" applyFill="1"/>
    <xf numFmtId="10" fontId="0" fillId="82" borderId="0" xfId="1" applyNumberFormat="1" applyFont="1" applyFill="1"/>
    <xf numFmtId="166" fontId="0" fillId="11" borderId="0" xfId="190" applyNumberFormat="1" applyFont="1" applyFill="1"/>
    <xf numFmtId="193" fontId="0" fillId="2" borderId="0" xfId="0" applyNumberFormat="1" applyFill="1"/>
    <xf numFmtId="9" fontId="0" fillId="0" borderId="0" xfId="1" applyFont="1" applyFill="1"/>
    <xf numFmtId="9" fontId="2" fillId="0" borderId="0" xfId="1" applyFont="1" applyFill="1" applyAlignment="1">
      <alignment horizontal="center" vertical="top" wrapText="1"/>
    </xf>
    <xf numFmtId="9" fontId="0" fillId="4" borderId="0" xfId="1" applyFont="1" applyFill="1"/>
    <xf numFmtId="172" fontId="0" fillId="83" borderId="0" xfId="1" applyNumberFormat="1" applyFont="1" applyFill="1"/>
    <xf numFmtId="169" fontId="0" fillId="4" borderId="0" xfId="190" applyNumberFormat="1" applyFont="1" applyFill="1"/>
    <xf numFmtId="169" fontId="0" fillId="0" borderId="0" xfId="190" applyNumberFormat="1" applyFont="1" applyFill="1"/>
    <xf numFmtId="4" fontId="24" fillId="0" borderId="0" xfId="190" applyFont="1" applyFill="1"/>
    <xf numFmtId="196" fontId="0" fillId="0" borderId="0" xfId="1" applyNumberFormat="1" applyFont="1" applyFill="1"/>
    <xf numFmtId="9" fontId="0" fillId="3" borderId="0" xfId="0" applyNumberFormat="1" applyFill="1"/>
    <xf numFmtId="172" fontId="0" fillId="3" borderId="0" xfId="0" applyNumberFormat="1" applyFill="1"/>
    <xf numFmtId="172" fontId="0" fillId="9" borderId="0" xfId="1" applyNumberFormat="1" applyFont="1" applyFill="1"/>
    <xf numFmtId="9" fontId="0" fillId="0" borderId="0" xfId="1" applyFont="1" applyAlignment="1">
      <alignment horizontal="center"/>
    </xf>
    <xf numFmtId="0" fontId="80" fillId="0" borderId="0" xfId="0" applyFont="1" applyAlignment="1">
      <alignment horizontal="center"/>
    </xf>
    <xf numFmtId="170" fontId="0" fillId="3" borderId="0" xfId="190" applyNumberFormat="1" applyFont="1" applyFill="1"/>
    <xf numFmtId="10" fontId="83" fillId="0" borderId="0" xfId="0" applyNumberFormat="1" applyFont="1" applyAlignment="1">
      <alignment horizontal="center" vertical="center" wrapText="1"/>
    </xf>
    <xf numFmtId="0" fontId="83" fillId="0" borderId="0" xfId="0" applyFont="1" applyAlignment="1">
      <alignment horizontal="center" vertical="center" wrapText="1"/>
    </xf>
    <xf numFmtId="10" fontId="83" fillId="0" borderId="0" xfId="1" applyNumberFormat="1" applyFont="1" applyAlignment="1">
      <alignment horizontal="center" vertical="center" wrapText="1"/>
    </xf>
    <xf numFmtId="170" fontId="84" fillId="0" borderId="0" xfId="190" applyNumberFormat="1" applyFont="1" applyAlignment="1">
      <alignment horizontal="center" vertical="center" wrapText="1"/>
    </xf>
    <xf numFmtId="4" fontId="0" fillId="10" borderId="0" xfId="190" applyFont="1" applyFill="1"/>
    <xf numFmtId="14" fontId="80" fillId="0" borderId="0" xfId="0" applyNumberFormat="1" applyFont="1"/>
    <xf numFmtId="172" fontId="88" fillId="0" borderId="0" xfId="0" applyNumberFormat="1" applyFont="1"/>
    <xf numFmtId="10" fontId="88" fillId="0" borderId="0" xfId="0" applyNumberFormat="1" applyFont="1"/>
    <xf numFmtId="0" fontId="88" fillId="0" borderId="0" xfId="0" applyFont="1" applyAlignment="1">
      <alignment horizontal="left" indent="1"/>
    </xf>
    <xf numFmtId="170" fontId="88" fillId="0" borderId="0" xfId="0" applyNumberFormat="1" applyFont="1"/>
    <xf numFmtId="3" fontId="0" fillId="0" borderId="0" xfId="190" applyNumberFormat="1" applyFont="1" applyFill="1" applyAlignment="1">
      <alignment horizontal="center"/>
    </xf>
    <xf numFmtId="0" fontId="84" fillId="0" borderId="40" xfId="0" applyFont="1" applyBorder="1" applyAlignment="1">
      <alignment horizontal="left"/>
    </xf>
    <xf numFmtId="172" fontId="84" fillId="0" borderId="40" xfId="0" applyNumberFormat="1" applyFont="1" applyBorder="1"/>
    <xf numFmtId="170" fontId="84" fillId="0" borderId="40" xfId="0" applyNumberFormat="1" applyFont="1" applyBorder="1"/>
    <xf numFmtId="10" fontId="84" fillId="0" borderId="40" xfId="0" applyNumberFormat="1" applyFont="1" applyBorder="1"/>
    <xf numFmtId="0" fontId="84" fillId="84" borderId="41" xfId="0" applyFont="1" applyFill="1" applyBorder="1" applyAlignment="1">
      <alignment horizontal="left"/>
    </xf>
    <xf numFmtId="172" fontId="84" fillId="84" borderId="41" xfId="0" applyNumberFormat="1" applyFont="1" applyFill="1" applyBorder="1"/>
    <xf numFmtId="170" fontId="84" fillId="84" borderId="41" xfId="0" applyNumberFormat="1" applyFont="1" applyFill="1" applyBorder="1"/>
    <xf numFmtId="10" fontId="84" fillId="84" borderId="41" xfId="0" applyNumberFormat="1" applyFont="1" applyFill="1" applyBorder="1"/>
    <xf numFmtId="0" fontId="0" fillId="10" borderId="0" xfId="0" applyFill="1"/>
    <xf numFmtId="3" fontId="2" fillId="0" borderId="0" xfId="190" applyNumberFormat="1" applyFont="1" applyFill="1" applyAlignment="1">
      <alignment horizontal="center" vertical="top" wrapText="1"/>
    </xf>
    <xf numFmtId="17" fontId="0" fillId="0" borderId="0" xfId="0" applyNumberFormat="1"/>
    <xf numFmtId="194" fontId="0" fillId="13" borderId="0" xfId="190" applyNumberFormat="1" applyFont="1" applyFill="1"/>
    <xf numFmtId="0" fontId="2" fillId="13" borderId="4" xfId="0" applyFont="1" applyFill="1" applyBorder="1" applyAlignment="1">
      <alignment horizontal="center" vertical="top" wrapText="1"/>
    </xf>
    <xf numFmtId="181" fontId="0" fillId="13" borderId="0" xfId="0" applyNumberFormat="1" applyFill="1"/>
    <xf numFmtId="16" fontId="2" fillId="0" borderId="0" xfId="0" applyNumberFormat="1" applyFont="1"/>
    <xf numFmtId="165" fontId="0" fillId="2" borderId="0" xfId="4419" applyFont="1" applyFill="1"/>
    <xf numFmtId="172" fontId="0" fillId="0" borderId="0" xfId="4420" applyNumberFormat="1" applyFont="1"/>
    <xf numFmtId="10" fontId="2" fillId="0" borderId="0" xfId="4420" applyNumberFormat="1" applyFont="1"/>
    <xf numFmtId="10" fontId="0" fillId="0" borderId="0" xfId="4420" applyNumberFormat="1" applyFont="1"/>
    <xf numFmtId="10" fontId="98" fillId="0" borderId="0" xfId="0" applyNumberFormat="1" applyFont="1"/>
    <xf numFmtId="2" fontId="90" fillId="0" borderId="0" xfId="0" applyNumberFormat="1" applyFont="1"/>
    <xf numFmtId="172" fontId="90" fillId="0" borderId="0" xfId="4420" applyNumberFormat="1" applyFont="1"/>
    <xf numFmtId="168" fontId="0" fillId="0" borderId="0" xfId="4419" applyNumberFormat="1" applyFont="1"/>
    <xf numFmtId="0" fontId="98" fillId="0" borderId="0" xfId="0" applyFont="1"/>
    <xf numFmtId="173" fontId="0" fillId="0" borderId="0" xfId="4420" applyNumberFormat="1" applyFont="1"/>
    <xf numFmtId="178" fontId="0" fillId="0" borderId="0" xfId="0" applyNumberFormat="1"/>
    <xf numFmtId="178" fontId="0" fillId="0" borderId="0" xfId="4419" applyNumberFormat="1" applyFont="1"/>
    <xf numFmtId="165" fontId="0" fillId="0" borderId="0" xfId="4419" applyFont="1"/>
    <xf numFmtId="166" fontId="0" fillId="2" borderId="0" xfId="190" applyNumberFormat="1" applyFont="1" applyFill="1"/>
    <xf numFmtId="43" fontId="82" fillId="2" borderId="0" xfId="190" applyNumberFormat="1" applyFont="1" applyFill="1"/>
    <xf numFmtId="43" fontId="82" fillId="11" borderId="0" xfId="190" applyNumberFormat="1" applyFont="1" applyFill="1"/>
    <xf numFmtId="3" fontId="82" fillId="2" borderId="0" xfId="190" applyNumberFormat="1" applyFont="1" applyFill="1"/>
    <xf numFmtId="3" fontId="0" fillId="0" borderId="0" xfId="0" applyNumberFormat="1"/>
    <xf numFmtId="4" fontId="82" fillId="4" borderId="0" xfId="190" applyFont="1" applyFill="1"/>
    <xf numFmtId="4" fontId="82" fillId="0" borderId="0" xfId="190" applyFont="1" applyFill="1"/>
    <xf numFmtId="4" fontId="82" fillId="2" borderId="0" xfId="190" applyFont="1" applyFill="1"/>
    <xf numFmtId="10" fontId="0" fillId="10" borderId="0" xfId="1" applyNumberFormat="1" applyFont="1" applyFill="1"/>
    <xf numFmtId="43" fontId="0" fillId="0" borderId="0" xfId="190" quotePrefix="1" applyNumberFormat="1" applyFont="1" applyFill="1"/>
    <xf numFmtId="2" fontId="0" fillId="0" borderId="0" xfId="0" applyNumberFormat="1"/>
    <xf numFmtId="169" fontId="0" fillId="0" borderId="0" xfId="0" applyNumberFormat="1"/>
    <xf numFmtId="196" fontId="7" fillId="3" borderId="0" xfId="1" applyNumberFormat="1" applyFont="1" applyFill="1"/>
    <xf numFmtId="168" fontId="2" fillId="0" borderId="4" xfId="190" applyNumberFormat="1" applyFont="1" applyFill="1" applyBorder="1" applyAlignment="1">
      <alignment horizontal="center" vertical="top" wrapText="1"/>
    </xf>
    <xf numFmtId="0" fontId="2" fillId="0" borderId="5" xfId="0" applyFont="1" applyBorder="1" applyAlignment="1">
      <alignment horizontal="center" vertical="top" wrapText="1"/>
    </xf>
    <xf numFmtId="43" fontId="2" fillId="0" borderId="4" xfId="190" applyNumberFormat="1" applyFont="1" applyFill="1" applyBorder="1" applyAlignment="1">
      <alignment horizontal="center" vertical="top" wrapText="1"/>
    </xf>
    <xf numFmtId="43" fontId="2" fillId="0" borderId="5" xfId="190" applyNumberFormat="1" applyFont="1" applyFill="1" applyBorder="1" applyAlignment="1">
      <alignment horizontal="center" vertical="top" wrapText="1"/>
    </xf>
    <xf numFmtId="10" fontId="2" fillId="0" borderId="4" xfId="1" applyNumberFormat="1" applyFont="1" applyFill="1" applyBorder="1" applyAlignment="1">
      <alignment horizontal="center" vertical="top" wrapText="1"/>
    </xf>
    <xf numFmtId="173" fontId="2" fillId="0" borderId="4" xfId="1" applyNumberFormat="1" applyFont="1" applyFill="1" applyBorder="1" applyAlignment="1">
      <alignment horizontal="center" vertical="top" wrapText="1"/>
    </xf>
    <xf numFmtId="172" fontId="0" fillId="2" borderId="0" xfId="1" applyNumberFormat="1" applyFont="1" applyFill="1"/>
    <xf numFmtId="9" fontId="0" fillId="2" borderId="0" xfId="1" applyFont="1" applyFill="1"/>
    <xf numFmtId="194" fontId="0" fillId="2" borderId="0" xfId="190" applyNumberFormat="1" applyFont="1" applyFill="1"/>
    <xf numFmtId="171" fontId="0" fillId="0" borderId="0" xfId="190" applyNumberFormat="1" applyFont="1" applyFill="1"/>
    <xf numFmtId="171" fontId="0" fillId="4" borderId="0" xfId="190" applyNumberFormat="1" applyFont="1" applyFill="1"/>
    <xf numFmtId="0" fontId="84" fillId="88" borderId="0" xfId="0" applyFont="1" applyFill="1" applyAlignment="1">
      <alignment horizontal="left" indent="1"/>
    </xf>
    <xf numFmtId="43" fontId="0" fillId="0" borderId="19" xfId="190" applyNumberFormat="1" applyFont="1" applyFill="1" applyBorder="1" applyAlignment="1">
      <alignment horizontal="right"/>
    </xf>
    <xf numFmtId="43" fontId="2" fillId="0" borderId="45" xfId="190" applyNumberFormat="1" applyFont="1" applyFill="1" applyBorder="1" applyAlignment="1">
      <alignment horizontal="center" vertical="top" wrapText="1"/>
    </xf>
    <xf numFmtId="181" fontId="2" fillId="88" borderId="0" xfId="0" applyNumberFormat="1" applyFont="1" applyFill="1" applyAlignment="1">
      <alignment horizontal="center"/>
    </xf>
    <xf numFmtId="0" fontId="12" fillId="0" borderId="0" xfId="0" applyFont="1" applyAlignment="1">
      <alignment horizontal="center"/>
    </xf>
    <xf numFmtId="14" fontId="12" fillId="0" borderId="0" xfId="0" applyNumberFormat="1" applyFont="1" applyAlignment="1">
      <alignment horizontal="center"/>
    </xf>
    <xf numFmtId="10" fontId="0" fillId="0" borderId="0" xfId="1" applyNumberFormat="1" applyFont="1" applyFill="1" applyAlignment="1">
      <alignment horizontal="center"/>
    </xf>
    <xf numFmtId="195" fontId="0" fillId="0" borderId="0" xfId="0" applyNumberFormat="1"/>
    <xf numFmtId="166" fontId="0" fillId="0" borderId="0" xfId="0" applyNumberFormat="1" applyAlignment="1">
      <alignment horizontal="right"/>
    </xf>
    <xf numFmtId="0" fontId="0" fillId="81" borderId="2" xfId="0" applyFill="1" applyBorder="1"/>
    <xf numFmtId="4" fontId="12" fillId="89" borderId="18" xfId="190" applyFont="1" applyFill="1" applyBorder="1" applyAlignment="1">
      <alignment horizontal="center"/>
    </xf>
    <xf numFmtId="2" fontId="12" fillId="89" borderId="18" xfId="0" applyNumberFormat="1" applyFont="1" applyFill="1" applyBorder="1" applyAlignment="1">
      <alignment horizontal="center"/>
    </xf>
    <xf numFmtId="168" fontId="0" fillId="2" borderId="0" xfId="0" applyNumberFormat="1" applyFill="1"/>
    <xf numFmtId="10" fontId="2" fillId="0" borderId="0" xfId="0" applyNumberFormat="1" applyFont="1"/>
    <xf numFmtId="194" fontId="2" fillId="0" borderId="0" xfId="190" applyNumberFormat="1" applyFont="1"/>
    <xf numFmtId="9" fontId="0" fillId="0" borderId="0" xfId="0" applyNumberFormat="1"/>
    <xf numFmtId="0" fontId="0" fillId="6" borderId="0" xfId="0" applyFill="1"/>
    <xf numFmtId="10" fontId="0" fillId="6" borderId="0" xfId="0" applyNumberFormat="1" applyFill="1"/>
    <xf numFmtId="4" fontId="0" fillId="6" borderId="0" xfId="190" applyFont="1" applyFill="1"/>
    <xf numFmtId="194" fontId="0" fillId="6" borderId="0" xfId="190" applyNumberFormat="1" applyFont="1" applyFill="1"/>
    <xf numFmtId="9" fontId="0" fillId="6" borderId="0" xfId="1" applyFont="1" applyFill="1"/>
    <xf numFmtId="0" fontId="2" fillId="6" borderId="0" xfId="0" applyFont="1" applyFill="1"/>
    <xf numFmtId="10" fontId="2" fillId="6" borderId="0" xfId="0" applyNumberFormat="1" applyFont="1" applyFill="1"/>
    <xf numFmtId="4" fontId="2" fillId="6" borderId="0" xfId="190" applyFont="1" applyFill="1"/>
    <xf numFmtId="194" fontId="2" fillId="6" borderId="0" xfId="190" applyNumberFormat="1" applyFont="1" applyFill="1"/>
    <xf numFmtId="172" fontId="0" fillId="6" borderId="0" xfId="1" applyNumberFormat="1" applyFont="1" applyFill="1"/>
    <xf numFmtId="0" fontId="0" fillId="6" borderId="46" xfId="0" applyFill="1" applyBorder="1"/>
    <xf numFmtId="4" fontId="0" fillId="6" borderId="47" xfId="190" applyFont="1" applyFill="1" applyBorder="1"/>
    <xf numFmtId="43" fontId="2" fillId="6" borderId="0" xfId="0" applyNumberFormat="1" applyFont="1" applyFill="1"/>
    <xf numFmtId="9" fontId="2" fillId="6" borderId="0" xfId="1" applyFont="1" applyFill="1"/>
    <xf numFmtId="0" fontId="2" fillId="6" borderId="46" xfId="0" applyFont="1" applyFill="1" applyBorder="1"/>
    <xf numFmtId="0" fontId="2" fillId="6" borderId="48" xfId="0" applyFont="1" applyFill="1" applyBorder="1"/>
    <xf numFmtId="4" fontId="2" fillId="6" borderId="48" xfId="0" applyNumberFormat="1" applyFont="1" applyFill="1" applyBorder="1"/>
    <xf numFmtId="4" fontId="2" fillId="6" borderId="47" xfId="0" applyNumberFormat="1" applyFont="1" applyFill="1" applyBorder="1"/>
    <xf numFmtId="10" fontId="0" fillId="2" borderId="0" xfId="0" applyNumberFormat="1" applyFill="1"/>
    <xf numFmtId="9" fontId="2" fillId="2" borderId="0" xfId="1" applyFont="1" applyFill="1"/>
    <xf numFmtId="4" fontId="2" fillId="2" borderId="0" xfId="190" applyFont="1" applyFill="1"/>
    <xf numFmtId="10" fontId="2" fillId="2" borderId="0" xfId="0" applyNumberFormat="1" applyFont="1" applyFill="1"/>
    <xf numFmtId="194" fontId="2" fillId="2" borderId="0" xfId="190" applyNumberFormat="1" applyFont="1" applyFill="1"/>
    <xf numFmtId="0" fontId="2" fillId="2" borderId="46" xfId="0" applyFont="1" applyFill="1" applyBorder="1"/>
    <xf numFmtId="0" fontId="2" fillId="2" borderId="48" xfId="0" applyFont="1" applyFill="1" applyBorder="1"/>
    <xf numFmtId="4" fontId="2" fillId="2" borderId="48" xfId="0" applyNumberFormat="1" applyFont="1" applyFill="1" applyBorder="1"/>
    <xf numFmtId="43" fontId="0" fillId="0" borderId="0" xfId="190" applyNumberFormat="1" applyFont="1" applyFill="1" applyAlignment="1">
      <alignment horizontal="right"/>
    </xf>
    <xf numFmtId="0" fontId="0" fillId="3" borderId="0" xfId="0" applyFill="1"/>
    <xf numFmtId="43" fontId="2" fillId="3" borderId="0" xfId="190" applyNumberFormat="1" applyFont="1" applyFill="1" applyBorder="1"/>
    <xf numFmtId="43" fontId="2" fillId="0" borderId="0" xfId="190" applyNumberFormat="1" applyFont="1" applyFill="1"/>
    <xf numFmtId="43" fontId="0" fillId="3" borderId="0" xfId="190" applyNumberFormat="1" applyFont="1" applyFill="1" applyAlignment="1">
      <alignment horizontal="right"/>
    </xf>
    <xf numFmtId="43" fontId="2" fillId="3" borderId="0" xfId="190" applyNumberFormat="1" applyFont="1" applyFill="1" applyAlignment="1">
      <alignment horizontal="right"/>
    </xf>
    <xf numFmtId="43" fontId="2" fillId="3" borderId="0" xfId="190" applyNumberFormat="1" applyFont="1" applyFill="1"/>
    <xf numFmtId="170" fontId="0" fillId="0" borderId="8" xfId="190" applyNumberFormat="1" applyFont="1" applyFill="1" applyBorder="1"/>
    <xf numFmtId="170" fontId="0" fillId="0" borderId="10" xfId="190" applyNumberFormat="1" applyFont="1" applyFill="1" applyBorder="1"/>
    <xf numFmtId="9" fontId="5" fillId="6" borderId="0" xfId="1" applyFont="1" applyFill="1"/>
    <xf numFmtId="173" fontId="0" fillId="0" borderId="7" xfId="1" applyNumberFormat="1" applyFont="1" applyFill="1" applyBorder="1"/>
    <xf numFmtId="173" fontId="0" fillId="0" borderId="0" xfId="1" applyNumberFormat="1" applyFont="1" applyFill="1" applyBorder="1"/>
    <xf numFmtId="172" fontId="0" fillId="0" borderId="6" xfId="1" quotePrefix="1" applyNumberFormat="1" applyFont="1" applyFill="1" applyBorder="1"/>
    <xf numFmtId="166" fontId="0" fillId="0" borderId="7" xfId="190" applyNumberFormat="1" applyFont="1" applyFill="1" applyBorder="1"/>
    <xf numFmtId="43" fontId="0" fillId="0" borderId="7" xfId="190" applyNumberFormat="1" applyFont="1" applyFill="1" applyBorder="1"/>
    <xf numFmtId="10" fontId="0" fillId="0" borderId="49" xfId="1" applyNumberFormat="1" applyFont="1" applyFill="1" applyBorder="1"/>
    <xf numFmtId="43" fontId="0" fillId="0" borderId="50" xfId="190" applyNumberFormat="1" applyFont="1" applyFill="1" applyBorder="1" applyAlignment="1">
      <alignment horizontal="right"/>
    </xf>
    <xf numFmtId="168" fontId="0" fillId="0" borderId="7" xfId="190" applyNumberFormat="1" applyFont="1" applyFill="1" applyBorder="1"/>
    <xf numFmtId="166" fontId="0" fillId="0" borderId="49" xfId="190" applyNumberFormat="1" applyFont="1" applyFill="1" applyBorder="1"/>
    <xf numFmtId="196" fontId="0" fillId="0" borderId="7" xfId="1" applyNumberFormat="1" applyFont="1" applyFill="1" applyBorder="1"/>
    <xf numFmtId="170" fontId="0" fillId="0" borderId="49" xfId="190" applyNumberFormat="1" applyFont="1" applyFill="1" applyBorder="1"/>
    <xf numFmtId="10" fontId="0" fillId="0" borderId="7" xfId="1" applyNumberFormat="1" applyFont="1" applyFill="1" applyBorder="1"/>
    <xf numFmtId="170" fontId="0" fillId="0" borderId="7" xfId="190" applyNumberFormat="1" applyFont="1" applyFill="1" applyBorder="1"/>
    <xf numFmtId="172" fontId="0" fillId="0" borderId="9" xfId="1" quotePrefix="1" applyNumberFormat="1" applyFont="1" applyFill="1" applyBorder="1"/>
    <xf numFmtId="166" fontId="0" fillId="0" borderId="0" xfId="190" applyNumberFormat="1" applyFont="1" applyFill="1" applyBorder="1"/>
    <xf numFmtId="43" fontId="0" fillId="0" borderId="0" xfId="190" applyNumberFormat="1" applyFont="1" applyFill="1" applyBorder="1"/>
    <xf numFmtId="168" fontId="0" fillId="0" borderId="0" xfId="190" applyNumberFormat="1" applyFont="1" applyFill="1" applyBorder="1"/>
    <xf numFmtId="196" fontId="0" fillId="0" borderId="0" xfId="1" applyNumberFormat="1" applyFont="1" applyFill="1" applyBorder="1"/>
    <xf numFmtId="0" fontId="0" fillId="0" borderId="7" xfId="0" applyBorder="1"/>
    <xf numFmtId="0" fontId="0" fillId="0" borderId="7" xfId="0" applyBorder="1" applyAlignment="1">
      <alignment horizontal="center"/>
    </xf>
    <xf numFmtId="166" fontId="0" fillId="0" borderId="7" xfId="0" applyNumberFormat="1" applyBorder="1" applyAlignment="1">
      <alignment horizontal="right"/>
    </xf>
    <xf numFmtId="166" fontId="0" fillId="0" borderId="6" xfId="0" applyNumberFormat="1" applyBorder="1"/>
    <xf numFmtId="166" fontId="0" fillId="0" borderId="9" xfId="0" applyNumberFormat="1" applyBorder="1"/>
    <xf numFmtId="172" fontId="0" fillId="0" borderId="11" xfId="1" applyNumberFormat="1" applyFont="1" applyFill="1" applyBorder="1"/>
    <xf numFmtId="0" fontId="0" fillId="0" borderId="4" xfId="0" applyBorder="1"/>
    <xf numFmtId="0" fontId="0" fillId="0" borderId="4" xfId="0" applyBorder="1" applyAlignment="1">
      <alignment horizontal="center"/>
    </xf>
    <xf numFmtId="166" fontId="0" fillId="0" borderId="4" xfId="190" applyNumberFormat="1" applyFont="1" applyFill="1" applyBorder="1"/>
    <xf numFmtId="166" fontId="0" fillId="0" borderId="4" xfId="0" applyNumberFormat="1" applyBorder="1" applyAlignment="1">
      <alignment horizontal="right"/>
    </xf>
    <xf numFmtId="43" fontId="0" fillId="0" borderId="4" xfId="190" applyNumberFormat="1" applyFont="1" applyFill="1" applyBorder="1"/>
    <xf numFmtId="10" fontId="0" fillId="0" borderId="5" xfId="1" applyNumberFormat="1" applyFont="1" applyFill="1" applyBorder="1"/>
    <xf numFmtId="43" fontId="0" fillId="0" borderId="45" xfId="190" applyNumberFormat="1" applyFont="1" applyFill="1" applyBorder="1" applyAlignment="1">
      <alignment horizontal="right"/>
    </xf>
    <xf numFmtId="168" fontId="0" fillId="0" borderId="4" xfId="190" applyNumberFormat="1" applyFont="1" applyFill="1" applyBorder="1"/>
    <xf numFmtId="166" fontId="0" fillId="0" borderId="5" xfId="190" applyNumberFormat="1" applyFont="1" applyFill="1" applyBorder="1"/>
    <xf numFmtId="196" fontId="0" fillId="0" borderId="4" xfId="1" applyNumberFormat="1" applyFont="1" applyFill="1" applyBorder="1"/>
    <xf numFmtId="170" fontId="0" fillId="0" borderId="5" xfId="190" applyNumberFormat="1" applyFont="1" applyFill="1" applyBorder="1"/>
    <xf numFmtId="10" fontId="0" fillId="0" borderId="4" xfId="1" applyNumberFormat="1" applyFont="1" applyFill="1" applyBorder="1"/>
    <xf numFmtId="173" fontId="0" fillId="0" borderId="4" xfId="1" applyNumberFormat="1" applyFont="1" applyFill="1" applyBorder="1"/>
    <xf numFmtId="170" fontId="0" fillId="0" borderId="12" xfId="190" applyNumberFormat="1" applyFont="1" applyFill="1" applyBorder="1"/>
    <xf numFmtId="170" fontId="0" fillId="0" borderId="4" xfId="190" applyNumberFormat="1" applyFont="1" applyFill="1" applyBorder="1"/>
    <xf numFmtId="166" fontId="0" fillId="0" borderId="11" xfId="0" applyNumberFormat="1" applyBorder="1"/>
    <xf numFmtId="0" fontId="0" fillId="82" borderId="0" xfId="0" applyFill="1"/>
    <xf numFmtId="172" fontId="0" fillId="82" borderId="0" xfId="1" applyNumberFormat="1" applyFont="1" applyFill="1"/>
    <xf numFmtId="3" fontId="0" fillId="82" borderId="0" xfId="190" applyNumberFormat="1" applyFont="1" applyFill="1"/>
    <xf numFmtId="195" fontId="0" fillId="2" borderId="0" xfId="0" applyNumberFormat="1" applyFill="1"/>
    <xf numFmtId="10" fontId="0" fillId="2" borderId="0" xfId="1" applyNumberFormat="1" applyFont="1" applyFill="1" applyBorder="1"/>
    <xf numFmtId="170" fontId="0" fillId="2" borderId="0" xfId="190" applyNumberFormat="1" applyFont="1" applyFill="1" applyBorder="1"/>
    <xf numFmtId="170" fontId="0" fillId="2" borderId="0" xfId="1" applyNumberFormat="1" applyFont="1" applyFill="1"/>
    <xf numFmtId="3" fontId="0" fillId="2" borderId="0" xfId="190" applyNumberFormat="1" applyFont="1" applyFill="1" applyAlignment="1">
      <alignment horizontal="center"/>
    </xf>
    <xf numFmtId="170" fontId="0" fillId="2" borderId="1" xfId="190" applyNumberFormat="1" applyFont="1" applyFill="1" applyBorder="1"/>
    <xf numFmtId="166" fontId="0" fillId="2" borderId="1" xfId="190" applyNumberFormat="1" applyFont="1" applyFill="1" applyBorder="1"/>
    <xf numFmtId="10" fontId="0" fillId="2" borderId="1" xfId="1" applyNumberFormat="1" applyFont="1" applyFill="1" applyBorder="1"/>
    <xf numFmtId="166" fontId="0" fillId="2" borderId="0" xfId="0" applyNumberFormat="1" applyFill="1" applyAlignment="1">
      <alignment horizontal="right"/>
    </xf>
    <xf numFmtId="195" fontId="0" fillId="82" borderId="0" xfId="0" applyNumberFormat="1" applyFill="1"/>
    <xf numFmtId="0" fontId="0" fillId="82" borderId="0" xfId="0" applyFill="1" applyAlignment="1">
      <alignment horizontal="center"/>
    </xf>
    <xf numFmtId="10" fontId="0" fillId="82" borderId="0" xfId="1" applyNumberFormat="1" applyFont="1" applyFill="1" applyBorder="1"/>
    <xf numFmtId="170" fontId="0" fillId="82" borderId="0" xfId="190" applyNumberFormat="1" applyFont="1" applyFill="1" applyBorder="1"/>
    <xf numFmtId="4" fontId="0" fillId="82" borderId="0" xfId="190" applyFont="1" applyFill="1"/>
    <xf numFmtId="3" fontId="0" fillId="82" borderId="0" xfId="190" applyNumberFormat="1" applyFont="1" applyFill="1" applyAlignment="1">
      <alignment horizontal="center"/>
    </xf>
    <xf numFmtId="166" fontId="0" fillId="82" borderId="0" xfId="0" applyNumberFormat="1" applyFill="1"/>
    <xf numFmtId="170" fontId="0" fillId="82" borderId="0" xfId="1" applyNumberFormat="1" applyFont="1" applyFill="1"/>
    <xf numFmtId="173" fontId="0" fillId="82" borderId="0" xfId="1" applyNumberFormat="1" applyFont="1" applyFill="1"/>
    <xf numFmtId="170" fontId="0" fillId="82" borderId="1" xfId="190" applyNumberFormat="1" applyFont="1" applyFill="1" applyBorder="1"/>
    <xf numFmtId="168" fontId="0" fillId="82" borderId="0" xfId="190" applyNumberFormat="1" applyFont="1" applyFill="1"/>
    <xf numFmtId="10" fontId="0" fillId="82" borderId="1" xfId="1" applyNumberFormat="1" applyFont="1" applyFill="1" applyBorder="1"/>
    <xf numFmtId="196" fontId="0" fillId="82" borderId="0" xfId="1" applyNumberFormat="1" applyFont="1" applyFill="1"/>
    <xf numFmtId="166" fontId="0" fillId="82" borderId="0" xfId="0" applyNumberFormat="1" applyFill="1" applyAlignment="1">
      <alignment horizontal="right"/>
    </xf>
    <xf numFmtId="166" fontId="0" fillId="82" borderId="1" xfId="190" applyNumberFormat="1" applyFont="1" applyFill="1" applyBorder="1"/>
    <xf numFmtId="43" fontId="0" fillId="82" borderId="19" xfId="190" applyNumberFormat="1" applyFont="1" applyFill="1" applyBorder="1" applyAlignment="1">
      <alignment horizontal="right"/>
    </xf>
    <xf numFmtId="43" fontId="0" fillId="82" borderId="0" xfId="190" applyNumberFormat="1" applyFont="1" applyFill="1"/>
    <xf numFmtId="166" fontId="0" fillId="82" borderId="0" xfId="190" applyNumberFormat="1" applyFont="1" applyFill="1"/>
    <xf numFmtId="172" fontId="0" fillId="0" borderId="46" xfId="1" applyNumberFormat="1" applyFont="1" applyFill="1" applyBorder="1"/>
    <xf numFmtId="166" fontId="0" fillId="0" borderId="48" xfId="190" applyNumberFormat="1" applyFont="1" applyFill="1" applyBorder="1"/>
    <xf numFmtId="43" fontId="0" fillId="0" borderId="48" xfId="190" applyNumberFormat="1" applyFont="1" applyFill="1" applyBorder="1"/>
    <xf numFmtId="10" fontId="0" fillId="0" borderId="51" xfId="1" applyNumberFormat="1" applyFont="1" applyFill="1" applyBorder="1"/>
    <xf numFmtId="43" fontId="0" fillId="0" borderId="52" xfId="190" applyNumberFormat="1" applyFont="1" applyFill="1" applyBorder="1" applyAlignment="1">
      <alignment horizontal="right"/>
    </xf>
    <xf numFmtId="168" fontId="0" fillId="0" borderId="48" xfId="190" applyNumberFormat="1" applyFont="1" applyFill="1" applyBorder="1"/>
    <xf numFmtId="166" fontId="0" fillId="0" borderId="51" xfId="190" applyNumberFormat="1" applyFont="1" applyFill="1" applyBorder="1"/>
    <xf numFmtId="196" fontId="0" fillId="0" borderId="48" xfId="1" applyNumberFormat="1" applyFont="1" applyFill="1" applyBorder="1"/>
    <xf numFmtId="170" fontId="0" fillId="0" borderId="51" xfId="190" applyNumberFormat="1" applyFont="1" applyFill="1" applyBorder="1"/>
    <xf numFmtId="10" fontId="0" fillId="0" borderId="48" xfId="1" applyNumberFormat="1" applyFont="1" applyFill="1" applyBorder="1"/>
    <xf numFmtId="173" fontId="0" fillId="0" borderId="48" xfId="1" applyNumberFormat="1" applyFont="1" applyFill="1" applyBorder="1"/>
    <xf numFmtId="170" fontId="0" fillId="0" borderId="47" xfId="190" applyNumberFormat="1" applyFont="1" applyFill="1" applyBorder="1"/>
    <xf numFmtId="3" fontId="0" fillId="2" borderId="0" xfId="190" applyNumberFormat="1" applyFont="1" applyFill="1"/>
    <xf numFmtId="43" fontId="0" fillId="2" borderId="19" xfId="190" applyNumberFormat="1" applyFont="1" applyFill="1" applyBorder="1" applyAlignment="1">
      <alignment horizontal="right"/>
    </xf>
    <xf numFmtId="0" fontId="0" fillId="0" borderId="48" xfId="0" applyBorder="1"/>
    <xf numFmtId="0" fontId="0" fillId="0" borderId="48" xfId="0" applyBorder="1" applyAlignment="1">
      <alignment horizontal="center"/>
    </xf>
    <xf numFmtId="166" fontId="0" fillId="0" borderId="48" xfId="0" applyNumberFormat="1" applyBorder="1" applyAlignment="1">
      <alignment horizontal="right"/>
    </xf>
    <xf numFmtId="166" fontId="0" fillId="0" borderId="48" xfId="0" applyNumberFormat="1" applyBorder="1"/>
    <xf numFmtId="196" fontId="0" fillId="2" borderId="0" xfId="1" applyNumberFormat="1" applyFont="1" applyFill="1"/>
    <xf numFmtId="166" fontId="0" fillId="2" borderId="0" xfId="0" applyNumberFormat="1" applyFill="1"/>
    <xf numFmtId="173" fontId="0" fillId="2" borderId="0" xfId="1" applyNumberFormat="1" applyFont="1" applyFill="1"/>
    <xf numFmtId="3" fontId="0" fillId="10" borderId="0" xfId="190" applyNumberFormat="1" applyFont="1" applyFill="1"/>
    <xf numFmtId="172" fontId="0" fillId="10" borderId="0" xfId="1" applyNumberFormat="1" applyFont="1" applyFill="1"/>
    <xf numFmtId="0" fontId="0" fillId="10" borderId="0" xfId="0" applyFill="1" applyAlignment="1">
      <alignment horizontal="center"/>
    </xf>
    <xf numFmtId="166" fontId="0" fillId="10" borderId="0" xfId="190" applyNumberFormat="1" applyFont="1" applyFill="1"/>
    <xf numFmtId="166" fontId="0" fillId="10" borderId="0" xfId="0" applyNumberFormat="1" applyFill="1" applyAlignment="1">
      <alignment horizontal="right"/>
    </xf>
    <xf numFmtId="10" fontId="0" fillId="10" borderId="1" xfId="1" applyNumberFormat="1" applyFont="1" applyFill="1" applyBorder="1"/>
    <xf numFmtId="166" fontId="0" fillId="10" borderId="1" xfId="190" applyNumberFormat="1" applyFont="1" applyFill="1" applyBorder="1"/>
    <xf numFmtId="196" fontId="0" fillId="10" borderId="0" xfId="1" applyNumberFormat="1" applyFont="1" applyFill="1"/>
    <xf numFmtId="170" fontId="0" fillId="10" borderId="1" xfId="190" applyNumberFormat="1" applyFont="1" applyFill="1" applyBorder="1"/>
    <xf numFmtId="166" fontId="0" fillId="10" borderId="0" xfId="0" applyNumberFormat="1" applyFill="1"/>
    <xf numFmtId="173" fontId="0" fillId="10" borderId="0" xfId="1" applyNumberFormat="1" applyFont="1" applyFill="1"/>
    <xf numFmtId="3" fontId="0" fillId="10" borderId="0" xfId="190" applyNumberFormat="1" applyFont="1" applyFill="1" applyAlignment="1">
      <alignment horizontal="center"/>
    </xf>
    <xf numFmtId="170" fontId="0" fillId="10" borderId="0" xfId="1" applyNumberFormat="1" applyFont="1" applyFill="1"/>
    <xf numFmtId="170" fontId="0" fillId="10" borderId="0" xfId="190" applyNumberFormat="1" applyFont="1" applyFill="1" applyBorder="1"/>
    <xf numFmtId="10" fontId="0" fillId="10" borderId="0" xfId="1" applyNumberFormat="1" applyFont="1" applyFill="1" applyBorder="1"/>
    <xf numFmtId="195" fontId="0" fillId="10" borderId="0" xfId="0" applyNumberFormat="1" applyFill="1"/>
    <xf numFmtId="169" fontId="0" fillId="3" borderId="0" xfId="190" applyNumberFormat="1" applyFont="1" applyFill="1"/>
    <xf numFmtId="171" fontId="0" fillId="3" borderId="0" xfId="190" applyNumberFormat="1" applyFont="1" applyFill="1"/>
    <xf numFmtId="43" fontId="0" fillId="3" borderId="0" xfId="190" quotePrefix="1" applyNumberFormat="1" applyFont="1" applyFill="1"/>
    <xf numFmtId="10" fontId="0" fillId="3" borderId="0" xfId="1" applyNumberFormat="1" applyFont="1" applyFill="1"/>
    <xf numFmtId="2" fontId="0" fillId="3" borderId="0" xfId="0" applyNumberFormat="1" applyFill="1"/>
    <xf numFmtId="4" fontId="0" fillId="3" borderId="0" xfId="190" applyFont="1" applyFill="1"/>
    <xf numFmtId="194" fontId="0" fillId="3" borderId="0" xfId="190" applyNumberFormat="1" applyFont="1" applyFill="1"/>
    <xf numFmtId="167" fontId="0" fillId="3" borderId="0" xfId="190" applyNumberFormat="1" applyFont="1" applyFill="1"/>
    <xf numFmtId="4" fontId="1" fillId="3" borderId="0" xfId="190" applyFont="1" applyFill="1" applyAlignment="1">
      <alignment horizontal="right"/>
    </xf>
    <xf numFmtId="170" fontId="1" fillId="3" borderId="0" xfId="190" applyNumberFormat="1" applyFont="1" applyFill="1"/>
    <xf numFmtId="172" fontId="0" fillId="3" borderId="0" xfId="1" applyNumberFormat="1" applyFont="1" applyFill="1"/>
    <xf numFmtId="9" fontId="0" fillId="3" borderId="0" xfId="1" applyFont="1" applyFill="1"/>
    <xf numFmtId="43" fontId="0" fillId="3" borderId="0" xfId="190" applyNumberFormat="1" applyFont="1" applyFill="1"/>
    <xf numFmtId="4" fontId="82" fillId="3" borderId="0" xfId="190" applyFont="1" applyFill="1"/>
    <xf numFmtId="166" fontId="0" fillId="3" borderId="0" xfId="190" applyNumberFormat="1" applyFont="1" applyFill="1"/>
    <xf numFmtId="4" fontId="24" fillId="3" borderId="0" xfId="190" applyFont="1" applyFill="1"/>
    <xf numFmtId="197" fontId="0" fillId="0" borderId="0" xfId="0" applyNumberFormat="1"/>
    <xf numFmtId="0" fontId="89" fillId="85" borderId="0" xfId="0" applyFont="1" applyFill="1" applyAlignment="1">
      <alignment horizontal="center"/>
    </xf>
    <xf numFmtId="0" fontId="89" fillId="90" borderId="53" xfId="0" applyFont="1" applyFill="1" applyBorder="1" applyAlignment="1">
      <alignment horizontal="left"/>
    </xf>
    <xf numFmtId="0" fontId="89" fillId="91" borderId="54" xfId="0" applyFont="1" applyFill="1" applyBorder="1" applyAlignment="1">
      <alignment horizontal="center"/>
    </xf>
    <xf numFmtId="0" fontId="89" fillId="91" borderId="55" xfId="0" applyFont="1" applyFill="1" applyBorder="1" applyAlignment="1">
      <alignment horizontal="center"/>
    </xf>
    <xf numFmtId="0" fontId="89" fillId="91" borderId="56" xfId="0" applyFont="1" applyFill="1" applyBorder="1" applyAlignment="1">
      <alignment horizontal="center"/>
    </xf>
    <xf numFmtId="0" fontId="89" fillId="91" borderId="57" xfId="0" applyFont="1" applyFill="1" applyBorder="1" applyAlignment="1">
      <alignment horizontal="center"/>
    </xf>
    <xf numFmtId="0" fontId="89" fillId="91" borderId="58" xfId="0" applyFont="1" applyFill="1" applyBorder="1" applyAlignment="1">
      <alignment horizontal="center"/>
    </xf>
    <xf numFmtId="0" fontId="89" fillId="91" borderId="59" xfId="0" applyFont="1" applyFill="1" applyBorder="1" applyAlignment="1">
      <alignment horizontal="center"/>
    </xf>
    <xf numFmtId="0" fontId="89" fillId="92" borderId="56" xfId="0" applyFont="1" applyFill="1" applyBorder="1" applyAlignment="1">
      <alignment horizontal="center"/>
    </xf>
    <xf numFmtId="0" fontId="89" fillId="91" borderId="60" xfId="0" applyFont="1" applyFill="1" applyBorder="1" applyAlignment="1">
      <alignment horizontal="center"/>
    </xf>
    <xf numFmtId="0" fontId="89" fillId="90" borderId="56" xfId="0" applyFont="1" applyFill="1" applyBorder="1" applyAlignment="1">
      <alignment horizontal="center"/>
    </xf>
    <xf numFmtId="14" fontId="101" fillId="93" borderId="0" xfId="0" applyNumberFormat="1" applyFont="1" applyFill="1" applyAlignment="1">
      <alignment horizontal="center"/>
    </xf>
    <xf numFmtId="0" fontId="101" fillId="0" borderId="1" xfId="0" applyFont="1" applyBorder="1" applyAlignment="1">
      <alignment horizontal="left"/>
    </xf>
    <xf numFmtId="0" fontId="101" fillId="0" borderId="19" xfId="0" applyFont="1" applyBorder="1" applyAlignment="1">
      <alignment horizontal="center"/>
    </xf>
    <xf numFmtId="0" fontId="101" fillId="0" borderId="0" xfId="0" applyFont="1" applyAlignment="1">
      <alignment horizontal="center"/>
    </xf>
    <xf numFmtId="0" fontId="101" fillId="94" borderId="0" xfId="0" applyFont="1" applyFill="1" applyAlignment="1">
      <alignment horizontal="center"/>
    </xf>
    <xf numFmtId="0" fontId="101" fillId="94" borderId="18" xfId="0" applyFont="1" applyFill="1" applyBorder="1" applyAlignment="1">
      <alignment horizontal="center"/>
    </xf>
    <xf numFmtId="0" fontId="101" fillId="94" borderId="1" xfId="0" applyFont="1" applyFill="1" applyBorder="1" applyAlignment="1">
      <alignment horizontal="center"/>
    </xf>
    <xf numFmtId="0" fontId="102" fillId="0" borderId="0" xfId="0" applyFont="1"/>
    <xf numFmtId="0" fontId="101" fillId="0" borderId="0" xfId="0" applyFont="1"/>
    <xf numFmtId="0" fontId="101" fillId="95" borderId="0" xfId="0" applyFont="1" applyFill="1" applyAlignment="1">
      <alignment horizontal="center"/>
    </xf>
    <xf numFmtId="0" fontId="101" fillId="95" borderId="18" xfId="0" applyFont="1" applyFill="1" applyBorder="1" applyAlignment="1">
      <alignment horizontal="center"/>
    </xf>
    <xf numFmtId="0" fontId="101" fillId="95" borderId="1" xfId="0" applyFont="1" applyFill="1" applyBorder="1" applyAlignment="1">
      <alignment horizontal="center"/>
    </xf>
    <xf numFmtId="0" fontId="101" fillId="96" borderId="0" xfId="0" applyFont="1" applyFill="1" applyAlignment="1">
      <alignment horizontal="center"/>
    </xf>
    <xf numFmtId="0" fontId="103" fillId="0" borderId="0" xfId="0" applyFont="1"/>
    <xf numFmtId="0" fontId="101" fillId="97" borderId="0" xfId="0" applyFont="1" applyFill="1" applyAlignment="1">
      <alignment horizontal="center"/>
    </xf>
    <xf numFmtId="0" fontId="101" fillId="0" borderId="18" xfId="0" applyFont="1" applyBorder="1" applyAlignment="1">
      <alignment horizontal="center"/>
    </xf>
    <xf numFmtId="0" fontId="101" fillId="0" borderId="1" xfId="0" applyFont="1" applyBorder="1" applyAlignment="1">
      <alignment horizontal="center"/>
    </xf>
    <xf numFmtId="0" fontId="104" fillId="95" borderId="0" xfId="0" applyFont="1" applyFill="1" applyAlignment="1">
      <alignment horizontal="center"/>
    </xf>
    <xf numFmtId="0" fontId="104" fillId="0" borderId="0" xfId="0" applyFont="1" applyAlignment="1">
      <alignment horizontal="center"/>
    </xf>
    <xf numFmtId="0" fontId="104" fillId="95" borderId="18" xfId="0" applyFont="1" applyFill="1" applyBorder="1" applyAlignment="1">
      <alignment horizontal="center"/>
    </xf>
    <xf numFmtId="0" fontId="104" fillId="95" borderId="1" xfId="0" applyFont="1" applyFill="1" applyBorder="1" applyAlignment="1">
      <alignment horizontal="center"/>
    </xf>
    <xf numFmtId="0" fontId="104" fillId="0" borderId="0" xfId="0" applyFont="1"/>
    <xf numFmtId="14" fontId="104" fillId="93" borderId="0" xfId="0" applyNumberFormat="1" applyFont="1" applyFill="1" applyAlignment="1">
      <alignment horizontal="center"/>
    </xf>
    <xf numFmtId="0" fontId="104" fillId="0" borderId="19" xfId="0" applyFont="1" applyBorder="1" applyAlignment="1">
      <alignment horizontal="center"/>
    </xf>
    <xf numFmtId="0" fontId="105" fillId="0" borderId="0" xfId="0" applyFont="1" applyAlignment="1">
      <alignment vertical="center" wrapText="1"/>
    </xf>
    <xf numFmtId="0" fontId="101" fillId="0" borderId="0" xfId="0" applyFont="1" applyAlignment="1">
      <alignment horizontal="left"/>
    </xf>
    <xf numFmtId="0" fontId="105" fillId="0" borderId="0" xfId="0" applyFont="1"/>
    <xf numFmtId="14" fontId="101" fillId="0" borderId="0" xfId="0" applyNumberFormat="1" applyFont="1" applyAlignment="1">
      <alignment horizontal="center"/>
    </xf>
    <xf numFmtId="0" fontId="106" fillId="98" borderId="18" xfId="0" applyFont="1" applyFill="1" applyBorder="1" applyAlignment="1">
      <alignment horizontal="center"/>
    </xf>
    <xf numFmtId="0" fontId="106" fillId="98" borderId="1" xfId="0" applyFont="1" applyFill="1" applyBorder="1" applyAlignment="1">
      <alignment horizontal="center"/>
    </xf>
    <xf numFmtId="11" fontId="101" fillId="0" borderId="0" xfId="0" applyNumberFormat="1" applyFont="1" applyAlignment="1">
      <alignment horizontal="center"/>
    </xf>
    <xf numFmtId="0" fontId="103" fillId="0" borderId="0" xfId="0" applyFont="1" applyAlignment="1">
      <alignment horizontal="center"/>
    </xf>
    <xf numFmtId="172" fontId="0" fillId="2" borderId="46" xfId="1" applyNumberFormat="1" applyFont="1" applyFill="1" applyBorder="1"/>
    <xf numFmtId="0" fontId="0" fillId="2" borderId="48" xfId="0" applyFill="1" applyBorder="1"/>
    <xf numFmtId="0" fontId="0" fillId="2" borderId="48" xfId="0" applyFill="1" applyBorder="1" applyAlignment="1">
      <alignment horizontal="center"/>
    </xf>
    <xf numFmtId="166" fontId="0" fillId="2" borderId="48" xfId="190" applyNumberFormat="1" applyFont="1" applyFill="1" applyBorder="1"/>
    <xf numFmtId="166" fontId="0" fillId="2" borderId="48" xfId="0" applyNumberFormat="1" applyFill="1" applyBorder="1" applyAlignment="1">
      <alignment horizontal="right"/>
    </xf>
    <xf numFmtId="43" fontId="0" fillId="2" borderId="48" xfId="190" applyNumberFormat="1" applyFont="1" applyFill="1" applyBorder="1"/>
    <xf numFmtId="10" fontId="0" fillId="2" borderId="51" xfId="1" applyNumberFormat="1" applyFont="1" applyFill="1" applyBorder="1"/>
    <xf numFmtId="43" fontId="0" fillId="2" borderId="52" xfId="190" applyNumberFormat="1" applyFont="1" applyFill="1" applyBorder="1" applyAlignment="1">
      <alignment horizontal="right"/>
    </xf>
    <xf numFmtId="168" fontId="0" fillId="2" borderId="48" xfId="190" applyNumberFormat="1" applyFont="1" applyFill="1" applyBorder="1"/>
    <xf numFmtId="166" fontId="0" fillId="2" borderId="51" xfId="190" applyNumberFormat="1" applyFont="1" applyFill="1" applyBorder="1"/>
    <xf numFmtId="196" fontId="0" fillId="2" borderId="48" xfId="1" applyNumberFormat="1" applyFont="1" applyFill="1" applyBorder="1"/>
    <xf numFmtId="170" fontId="0" fillId="2" borderId="51" xfId="190" applyNumberFormat="1" applyFont="1" applyFill="1" applyBorder="1"/>
    <xf numFmtId="10" fontId="0" fillId="2" borderId="48" xfId="1" applyNumberFormat="1" applyFont="1" applyFill="1" applyBorder="1"/>
    <xf numFmtId="166" fontId="0" fillId="2" borderId="48" xfId="0" applyNumberFormat="1" applyFill="1" applyBorder="1"/>
    <xf numFmtId="173" fontId="0" fillId="2" borderId="48" xfId="1" applyNumberFormat="1" applyFont="1" applyFill="1" applyBorder="1"/>
    <xf numFmtId="170" fontId="0" fillId="2" borderId="47" xfId="190" applyNumberFormat="1" applyFont="1" applyFill="1" applyBorder="1"/>
    <xf numFmtId="4" fontId="24" fillId="2" borderId="0" xfId="190" applyFont="1" applyFill="1"/>
    <xf numFmtId="170" fontId="1" fillId="2" borderId="0" xfId="190" applyNumberFormat="1" applyFont="1" applyFill="1"/>
    <xf numFmtId="43" fontId="0" fillId="2" borderId="0" xfId="190" quotePrefix="1" applyNumberFormat="1" applyFont="1" applyFill="1"/>
    <xf numFmtId="4" fontId="1" fillId="2" borderId="0" xfId="190" applyFont="1" applyFill="1" applyAlignment="1">
      <alignment horizontal="right"/>
    </xf>
    <xf numFmtId="167" fontId="0" fillId="2" borderId="0" xfId="190" applyNumberFormat="1" applyFont="1" applyFill="1"/>
    <xf numFmtId="170" fontId="0" fillId="2" borderId="0" xfId="190" applyNumberFormat="1" applyFont="1" applyFill="1"/>
    <xf numFmtId="171" fontId="0" fillId="2" borderId="0" xfId="190" applyNumberFormat="1" applyFont="1" applyFill="1"/>
    <xf numFmtId="169" fontId="0" fillId="2" borderId="0" xfId="190" applyNumberFormat="1" applyFont="1" applyFill="1"/>
    <xf numFmtId="2" fontId="0" fillId="2" borderId="0" xfId="0" applyNumberFormat="1" applyFill="1"/>
    <xf numFmtId="172" fontId="83" fillId="0" borderId="0" xfId="1" applyNumberFormat="1" applyFont="1"/>
    <xf numFmtId="43" fontId="1" fillId="2" borderId="19" xfId="190" applyNumberFormat="1" applyFont="1" applyFill="1" applyBorder="1" applyAlignment="1">
      <alignment horizontal="right"/>
    </xf>
    <xf numFmtId="170" fontId="84" fillId="0" borderId="0" xfId="0" applyNumberFormat="1" applyFont="1" applyFill="1" applyAlignment="1">
      <alignment horizontal="center" vertical="center" wrapText="1"/>
    </xf>
    <xf numFmtId="0" fontId="83" fillId="0" borderId="0" xfId="0" applyFont="1" applyFill="1" applyAlignment="1">
      <alignment horizontal="left"/>
    </xf>
    <xf numFmtId="172" fontId="83" fillId="0" borderId="0" xfId="0" applyNumberFormat="1" applyFont="1" applyFill="1" applyAlignment="1"/>
    <xf numFmtId="10" fontId="83" fillId="0" borderId="0" xfId="0" applyNumberFormat="1" applyFont="1" applyFill="1" applyAlignment="1"/>
    <xf numFmtId="0" fontId="83" fillId="0" borderId="0" xfId="0" applyFont="1" applyFill="1" applyAlignment="1">
      <alignment horizontal="left" indent="1"/>
    </xf>
    <xf numFmtId="170" fontId="83" fillId="0" borderId="0" xfId="0" applyNumberFormat="1" applyFont="1" applyFill="1" applyAlignment="1"/>
    <xf numFmtId="10" fontId="83" fillId="0" borderId="0" xfId="0" applyNumberFormat="1" applyFont="1" applyFill="1" applyAlignment="1">
      <alignment horizontal="center" vertical="center" wrapText="1"/>
    </xf>
    <xf numFmtId="0" fontId="83" fillId="0" borderId="0" xfId="0" applyFont="1" applyFill="1" applyAlignment="1">
      <alignment horizontal="center" vertical="center" wrapText="1"/>
    </xf>
  </cellXfs>
  <cellStyles count="21006">
    <cellStyle name="1" xfId="13" xr:uid="{FA6C5025-C4D6-45CB-ABA7-4971283ADA73}"/>
    <cellStyle name="1 2" xfId="279" xr:uid="{FFE46D87-50BF-457A-9A17-751952CF6EE6}"/>
    <cellStyle name="20% - Accent1" xfId="20" builtinId="30" customBuiltin="1"/>
    <cellStyle name="20% - Accent1 2" xfId="14" xr:uid="{C4789119-CACC-4C80-B38B-2E62721FC5D3}"/>
    <cellStyle name="20% - Accent2" xfId="21" builtinId="34" customBuiltin="1"/>
    <cellStyle name="20% - Accent2 2" xfId="15" xr:uid="{D11CDBE3-1598-45A2-ADDC-E256702E0CA7}"/>
    <cellStyle name="20% - Accent3" xfId="22" builtinId="38" customBuiltin="1"/>
    <cellStyle name="20% - Accent3 2" xfId="16" xr:uid="{D1D8A40C-890A-4723-9724-531CC5A8038A}"/>
    <cellStyle name="20% - Accent4" xfId="23" builtinId="42" customBuiltin="1"/>
    <cellStyle name="20% - Accent4 2" xfId="17" xr:uid="{712F88F2-40B6-47CC-A78F-183D99F32E06}"/>
    <cellStyle name="20% - Accent5" xfId="24" builtinId="46" customBuiltin="1"/>
    <cellStyle name="20% - Accent5 2" xfId="18" xr:uid="{6F4E7097-FFD9-4A55-BBDC-E24A09C93257}"/>
    <cellStyle name="20% - Accent6" xfId="25" builtinId="50" customBuiltin="1"/>
    <cellStyle name="20% - Accent6 2" xfId="19" xr:uid="{16745907-9E85-4688-ADB7-BA03B9439457}"/>
    <cellStyle name="20% - Ênfase1" xfId="4370" xr:uid="{D9799FB5-9F4E-4F11-939B-BFE6FE8FCBD1}"/>
    <cellStyle name="20% - Ênfase2" xfId="4371" xr:uid="{C1C756EC-E654-4EC2-BE0E-85EEA5E6F1D2}"/>
    <cellStyle name="20% - Ênfase3" xfId="4372" xr:uid="{AB490D43-8FB5-4C15-B7F2-AB22899B37A5}"/>
    <cellStyle name="20% - Ênfase4" xfId="4373" xr:uid="{697786D3-0426-455C-9757-63B675B631C9}"/>
    <cellStyle name="20% - Ênfase5" xfId="4374" xr:uid="{F5B22213-0FDE-4A32-9CD6-8F2FCAFC8EE6}"/>
    <cellStyle name="20% - Ênfase6" xfId="4375" xr:uid="{A4A1EB7C-6E9B-449F-8E5B-19C69DA67C9C}"/>
    <cellStyle name="40% - Accent1" xfId="32" builtinId="31" customBuiltin="1"/>
    <cellStyle name="40% - Accent1 2" xfId="26" xr:uid="{5F1BA23B-AEB5-406C-95AF-EE31FADFC81C}"/>
    <cellStyle name="40% - Accent2" xfId="33" builtinId="35" customBuiltin="1"/>
    <cellStyle name="40% - Accent2 2" xfId="27" xr:uid="{2CC1FBF9-E2C6-4BA6-A788-C2378720B8C8}"/>
    <cellStyle name="40% - Accent3" xfId="34" builtinId="39" customBuiltin="1"/>
    <cellStyle name="40% - Accent3 2" xfId="28" xr:uid="{FCD11964-8FAC-4C8E-BB9A-068CAF107B4E}"/>
    <cellStyle name="40% - Accent4" xfId="35" builtinId="43" customBuiltin="1"/>
    <cellStyle name="40% - Accent4 2" xfId="29" xr:uid="{95DA549C-74AF-46A8-B319-06D1D87E72A8}"/>
    <cellStyle name="40% - Accent5" xfId="36" builtinId="47" customBuiltin="1"/>
    <cellStyle name="40% - Accent5 2" xfId="30" xr:uid="{92227381-6399-4D7E-AF8E-2DF970DCB324}"/>
    <cellStyle name="40% - Accent6" xfId="37" builtinId="51" customBuiltin="1"/>
    <cellStyle name="40% - Accent6 2" xfId="31" xr:uid="{FA8C97E9-617A-404A-9561-6F98A8BBB6ED}"/>
    <cellStyle name="40% - Ênfase1" xfId="4376" xr:uid="{31484F53-F360-4753-8951-99133744B3F9}"/>
    <cellStyle name="40% - Ênfase2" xfId="4377" xr:uid="{277D8E62-7703-40D3-B0A4-564EBDCAFB22}"/>
    <cellStyle name="40% - Ênfase3" xfId="4378" xr:uid="{F14C75F6-3D84-4116-9638-6B9A8AEB004F}"/>
    <cellStyle name="40% - Ênfase4" xfId="4379" xr:uid="{171B8D31-7396-4B6E-819E-942C79924C6B}"/>
    <cellStyle name="40% - Ênfase5" xfId="4380" xr:uid="{F4D92623-9E0E-436F-A15B-EB8E02F24F38}"/>
    <cellStyle name="40% - Ênfase6" xfId="4381" xr:uid="{44B72067-5CDF-468E-ACED-E2CB8B588600}"/>
    <cellStyle name="60% - Accent1" xfId="44" builtinId="32" customBuiltin="1"/>
    <cellStyle name="60% - Accent1 2" xfId="38" xr:uid="{5962CB18-2814-427A-9AC9-47F862B4D36D}"/>
    <cellStyle name="60% - Accent1 3" xfId="4364" xr:uid="{C6652E27-C874-4B28-B109-63A0DC061363}"/>
    <cellStyle name="60% - Accent2" xfId="45" builtinId="36" customBuiltin="1"/>
    <cellStyle name="60% - Accent2 2" xfId="39" xr:uid="{1A156EAD-B768-4571-B6E4-9AB0609E0364}"/>
    <cellStyle name="60% - Accent2 3" xfId="4365" xr:uid="{4274AD78-CB7D-40E3-9C8D-EE9FC2FFC51E}"/>
    <cellStyle name="60% - Accent3" xfId="46" builtinId="40" customBuiltin="1"/>
    <cellStyle name="60% - Accent3 2" xfId="40" xr:uid="{31FED88C-77B3-417E-A16B-42BF67115F18}"/>
    <cellStyle name="60% - Accent3 3" xfId="4366" xr:uid="{938B7652-DBCD-4922-98BC-3EF09F15CC65}"/>
    <cellStyle name="60% - Accent4" xfId="47" builtinId="44" customBuiltin="1"/>
    <cellStyle name="60% - Accent4 2" xfId="41" xr:uid="{B8C269C0-8390-418A-91DC-6FD2AE71BA1C}"/>
    <cellStyle name="60% - Accent4 3" xfId="4367" xr:uid="{99E02AD5-D6D0-4D5B-90A2-3B0D8180BD6C}"/>
    <cellStyle name="60% - Accent5" xfId="48" builtinId="48" customBuiltin="1"/>
    <cellStyle name="60% - Accent5 2" xfId="42" xr:uid="{322A48DB-DDB3-4C6D-A164-509AACB7271C}"/>
    <cellStyle name="60% - Accent5 3" xfId="4368" xr:uid="{FD5C0BFC-453F-4BD4-BDB9-46CDDD3BDDA4}"/>
    <cellStyle name="60% - Accent6" xfId="49" builtinId="52" customBuiltin="1"/>
    <cellStyle name="60% - Accent6 2" xfId="43" xr:uid="{C6FF43F5-DCF8-4702-8CA4-5F9D8F74F010}"/>
    <cellStyle name="60% - Accent6 3" xfId="4369" xr:uid="{570B1C90-A39C-40D7-B40A-A2E609CF9643}"/>
    <cellStyle name="60% - Ênfase1" xfId="4382" xr:uid="{5A09A1B9-37C6-4B5E-A520-D7643E6A0E61}"/>
    <cellStyle name="60% - Ênfase2" xfId="4383" xr:uid="{1F27CCF3-7750-4F50-871A-03A4E12BAF15}"/>
    <cellStyle name="60% - Ênfase3" xfId="4384" xr:uid="{52B929D7-7F0E-4DB0-9BFF-5359536EABD0}"/>
    <cellStyle name="60% - Ênfase4" xfId="4385" xr:uid="{B6C6D5F6-4A1E-4054-88B5-7A0252D4BFAE}"/>
    <cellStyle name="60% - Ênfase5" xfId="4386" xr:uid="{7AFBAA18-85B8-4D2D-BDE0-DDA6248E422D}"/>
    <cellStyle name="60% - Ênfase6" xfId="4387" xr:uid="{399BFFE8-B6AF-4C2F-9B1C-0C7F68DD200C}"/>
    <cellStyle name="A3 297 x 420 mm" xfId="50" xr:uid="{E5CA78B4-BE3F-4CF2-B5F2-9D959A891196}"/>
    <cellStyle name="A3 297 x 420 mm 2" xfId="280" xr:uid="{7632706A-79CF-400E-A35E-B2ABB5A09C30}"/>
    <cellStyle name="Accent1" xfId="87" builtinId="29" customBuiltin="1"/>
    <cellStyle name="Accent1 2" xfId="51" xr:uid="{9E40406A-1D88-4695-977F-44244E2FC899}"/>
    <cellStyle name="Accent2" xfId="88" builtinId="33" customBuiltin="1"/>
    <cellStyle name="Accent2 2" xfId="52" xr:uid="{0987259B-F76A-4091-B0A5-E6A075B29D1A}"/>
    <cellStyle name="Accent3" xfId="89" builtinId="37" customBuiltin="1"/>
    <cellStyle name="Accent3 2" xfId="53" xr:uid="{2F91FED0-09A9-45D0-B9A6-FD887422E040}"/>
    <cellStyle name="Accent4" xfId="90" builtinId="41" customBuiltin="1"/>
    <cellStyle name="Accent4 2" xfId="54" xr:uid="{8642B6B2-2ECF-45BD-8EEB-0B1B287B282B}"/>
    <cellStyle name="Accent5" xfId="91" builtinId="45" customBuiltin="1"/>
    <cellStyle name="Accent5 2" xfId="55" xr:uid="{7FB63C83-D666-4354-BA79-8F069CD9BD52}"/>
    <cellStyle name="Accent6" xfId="92" builtinId="49" customBuiltin="1"/>
    <cellStyle name="Accent6 2" xfId="56" xr:uid="{5081497C-F172-490D-8815-C8896B794F19}"/>
    <cellStyle name="AFE" xfId="57" xr:uid="{E467E9B1-92C0-4489-A46B-45D4307785B7}"/>
    <cellStyle name="AutoFormat Options" xfId="58" xr:uid="{103BD187-1051-456A-80BB-D78B6693DEFC}"/>
    <cellStyle name="AutoFormat Options 2" xfId="1273" xr:uid="{16DFF83A-75B9-4484-A281-710BE40ACEE2}"/>
    <cellStyle name="AutoFormat Options 2 2" xfId="3331" xr:uid="{CF56E90E-FEC2-4E79-A107-0AE0E74C60F3}"/>
    <cellStyle name="AutoFormat Options 2 2 2" xfId="8564" xr:uid="{0EA30365-1754-4378-A193-6B1907C013CB}"/>
    <cellStyle name="AutoFormat Options 2 2 2 2" xfId="18916" xr:uid="{3EFD03E6-9518-447F-8776-DA8BF60713F8}"/>
    <cellStyle name="AutoFormat Options 2 2 3" xfId="13741" xr:uid="{2890CB3D-73DD-4A49-8733-883F3585B5EA}"/>
    <cellStyle name="AutoFormat Options 2 3" xfId="6506" xr:uid="{9EBFD5D6-926F-48BB-A7DB-0D34CBDBF3BC}"/>
    <cellStyle name="AutoFormat Options 2 3 2" xfId="16858" xr:uid="{EF7FE7FC-327D-4C35-ACF0-52ED38D0AE80}"/>
    <cellStyle name="AutoFormat Options 2 4" xfId="11683" xr:uid="{167CAE8B-D7D9-42FA-9E01-72EC94285AE9}"/>
    <cellStyle name="AutoFormat Options 3" xfId="2301" xr:uid="{515718E6-EF14-42DF-B770-FB0F21FB9650}"/>
    <cellStyle name="AutoFormat Options 3 2" xfId="7534" xr:uid="{DAE5B235-4EDD-4907-840F-776E354204E7}"/>
    <cellStyle name="AutoFormat Options 3 2 2" xfId="17886" xr:uid="{D99BA336-9C38-4F6A-8475-D79C53377C91}"/>
    <cellStyle name="AutoFormat Options 3 3" xfId="12711" xr:uid="{52BB09AB-1085-4E9C-899D-65749ACD8B74}"/>
    <cellStyle name="AutoFormat Options 4" xfId="4426" xr:uid="{B61ED22B-D170-4A3C-A52A-8C8F70EFA008}"/>
    <cellStyle name="AutoFormat Options 4 2" xfId="9602" xr:uid="{53E91573-0194-4FF2-8564-D9C52F30324F}"/>
    <cellStyle name="AutoFormat Options 4 2 2" xfId="19954" xr:uid="{505D077C-5BA1-49E0-BF25-7B3A7A82A709}"/>
    <cellStyle name="AutoFormat Options 4 3" xfId="14778" xr:uid="{D9354DE8-2C8E-4773-9F0D-5DF01D6B25A8}"/>
    <cellStyle name="AutoFormat Options 5" xfId="5473" xr:uid="{E1B38517-246E-45B1-AD68-604EFD07054A}"/>
    <cellStyle name="AutoFormat Options 5 2" xfId="15825" xr:uid="{D43204D4-4F55-4964-B8FF-D5382FEFB4FA}"/>
    <cellStyle name="AutoFormat Options 6" xfId="10653" xr:uid="{A8D7FA0C-FF52-4B49-AE17-A833E230E506}"/>
    <cellStyle name="Bad" xfId="5" builtinId="27" customBuiltin="1"/>
    <cellStyle name="Bad 2" xfId="59" xr:uid="{E48B8627-36D2-4125-B973-03B779EEC748}"/>
    <cellStyle name="Basis Points" xfId="60" xr:uid="{A472F49C-8C01-4F7C-B7EC-02248F82281C}"/>
    <cellStyle name="blp_column_header" xfId="61" xr:uid="{CE2CEF85-1689-45AA-AE49-D066E4BB202A}"/>
    <cellStyle name="Bom" xfId="4" xr:uid="{6534F8EF-7A32-49AD-8382-CE823E6AD32B}"/>
    <cellStyle name="Bom 2" xfId="4388" xr:uid="{85B6EF5F-49E7-496D-95D1-BA7D300E291B}"/>
    <cellStyle name="Calculation" xfId="63" builtinId="22" customBuiltin="1"/>
    <cellStyle name="Calculation 2" xfId="62" xr:uid="{27D362EB-4C68-4D00-A334-011811D623F5}"/>
    <cellStyle name="Cálculo" xfId="4389" xr:uid="{D8183DAD-9CC3-4AA5-AD60-6A1D94739AA2}"/>
    <cellStyle name="CarteiraCabecalhoColuna 3" xfId="386" xr:uid="{8F520CA7-1508-4003-AAC1-4CC52C4E1906}"/>
    <cellStyle name="CarteiraDestaque" xfId="383" xr:uid="{D1073514-28F4-4C9E-B8EF-FB207FEBEE7B}"/>
    <cellStyle name="CarteiraDestaqueData" xfId="385" xr:uid="{D169CCF5-0E64-4542-AEAB-CF8D168856AA}"/>
    <cellStyle name="CarteiraNomeFundo" xfId="387" xr:uid="{B19B8D34-8A02-4154-8C40-531B74D71553}"/>
    <cellStyle name="CarteiraNomeSecao" xfId="384" xr:uid="{538BD9F7-5ABB-4A5C-9CF0-5EBA16C6D517}"/>
    <cellStyle name="Célula de Verificação" xfId="9" xr:uid="{7F655848-E513-44B3-88FB-88F02F38BDE0}"/>
    <cellStyle name="Célula de Verificação 2" xfId="4390" xr:uid="{7E01400B-0821-4F09-96FA-3559EA08F4B0}"/>
    <cellStyle name="Célula Vinculada" xfId="8" xr:uid="{41C7963F-0796-4B55-9FE9-165B86D646DB}"/>
    <cellStyle name="Célula Vinculada 2" xfId="4391" xr:uid="{EA5E4F6C-15B0-48BB-857E-00C6AF9ABCE2}"/>
    <cellStyle name="Check Cell" xfId="4361" builtinId="23" customBuiltin="1"/>
    <cellStyle name="Check Cell 2" xfId="64" xr:uid="{F6F472C9-F69F-468D-AC68-033571D7070F}"/>
    <cellStyle name="ColHeading" xfId="65" xr:uid="{47745584-3A47-4909-867E-B93775BC2CEC}"/>
    <cellStyle name="ColumnHeading" xfId="66" xr:uid="{5985BF99-C365-4BF5-897F-EE6AC99F9960}"/>
    <cellStyle name="Comma" xfId="190" builtinId="3"/>
    <cellStyle name="Comma [4]" xfId="67" xr:uid="{D2660E36-8D54-4845-BED5-6CCD79CA88C8}"/>
    <cellStyle name="Comma 10" xfId="202" xr:uid="{16AAEAC7-CE16-4834-9D90-1DAD07BA7363}"/>
    <cellStyle name="Comma 10 2" xfId="1288" xr:uid="{2C6206A2-E242-478C-AE88-BAEAF34D0110}"/>
    <cellStyle name="Comma 10 2 2" xfId="3346" xr:uid="{4774E330-AEB3-4FF4-8146-86671285B173}"/>
    <cellStyle name="Comma 10 2 2 2" xfId="8579" xr:uid="{87648C26-6A8D-4EAA-AF85-8B3603190BA5}"/>
    <cellStyle name="Comma 10 2 2 2 2" xfId="18931" xr:uid="{4000B972-AED8-4099-B2B5-98462FBAB54B}"/>
    <cellStyle name="Comma 10 2 2 3" xfId="13756" xr:uid="{C61EB579-45A9-41BC-A169-FB9E304D8404}"/>
    <cellStyle name="Comma 10 2 3" xfId="6521" xr:uid="{BCC052D9-2D90-4EAA-B499-FDFF759FA570}"/>
    <cellStyle name="Comma 10 2 3 2" xfId="16873" xr:uid="{1E429C4C-1306-47FE-87CF-041682C1712E}"/>
    <cellStyle name="Comma 10 2 4" xfId="11698" xr:uid="{040F617D-1C97-40C8-9145-E60E17F40C01}"/>
    <cellStyle name="Comma 10 3" xfId="2316" xr:uid="{03D29B66-7BA3-4499-A348-B1B71D267515}"/>
    <cellStyle name="Comma 10 3 2" xfId="7549" xr:uid="{66DDCE90-7293-4A62-B823-A3340BBCB03E}"/>
    <cellStyle name="Comma 10 3 2 2" xfId="17901" xr:uid="{B1CCDDCC-EE56-47F8-8B37-5AE52A6635BD}"/>
    <cellStyle name="Comma 10 3 3" xfId="12726" xr:uid="{E728B80E-3778-406B-9CC7-13A86F386451}"/>
    <cellStyle name="Comma 10 4" xfId="4442" xr:uid="{9F0C552F-207E-4327-9EF3-D7303194E48B}"/>
    <cellStyle name="Comma 10 4 2" xfId="9618" xr:uid="{64717DBE-CCAE-4CEA-9B05-E3EDFF9D635B}"/>
    <cellStyle name="Comma 10 4 2 2" xfId="19970" xr:uid="{7FAD0AB1-49CB-41F1-A510-8692C2F29661}"/>
    <cellStyle name="Comma 10 4 3" xfId="14794" xr:uid="{FF03C7AA-DEEC-4C8C-9D27-FC21602F2BFE}"/>
    <cellStyle name="Comma 10 5" xfId="5490" xr:uid="{29B04A9A-4BDC-4D05-8B43-B323DDAC95C8}"/>
    <cellStyle name="Comma 10 5 2" xfId="15842" xr:uid="{B1B9DEBF-8A68-4426-A61A-859A40876B9C}"/>
    <cellStyle name="Comma 10 6" xfId="10668" xr:uid="{90EAFAC4-E365-429C-AB8C-F055AC3D9E69}"/>
    <cellStyle name="Comma 100" xfId="314" xr:uid="{88353064-2C4A-4B2A-A343-F11D1834E3C8}"/>
    <cellStyle name="Comma 100 2" xfId="1378" xr:uid="{A823D0FC-BADF-4F95-8098-54F60F13665A}"/>
    <cellStyle name="Comma 100 2 2" xfId="3436" xr:uid="{6759C0E4-344C-42C3-80A6-5C8A13FC0C8F}"/>
    <cellStyle name="Comma 100 2 2 2" xfId="8669" xr:uid="{44F516C3-9CDD-4799-8280-49BE56168451}"/>
    <cellStyle name="Comma 100 2 2 2 2" xfId="19021" xr:uid="{BF7CE2ED-A9CA-4693-8D72-B6F18F89F493}"/>
    <cellStyle name="Comma 100 2 2 3" xfId="13846" xr:uid="{73E9CDF9-30BD-45A1-87B8-B249296125DA}"/>
    <cellStyle name="Comma 100 2 3" xfId="6611" xr:uid="{04E0323A-21D0-4E10-8FCB-E6FF3BC6D7FF}"/>
    <cellStyle name="Comma 100 2 3 2" xfId="16963" xr:uid="{12C8B9B1-4479-471E-861C-515BC22629F6}"/>
    <cellStyle name="Comma 100 2 4" xfId="11788" xr:uid="{C855C0A3-87E8-480B-B01F-760FFA406909}"/>
    <cellStyle name="Comma 100 3" xfId="2406" xr:uid="{24EB6B9B-0D33-4789-A338-92093685466A}"/>
    <cellStyle name="Comma 100 3 2" xfId="7639" xr:uid="{1627A066-279C-43E6-9133-C8F69217C7E4}"/>
    <cellStyle name="Comma 100 3 2 2" xfId="17991" xr:uid="{20B1BBAC-1B3E-45D4-BDF1-CF25DB3656EF}"/>
    <cellStyle name="Comma 100 3 3" xfId="12816" xr:uid="{C575F8D0-8990-4809-BA76-61CBC1FCF91F}"/>
    <cellStyle name="Comma 100 4" xfId="4532" xr:uid="{408A3474-775A-41B1-9940-D59FCF9A1DC5}"/>
    <cellStyle name="Comma 100 4 2" xfId="9708" xr:uid="{BAE8DB00-C87B-434B-912A-8FFA72183B32}"/>
    <cellStyle name="Comma 100 4 2 2" xfId="20060" xr:uid="{537BE7DF-A54E-4275-B94F-482B35E13172}"/>
    <cellStyle name="Comma 100 4 3" xfId="14884" xr:uid="{B94B1AA0-654D-4FB0-9B2A-916773FE9E98}"/>
    <cellStyle name="Comma 100 5" xfId="5580" xr:uid="{40DEDD34-71E0-48C7-82F7-295E282FED2E}"/>
    <cellStyle name="Comma 100 5 2" xfId="15932" xr:uid="{5194C0B7-98B1-4EF4-8229-287EBD77A9AE}"/>
    <cellStyle name="Comma 100 6" xfId="10758" xr:uid="{5B5853FA-5B8A-4CF0-9125-2B9D399FE0B7}"/>
    <cellStyle name="Comma 1000" xfId="1248" xr:uid="{49D12A22-E5DD-4A83-8D93-ACDD4D22A49B}"/>
    <cellStyle name="Comma 1000 2" xfId="2278" xr:uid="{E5576C1E-A6EB-4680-822F-C480C9948B1F}"/>
    <cellStyle name="Comma 1000 2 2" xfId="4336" xr:uid="{55CD24E7-3B05-46C9-8931-FFF848C6AAF2}"/>
    <cellStyle name="Comma 1000 2 2 2" xfId="9569" xr:uid="{311315D1-80E2-4539-BC83-3BD65481E664}"/>
    <cellStyle name="Comma 1000 2 2 2 2" xfId="19921" xr:uid="{5C1B31AD-CF02-41B6-8ACB-E796C5C59AEC}"/>
    <cellStyle name="Comma 1000 2 2 3" xfId="14746" xr:uid="{98355754-88AA-4935-81E4-6A9C0BE33C79}"/>
    <cellStyle name="Comma 1000 2 3" xfId="7511" xr:uid="{CCB3126E-BA14-4268-800C-7B572AC291DE}"/>
    <cellStyle name="Comma 1000 2 3 2" xfId="17863" xr:uid="{F0B307C6-88D8-4ACF-AF8D-AEC3C7867FEB}"/>
    <cellStyle name="Comma 1000 2 4" xfId="12688" xr:uid="{20392A84-E417-4835-98AB-8D993CEF3EEE}"/>
    <cellStyle name="Comma 1000 3" xfId="3306" xr:uid="{15114AEE-04E1-4B47-A1C1-27CA0928C1F2}"/>
    <cellStyle name="Comma 1000 3 2" xfId="8539" xr:uid="{9564A96A-6A30-4E5B-85B6-0CE1BBFBA45B}"/>
    <cellStyle name="Comma 1000 3 2 2" xfId="18891" xr:uid="{E67935AB-D792-4204-9FC8-CB6137EF5B6C}"/>
    <cellStyle name="Comma 1000 3 3" xfId="13716" xr:uid="{11F73B56-9898-40FA-9273-09E3C6B5834B}"/>
    <cellStyle name="Comma 1000 4" xfId="5432" xr:uid="{B1918BD5-D303-4D07-B47B-86E21B7A3ADE}"/>
    <cellStyle name="Comma 1000 4 2" xfId="10608" xr:uid="{736E328F-BE2B-4CBB-9DCE-D72085D8C5BA}"/>
    <cellStyle name="Comma 1000 4 2 2" xfId="20960" xr:uid="{1E7014FD-FD5E-44F5-B632-E1D352E531ED}"/>
    <cellStyle name="Comma 1000 4 3" xfId="15784" xr:uid="{74B97705-1B8E-45C8-B106-0E28366EEFA9}"/>
    <cellStyle name="Comma 1000 5" xfId="6480" xr:uid="{F32B94C3-1C8D-48D3-A448-EF865761E0E9}"/>
    <cellStyle name="Comma 1000 5 2" xfId="16832" xr:uid="{CD19E394-DFD2-48F0-8956-45F5920CFB78}"/>
    <cellStyle name="Comma 1000 6" xfId="11658" xr:uid="{A7BDA111-5D15-462C-8D80-C15C34F070CC}"/>
    <cellStyle name="Comma 1001" xfId="1249" xr:uid="{3B71930B-15FE-450C-A941-B19827FCEC16}"/>
    <cellStyle name="Comma 1001 2" xfId="2279" xr:uid="{DB5AF21B-0C3C-4BB6-86DA-B83457718F16}"/>
    <cellStyle name="Comma 1001 2 2" xfId="4337" xr:uid="{5C154A35-0B5A-44BA-A3DC-F842128C929C}"/>
    <cellStyle name="Comma 1001 2 2 2" xfId="9570" xr:uid="{C778AC27-E2A1-4496-9BF3-57308A8FDAB3}"/>
    <cellStyle name="Comma 1001 2 2 2 2" xfId="19922" xr:uid="{F589D511-E336-4FE6-A972-E958CC0CBC3E}"/>
    <cellStyle name="Comma 1001 2 2 3" xfId="14747" xr:uid="{0B5C8092-8E8A-4D44-B9CC-C07A589A836B}"/>
    <cellStyle name="Comma 1001 2 3" xfId="7512" xr:uid="{F9AA30BD-7409-4996-A935-09D993BDAA1A}"/>
    <cellStyle name="Comma 1001 2 3 2" xfId="17864" xr:uid="{5DCF4323-3A22-4CD7-A845-943786484946}"/>
    <cellStyle name="Comma 1001 2 4" xfId="12689" xr:uid="{C2F0C3E0-06D7-4636-B549-0C663BA17C84}"/>
    <cellStyle name="Comma 1001 3" xfId="3307" xr:uid="{7383BCDA-D04B-4B89-B874-CB2812826B60}"/>
    <cellStyle name="Comma 1001 3 2" xfId="8540" xr:uid="{358C27F9-72CC-49C8-8D79-34EAFD908099}"/>
    <cellStyle name="Comma 1001 3 2 2" xfId="18892" xr:uid="{FD733E2D-BAF7-42BE-BC5A-1D71456E6636}"/>
    <cellStyle name="Comma 1001 3 3" xfId="13717" xr:uid="{1CD6B391-5073-4A1E-B3A5-5D6F2615C679}"/>
    <cellStyle name="Comma 1001 4" xfId="5433" xr:uid="{10897322-EEEB-4BD5-9A5A-13B4C5D04D16}"/>
    <cellStyle name="Comma 1001 4 2" xfId="10609" xr:uid="{7D6EAF7F-2BA8-4440-8D6E-E1F4500CAFEF}"/>
    <cellStyle name="Comma 1001 4 2 2" xfId="20961" xr:uid="{075142EE-8197-43CB-AECB-A1FB531B78AB}"/>
    <cellStyle name="Comma 1001 4 3" xfId="15785" xr:uid="{2CCEDC50-37BA-4C87-B75F-3F62B7B2B1C9}"/>
    <cellStyle name="Comma 1001 5" xfId="6481" xr:uid="{6A315250-6315-4544-BAD9-CCB2276EAB5B}"/>
    <cellStyle name="Comma 1001 5 2" xfId="16833" xr:uid="{36016245-DE05-4410-99EF-0B52AF889838}"/>
    <cellStyle name="Comma 1001 6" xfId="11659" xr:uid="{5F3B6AEF-C993-41B3-8D45-CB81FDA04107}"/>
    <cellStyle name="Comma 1002" xfId="1250" xr:uid="{E3635005-8C7F-4C94-85F6-732AC020FBAF}"/>
    <cellStyle name="Comma 1002 2" xfId="2280" xr:uid="{0EB68EBE-32D2-4B07-961E-68F29DBE7D76}"/>
    <cellStyle name="Comma 1002 2 2" xfId="4338" xr:uid="{75881AB8-BF25-455C-8A1E-44E2A5C47A2E}"/>
    <cellStyle name="Comma 1002 2 2 2" xfId="9571" xr:uid="{991026F1-2916-455C-A2DB-4269D73F94B7}"/>
    <cellStyle name="Comma 1002 2 2 2 2" xfId="19923" xr:uid="{B44A7C8B-1DD5-428D-8D47-90363CE35561}"/>
    <cellStyle name="Comma 1002 2 2 3" xfId="14748" xr:uid="{798FC25D-0DAC-4A08-AFAC-C217488D08D9}"/>
    <cellStyle name="Comma 1002 2 3" xfId="7513" xr:uid="{84C9BB7D-8A06-4638-9297-F497345ACCF8}"/>
    <cellStyle name="Comma 1002 2 3 2" xfId="17865" xr:uid="{026F8A0E-C218-49AC-A627-1077249DFB40}"/>
    <cellStyle name="Comma 1002 2 4" xfId="12690" xr:uid="{4AB842C0-E84D-4D1B-80AD-18652541D0B3}"/>
    <cellStyle name="Comma 1002 3" xfId="3308" xr:uid="{F8CEBDFD-A056-4068-BD0C-EBF1B27A53FF}"/>
    <cellStyle name="Comma 1002 3 2" xfId="8541" xr:uid="{9FEA6EB6-E917-4D0A-BDD9-2095AEE97263}"/>
    <cellStyle name="Comma 1002 3 2 2" xfId="18893" xr:uid="{43AA219B-974A-4C2F-81EE-822C99E84674}"/>
    <cellStyle name="Comma 1002 3 3" xfId="13718" xr:uid="{E7A3807A-9CA3-4EA9-97F2-0E453FB38246}"/>
    <cellStyle name="Comma 1002 4" xfId="5434" xr:uid="{ED38993B-50C0-475B-BD1F-E2774360CF06}"/>
    <cellStyle name="Comma 1002 4 2" xfId="10610" xr:uid="{7ED9AC49-ADD0-4FE7-93DB-71930A4570FC}"/>
    <cellStyle name="Comma 1002 4 2 2" xfId="20962" xr:uid="{6566CA26-D26C-4BB6-B3F1-6941AB8C92FB}"/>
    <cellStyle name="Comma 1002 4 3" xfId="15786" xr:uid="{7FEE8146-05DC-4ADA-98D5-2F0C1F5E56E9}"/>
    <cellStyle name="Comma 1002 5" xfId="6482" xr:uid="{208666F6-5F7C-4C1A-8B55-32F8F9BAA921}"/>
    <cellStyle name="Comma 1002 5 2" xfId="16834" xr:uid="{295882CB-ECDE-4F93-BFFE-F7751D845621}"/>
    <cellStyle name="Comma 1002 6" xfId="11660" xr:uid="{0E586D30-8623-4730-BE45-5D2886E11EA8}"/>
    <cellStyle name="Comma 1003" xfId="1251" xr:uid="{4357EA1E-B594-4188-A5E2-E8E07E296ED5}"/>
    <cellStyle name="Comma 1003 2" xfId="2281" xr:uid="{1F755DA4-5C55-4589-83EB-29A6030CEA5F}"/>
    <cellStyle name="Comma 1003 2 2" xfId="4339" xr:uid="{256BE902-158C-42B9-ACE6-5B37571E0E4D}"/>
    <cellStyle name="Comma 1003 2 2 2" xfId="9572" xr:uid="{74056CA5-AD0F-43BF-86A1-7468E5C570D3}"/>
    <cellStyle name="Comma 1003 2 2 2 2" xfId="19924" xr:uid="{28A1510C-5D9C-44F1-BF6D-A466D5268820}"/>
    <cellStyle name="Comma 1003 2 2 3" xfId="14749" xr:uid="{D5C2405C-3407-45A3-AF18-C212A862EA49}"/>
    <cellStyle name="Comma 1003 2 3" xfId="7514" xr:uid="{6C9DB444-E846-43AE-8E7B-CD70F632D07D}"/>
    <cellStyle name="Comma 1003 2 3 2" xfId="17866" xr:uid="{67E5AF69-FCA7-4CDE-908D-A504665A449D}"/>
    <cellStyle name="Comma 1003 2 4" xfId="12691" xr:uid="{44EFD839-5B0E-472E-AD5E-F7132450BFB5}"/>
    <cellStyle name="Comma 1003 3" xfId="3309" xr:uid="{09BC3F5C-DF4D-4A46-B2C0-FF993ED6774B}"/>
    <cellStyle name="Comma 1003 3 2" xfId="8542" xr:uid="{A120AD20-FD3D-46D4-B250-00D1F1BAB8EA}"/>
    <cellStyle name="Comma 1003 3 2 2" xfId="18894" xr:uid="{31FDC339-919B-4DBE-9CAB-986C88095F7D}"/>
    <cellStyle name="Comma 1003 3 3" xfId="13719" xr:uid="{82836998-51A5-48FF-83C5-82C7F854D9EF}"/>
    <cellStyle name="Comma 1003 4" xfId="5435" xr:uid="{AC264BAB-257A-4959-BC99-F7E690F835F2}"/>
    <cellStyle name="Comma 1003 4 2" xfId="10611" xr:uid="{174B3A08-DAA9-47D9-9392-1EF6F2362252}"/>
    <cellStyle name="Comma 1003 4 2 2" xfId="20963" xr:uid="{6060D9E1-7F99-4338-A4D1-105452B1CDCF}"/>
    <cellStyle name="Comma 1003 4 3" xfId="15787" xr:uid="{FF146101-E5F1-4FAF-A567-5E810FCE45C0}"/>
    <cellStyle name="Comma 1003 5" xfId="6483" xr:uid="{CD15C4CE-66CA-4F4B-BACD-B1E9B470F4EB}"/>
    <cellStyle name="Comma 1003 5 2" xfId="16835" xr:uid="{E7188B1A-9BD6-4C00-B36E-84E8AC4BCD09}"/>
    <cellStyle name="Comma 1003 6" xfId="11661" xr:uid="{86F467AB-3AC8-46AA-A381-E24216CDF825}"/>
    <cellStyle name="Comma 1004" xfId="1252" xr:uid="{8FAF0C1B-3AFF-4D6A-99A2-B14BBE1271E6}"/>
    <cellStyle name="Comma 1004 2" xfId="2282" xr:uid="{BD7B80D5-A5C9-49AF-B27D-7830A12987B1}"/>
    <cellStyle name="Comma 1004 2 2" xfId="4340" xr:uid="{F0FEBC42-CC10-42EC-BC89-CD140D008281}"/>
    <cellStyle name="Comma 1004 2 2 2" xfId="9573" xr:uid="{17E94623-B3BB-42CF-A502-333CFED2FD53}"/>
    <cellStyle name="Comma 1004 2 2 2 2" xfId="19925" xr:uid="{C240D2C1-194F-44A5-8E42-12546651DFA6}"/>
    <cellStyle name="Comma 1004 2 2 3" xfId="14750" xr:uid="{CD1DAE37-A620-46B5-A8E8-5A040A5E4E9A}"/>
    <cellStyle name="Comma 1004 2 3" xfId="7515" xr:uid="{F5DBFBA0-7E2F-4BB6-B27B-4B452C95755D}"/>
    <cellStyle name="Comma 1004 2 3 2" xfId="17867" xr:uid="{AAB2116D-34E0-4393-8815-0E1D0A639A82}"/>
    <cellStyle name="Comma 1004 2 4" xfId="12692" xr:uid="{944DC9A8-C567-4394-B054-0310FAD43A35}"/>
    <cellStyle name="Comma 1004 3" xfId="3310" xr:uid="{364C1D47-8BB8-4623-A2DE-2C729F0012BF}"/>
    <cellStyle name="Comma 1004 3 2" xfId="8543" xr:uid="{0EF33FE1-ED14-4A79-8DDE-0989AB6E9E8F}"/>
    <cellStyle name="Comma 1004 3 2 2" xfId="18895" xr:uid="{32A16527-7541-48CB-99BD-3036DDACA990}"/>
    <cellStyle name="Comma 1004 3 3" xfId="13720" xr:uid="{849109D4-61CE-4B04-A10D-2A55A1C86233}"/>
    <cellStyle name="Comma 1004 4" xfId="5436" xr:uid="{7DC86402-F243-4A7E-B477-B79C0640B342}"/>
    <cellStyle name="Comma 1004 4 2" xfId="10612" xr:uid="{DB4EB9F2-FDC8-41E7-9321-57B74E82FB44}"/>
    <cellStyle name="Comma 1004 4 2 2" xfId="20964" xr:uid="{684E348F-4BA0-4B41-870E-56C7771ABCAD}"/>
    <cellStyle name="Comma 1004 4 3" xfId="15788" xr:uid="{D9FFA976-3D69-4048-8B4E-2592B36EA928}"/>
    <cellStyle name="Comma 1004 5" xfId="6484" xr:uid="{2AC4A7B7-03D1-4B93-9EB4-0884F05C415C}"/>
    <cellStyle name="Comma 1004 5 2" xfId="16836" xr:uid="{DB3ABB8A-AF6A-49DA-A64C-9202114047E2}"/>
    <cellStyle name="Comma 1004 6" xfId="11662" xr:uid="{7D3F35B2-5C13-40E6-B65A-65A5AF91EAD5}"/>
    <cellStyle name="Comma 1005" xfId="1253" xr:uid="{70E6B3EE-274D-450D-9E9E-A387E1952130}"/>
    <cellStyle name="Comma 1005 2" xfId="2283" xr:uid="{49B4B5BD-521B-4715-B1EC-E30F5EB02DDE}"/>
    <cellStyle name="Comma 1005 2 2" xfId="4341" xr:uid="{D4470D09-CB39-4979-94B7-7CC0EAD68A04}"/>
    <cellStyle name="Comma 1005 2 2 2" xfId="9574" xr:uid="{D8CE3FE7-B661-4D91-B043-70CF78F1527C}"/>
    <cellStyle name="Comma 1005 2 2 2 2" xfId="19926" xr:uid="{495C65C2-A3A9-4A85-AC15-64A684A7B085}"/>
    <cellStyle name="Comma 1005 2 2 3" xfId="14751" xr:uid="{55EBDC36-E107-4298-9D51-1BC095167962}"/>
    <cellStyle name="Comma 1005 2 3" xfId="7516" xr:uid="{5DACB8FE-6DCB-487F-99D5-B61ABB7FEC6B}"/>
    <cellStyle name="Comma 1005 2 3 2" xfId="17868" xr:uid="{BA0C5FAA-42CB-48CC-9FFD-4A0D5AD3876A}"/>
    <cellStyle name="Comma 1005 2 4" xfId="12693" xr:uid="{EABEE857-9E4D-4A85-B550-7F1FE468B0AD}"/>
    <cellStyle name="Comma 1005 3" xfId="3311" xr:uid="{F7B4B3C0-9EF1-44ED-AB75-3492E35DD2C1}"/>
    <cellStyle name="Comma 1005 3 2" xfId="8544" xr:uid="{33D42672-3851-41DC-A788-657659842883}"/>
    <cellStyle name="Comma 1005 3 2 2" xfId="18896" xr:uid="{096C4F69-5539-4F70-A9B3-3E9CAEB163E8}"/>
    <cellStyle name="Comma 1005 3 3" xfId="13721" xr:uid="{B6E31E77-0210-48A8-8286-31A78E42564B}"/>
    <cellStyle name="Comma 1005 4" xfId="5437" xr:uid="{B022E678-01BA-4E5D-B8B7-8EA7F0B1C263}"/>
    <cellStyle name="Comma 1005 4 2" xfId="10613" xr:uid="{C69057A5-C88C-4E90-9A68-2FCBD69C1F45}"/>
    <cellStyle name="Comma 1005 4 2 2" xfId="20965" xr:uid="{81982C68-BF53-4693-BAD4-3EA1741B25A6}"/>
    <cellStyle name="Comma 1005 4 3" xfId="15789" xr:uid="{7730B754-105B-4812-9592-384001565EA0}"/>
    <cellStyle name="Comma 1005 5" xfId="6485" xr:uid="{C83CE757-845E-483A-847A-68E6E57A501E}"/>
    <cellStyle name="Comma 1005 5 2" xfId="16837" xr:uid="{53985079-FCA5-4CB8-993B-A07348E4DCAA}"/>
    <cellStyle name="Comma 1005 6" xfId="11663" xr:uid="{BE296032-DE5E-4440-B56D-2E3400FDC119}"/>
    <cellStyle name="Comma 1006" xfId="1254" xr:uid="{C8CB4E6C-3F2B-4C54-92E4-687D95FC1E43}"/>
    <cellStyle name="Comma 1006 2" xfId="2284" xr:uid="{C1811EDD-6ACA-4E05-B3F7-60A7E5E9B955}"/>
    <cellStyle name="Comma 1006 2 2" xfId="4342" xr:uid="{82163AA0-45B9-4FC0-9377-02C9540BAE4F}"/>
    <cellStyle name="Comma 1006 2 2 2" xfId="9575" xr:uid="{8820C2C6-3BFA-49F9-A6CB-4D4D95F45C27}"/>
    <cellStyle name="Comma 1006 2 2 2 2" xfId="19927" xr:uid="{F827E1F7-5E37-462D-8164-348590E8924D}"/>
    <cellStyle name="Comma 1006 2 2 3" xfId="14752" xr:uid="{DD6CEE76-B4AD-486A-8458-6D3A1B3F2CAB}"/>
    <cellStyle name="Comma 1006 2 3" xfId="7517" xr:uid="{943BFAA6-9621-4117-BF25-4A87CD339772}"/>
    <cellStyle name="Comma 1006 2 3 2" xfId="17869" xr:uid="{0E51696C-4A00-4AEA-9614-4E10E36EAE50}"/>
    <cellStyle name="Comma 1006 2 4" xfId="12694" xr:uid="{1BA9105C-DC31-4694-B1B5-D1F535D6E614}"/>
    <cellStyle name="Comma 1006 3" xfId="3312" xr:uid="{EF497E47-B73D-48D9-B9BD-4DCD7FDEFADA}"/>
    <cellStyle name="Comma 1006 3 2" xfId="8545" xr:uid="{4156EA72-613B-4A69-8232-899B0B75C9E2}"/>
    <cellStyle name="Comma 1006 3 2 2" xfId="18897" xr:uid="{FDFCF20A-92FA-4313-8CEC-EC5B34806BFC}"/>
    <cellStyle name="Comma 1006 3 3" xfId="13722" xr:uid="{F54214E8-4E9C-4D9A-AEEE-996B0BBF2D46}"/>
    <cellStyle name="Comma 1006 4" xfId="5438" xr:uid="{FB43255E-EEC3-4122-AF16-104A47E2B907}"/>
    <cellStyle name="Comma 1006 4 2" xfId="10614" xr:uid="{3A50F127-F4E4-449E-B1B8-E9A99AEC55CF}"/>
    <cellStyle name="Comma 1006 4 2 2" xfId="20966" xr:uid="{C81A0D0F-02B7-4736-9C1D-17ADCC6D2D45}"/>
    <cellStyle name="Comma 1006 4 3" xfId="15790" xr:uid="{CF92CD8F-5032-487C-9901-035AE78F41DA}"/>
    <cellStyle name="Comma 1006 5" xfId="6486" xr:uid="{954642C9-A91B-4A51-BAE4-2A9B71711599}"/>
    <cellStyle name="Comma 1006 5 2" xfId="16838" xr:uid="{366CE2DF-62AA-4CEF-8631-8985FA0E3C0B}"/>
    <cellStyle name="Comma 1006 6" xfId="11664" xr:uid="{71FB7A32-C9CA-4A3F-A016-EFBF7492460E}"/>
    <cellStyle name="Comma 1007" xfId="1255" xr:uid="{6A51372B-B34A-471D-8734-7E2F8B7BEA66}"/>
    <cellStyle name="Comma 1007 2" xfId="2285" xr:uid="{AFBA3CC1-4AA7-474F-8E23-305C45DB5990}"/>
    <cellStyle name="Comma 1007 2 2" xfId="4343" xr:uid="{C47712FF-9635-4411-A0F2-63BC411BD25D}"/>
    <cellStyle name="Comma 1007 2 2 2" xfId="9576" xr:uid="{31D5AFD7-1850-4718-AC2D-B6315EBEB380}"/>
    <cellStyle name="Comma 1007 2 2 2 2" xfId="19928" xr:uid="{2AB17061-9D82-424E-8A5C-F3013AEBF6E6}"/>
    <cellStyle name="Comma 1007 2 2 3" xfId="14753" xr:uid="{70DEE4AB-048D-4AEE-974E-4F94158015E0}"/>
    <cellStyle name="Comma 1007 2 3" xfId="7518" xr:uid="{62727079-E8AB-4239-B694-BB5A8E4796EE}"/>
    <cellStyle name="Comma 1007 2 3 2" xfId="17870" xr:uid="{FEF633BF-4F1B-4E86-B2EE-FDB9FFA81387}"/>
    <cellStyle name="Comma 1007 2 4" xfId="12695" xr:uid="{E2BBA8A4-CDA4-42FB-B7B6-5F940025B65A}"/>
    <cellStyle name="Comma 1007 3" xfId="3313" xr:uid="{099BA72B-6B0B-4F9D-AFF4-C042687F897B}"/>
    <cellStyle name="Comma 1007 3 2" xfId="8546" xr:uid="{0BACE942-5874-4FE1-B354-637330E1ABE8}"/>
    <cellStyle name="Comma 1007 3 2 2" xfId="18898" xr:uid="{EBA6AA28-FF9B-4AB8-B86E-740A2A84A274}"/>
    <cellStyle name="Comma 1007 3 3" xfId="13723" xr:uid="{F7753404-0204-482A-986C-992BC890C042}"/>
    <cellStyle name="Comma 1007 4" xfId="5439" xr:uid="{C338CA5C-6497-4E87-BA9F-5A195A1CFAF1}"/>
    <cellStyle name="Comma 1007 4 2" xfId="10615" xr:uid="{10BB93FA-FF71-474A-A0D1-7D80E7B50813}"/>
    <cellStyle name="Comma 1007 4 2 2" xfId="20967" xr:uid="{4A52A35E-0871-4433-A009-53583194BB94}"/>
    <cellStyle name="Comma 1007 4 3" xfId="15791" xr:uid="{8B8D399C-F265-44B4-8B47-05B16D022645}"/>
    <cellStyle name="Comma 1007 5" xfId="6487" xr:uid="{82AACE62-0A65-470B-968F-8C12B3BF6B7B}"/>
    <cellStyle name="Comma 1007 5 2" xfId="16839" xr:uid="{CA0295F5-52E7-4EE0-AD54-0E59F0532E64}"/>
    <cellStyle name="Comma 1007 6" xfId="11665" xr:uid="{1365F62A-662C-42FA-ABFB-C47BBB682963}"/>
    <cellStyle name="Comma 1008" xfId="1256" xr:uid="{CD3C4FDF-6AA6-47B0-A770-C269DB1C4B23}"/>
    <cellStyle name="Comma 1008 2" xfId="2286" xr:uid="{5AF11800-A21E-471F-9ED0-28C9B79D344E}"/>
    <cellStyle name="Comma 1008 2 2" xfId="4344" xr:uid="{7EF1C7A8-70C5-4F51-99FE-C8A40650267E}"/>
    <cellStyle name="Comma 1008 2 2 2" xfId="9577" xr:uid="{A6C46746-2CAD-4EBB-996A-39F6BDEA00D7}"/>
    <cellStyle name="Comma 1008 2 2 2 2" xfId="19929" xr:uid="{7D3C1F17-FEFC-4461-A891-D203FA5249B4}"/>
    <cellStyle name="Comma 1008 2 2 3" xfId="14754" xr:uid="{5663F41A-09F9-4140-B0F6-CC08E2DDB869}"/>
    <cellStyle name="Comma 1008 2 3" xfId="7519" xr:uid="{5F20F50B-12D6-4639-A285-F639C1233705}"/>
    <cellStyle name="Comma 1008 2 3 2" xfId="17871" xr:uid="{C6CCF28C-8294-4AD6-84FE-8D401F2A2671}"/>
    <cellStyle name="Comma 1008 2 4" xfId="12696" xr:uid="{367E7461-150F-4547-8759-11F4872223D4}"/>
    <cellStyle name="Comma 1008 3" xfId="3314" xr:uid="{F2390D1F-8FE2-4491-BAC2-6120E8E3D7EB}"/>
    <cellStyle name="Comma 1008 3 2" xfId="8547" xr:uid="{60A23567-6EEA-4E3C-A176-71344599F3B7}"/>
    <cellStyle name="Comma 1008 3 2 2" xfId="18899" xr:uid="{E3F6C7D1-82C8-4EE1-9A94-3F05B0DF60DB}"/>
    <cellStyle name="Comma 1008 3 3" xfId="13724" xr:uid="{F0B1AB8F-FF29-4B4E-9700-10B8323FCA89}"/>
    <cellStyle name="Comma 1008 4" xfId="5440" xr:uid="{A0110322-FAE5-4379-A4B1-D235EFD34F5C}"/>
    <cellStyle name="Comma 1008 4 2" xfId="10616" xr:uid="{915C5B7B-D130-408B-ACFC-5754B1F2754A}"/>
    <cellStyle name="Comma 1008 4 2 2" xfId="20968" xr:uid="{42FD899D-7E10-48F4-B3E7-E2ECD0233F41}"/>
    <cellStyle name="Comma 1008 4 3" xfId="15792" xr:uid="{C9FDB0E2-4AE3-4313-A5EC-0CC9911B1234}"/>
    <cellStyle name="Comma 1008 5" xfId="6488" xr:uid="{D2228CA3-970B-4392-BAC5-BD8B9038A438}"/>
    <cellStyle name="Comma 1008 5 2" xfId="16840" xr:uid="{613F1AA6-0166-4649-B7CE-0C71EA3A0570}"/>
    <cellStyle name="Comma 1008 6" xfId="11666" xr:uid="{EBDF3DBD-22EC-4E01-8D78-41CDAE9A0DD4}"/>
    <cellStyle name="Comma 1009" xfId="1257" xr:uid="{FE06DFBA-9FBF-470F-B62C-232A2F45048E}"/>
    <cellStyle name="Comma 1009 2" xfId="2287" xr:uid="{C8C21C25-BEAB-4658-9DAB-F2397F722A81}"/>
    <cellStyle name="Comma 1009 2 2" xfId="4345" xr:uid="{DD7BC421-69E7-4145-B46B-C6BBDABD6E59}"/>
    <cellStyle name="Comma 1009 2 2 2" xfId="9578" xr:uid="{8CF0ACC5-7BF3-4927-A011-C3381B6E0641}"/>
    <cellStyle name="Comma 1009 2 2 2 2" xfId="19930" xr:uid="{16F71325-835E-4F9D-B65B-23B9AAF9C7D8}"/>
    <cellStyle name="Comma 1009 2 2 3" xfId="14755" xr:uid="{849ACDE6-38E7-4118-B5FB-C2E4AF36218D}"/>
    <cellStyle name="Comma 1009 2 3" xfId="7520" xr:uid="{E0EA307F-7D1F-4B47-9718-F6EDB71ABFC2}"/>
    <cellStyle name="Comma 1009 2 3 2" xfId="17872" xr:uid="{5572B9A9-1904-4176-8C90-BDE72491EE41}"/>
    <cellStyle name="Comma 1009 2 4" xfId="12697" xr:uid="{DE00288A-ECD4-4DFD-AD57-6A4781F1C334}"/>
    <cellStyle name="Comma 1009 3" xfId="3315" xr:uid="{FFD09C12-FB21-4FA9-A945-3BC72343956C}"/>
    <cellStyle name="Comma 1009 3 2" xfId="8548" xr:uid="{D5851313-C446-4E83-BB28-81C8FCB10037}"/>
    <cellStyle name="Comma 1009 3 2 2" xfId="18900" xr:uid="{919F1612-60D5-4250-BEB6-296CA51BFDF0}"/>
    <cellStyle name="Comma 1009 3 3" xfId="13725" xr:uid="{B4E74BD4-9F87-434D-9438-23E2E0605578}"/>
    <cellStyle name="Comma 1009 4" xfId="5441" xr:uid="{7AD32F29-BB3E-4547-A8BA-E1A3A7B2F12E}"/>
    <cellStyle name="Comma 1009 4 2" xfId="10617" xr:uid="{72EFBCCC-9539-4FA7-A088-5E330496DE24}"/>
    <cellStyle name="Comma 1009 4 2 2" xfId="20969" xr:uid="{898CBDFA-C6F7-4D11-813E-9B599813DE92}"/>
    <cellStyle name="Comma 1009 4 3" xfId="15793" xr:uid="{B7F6579B-F968-453E-9168-766360773D28}"/>
    <cellStyle name="Comma 1009 5" xfId="6489" xr:uid="{DE74D4B0-077A-432C-847C-6925C8BA1B3E}"/>
    <cellStyle name="Comma 1009 5 2" xfId="16841" xr:uid="{A14ADF80-C85B-48F8-A9BD-59D206C8EFFA}"/>
    <cellStyle name="Comma 1009 6" xfId="11667" xr:uid="{56D1304A-5871-4A05-970E-DA2596DD214A}"/>
    <cellStyle name="Comma 101" xfId="315" xr:uid="{3C2B9B20-B10B-4FFC-A2E6-D2576E6AB1A2}"/>
    <cellStyle name="Comma 101 2" xfId="1379" xr:uid="{1D9A355C-33C0-4851-BD16-6D895128F0AC}"/>
    <cellStyle name="Comma 101 2 2" xfId="3437" xr:uid="{10590D3A-594D-4E63-BE58-E097859925D1}"/>
    <cellStyle name="Comma 101 2 2 2" xfId="8670" xr:uid="{7E9E57C7-31E4-4C21-B59C-D63A53C161CC}"/>
    <cellStyle name="Comma 101 2 2 2 2" xfId="19022" xr:uid="{B2B7B733-B8E3-46D2-869D-6754D828159F}"/>
    <cellStyle name="Comma 101 2 2 3" xfId="13847" xr:uid="{B5B13938-504D-4FFB-98B7-B022ED303F37}"/>
    <cellStyle name="Comma 101 2 3" xfId="6612" xr:uid="{D828F253-A916-4979-AB99-5AEFBD7FAE69}"/>
    <cellStyle name="Comma 101 2 3 2" xfId="16964" xr:uid="{7BC12A97-B430-470B-9CA2-E99AF3FBD900}"/>
    <cellStyle name="Comma 101 2 4" xfId="11789" xr:uid="{A7AAC83C-544F-4C8A-B6DC-CC5B88A0666C}"/>
    <cellStyle name="Comma 101 3" xfId="2407" xr:uid="{A82FA974-DD6D-43EE-9B53-CEA5E253CF59}"/>
    <cellStyle name="Comma 101 3 2" xfId="7640" xr:uid="{E52407DA-E66E-487C-B751-F114F85B9D83}"/>
    <cellStyle name="Comma 101 3 2 2" xfId="17992" xr:uid="{5AE1D6B3-5E36-4F01-AA47-535F976ADD91}"/>
    <cellStyle name="Comma 101 3 3" xfId="12817" xr:uid="{67B45017-7596-4C4B-84BD-F2492B494735}"/>
    <cellStyle name="Comma 101 4" xfId="4533" xr:uid="{0EDFA03B-C580-467B-AAD8-7FA0904CBE3E}"/>
    <cellStyle name="Comma 101 4 2" xfId="9709" xr:uid="{3DB7003D-ECFC-4851-9A47-50A8137E27DC}"/>
    <cellStyle name="Comma 101 4 2 2" xfId="20061" xr:uid="{3658FFBB-9669-4C53-BA1A-38FF09E28A32}"/>
    <cellStyle name="Comma 101 4 3" xfId="14885" xr:uid="{1F9D0D2C-7346-4452-BC4E-3841689F154D}"/>
    <cellStyle name="Comma 101 5" xfId="5581" xr:uid="{3FB56BBA-DA95-417B-ADC6-4CF92191BD00}"/>
    <cellStyle name="Comma 101 5 2" xfId="15933" xr:uid="{96BCF503-747A-43B9-891C-8B6AD3157D77}"/>
    <cellStyle name="Comma 101 6" xfId="10759" xr:uid="{130BAB33-6E15-4F31-8EF7-D4ED0B961DE3}"/>
    <cellStyle name="Comma 1010" xfId="1258" xr:uid="{45A98550-3A3B-4E18-A0F1-F620B91BBCCB}"/>
    <cellStyle name="Comma 1010 2" xfId="2288" xr:uid="{6D61823E-0258-4473-ADBE-AA89B9AEB3AA}"/>
    <cellStyle name="Comma 1010 2 2" xfId="4346" xr:uid="{D0C9DEB1-CC8F-4017-A60B-E0BE80F9A4C1}"/>
    <cellStyle name="Comma 1010 2 2 2" xfId="9579" xr:uid="{BC1A10BB-51E2-445C-AB4B-F5FAA2DC9B0F}"/>
    <cellStyle name="Comma 1010 2 2 2 2" xfId="19931" xr:uid="{19E7DB13-D4EB-405E-83B2-7EEAB8945F1D}"/>
    <cellStyle name="Comma 1010 2 2 3" xfId="14756" xr:uid="{B081A5BC-F97A-4056-AE5B-F6AED59D508F}"/>
    <cellStyle name="Comma 1010 2 3" xfId="7521" xr:uid="{9AF66356-DFAF-4455-9376-FA705D91389E}"/>
    <cellStyle name="Comma 1010 2 3 2" xfId="17873" xr:uid="{04043DD4-D7DC-4BC6-9F51-D2CA45A973DF}"/>
    <cellStyle name="Comma 1010 2 4" xfId="12698" xr:uid="{911ADFEE-4D36-4A1D-94B7-E39417DA62DC}"/>
    <cellStyle name="Comma 1010 3" xfId="3316" xr:uid="{972878BA-3EAF-424A-93F0-3941005BB23E}"/>
    <cellStyle name="Comma 1010 3 2" xfId="8549" xr:uid="{160C514F-4C10-403C-B6C4-E14F149BCE47}"/>
    <cellStyle name="Comma 1010 3 2 2" xfId="18901" xr:uid="{3D4E0ED7-0AB3-4FAA-A216-E46BE55F5F45}"/>
    <cellStyle name="Comma 1010 3 3" xfId="13726" xr:uid="{44C8C3D4-42AB-4C33-87E3-AE76C18091E1}"/>
    <cellStyle name="Comma 1010 4" xfId="5442" xr:uid="{58DEB174-6757-4E39-A81A-87640394919C}"/>
    <cellStyle name="Comma 1010 4 2" xfId="10618" xr:uid="{B2D827A2-792C-4C81-9B64-DE4C23E2B963}"/>
    <cellStyle name="Comma 1010 4 2 2" xfId="20970" xr:uid="{4F5FFBF2-C6D6-4B6A-9DE5-64AFF99A6296}"/>
    <cellStyle name="Comma 1010 4 3" xfId="15794" xr:uid="{59232AB0-EE13-4AB0-8D5D-9E82C64FE53E}"/>
    <cellStyle name="Comma 1010 5" xfId="6490" xr:uid="{6C925D4C-8E37-4EA6-B606-BCFDCFA59F7E}"/>
    <cellStyle name="Comma 1010 5 2" xfId="16842" xr:uid="{86254A54-DC02-4247-B23A-83224AC91CAD}"/>
    <cellStyle name="Comma 1010 6" xfId="11668" xr:uid="{37B6141B-D246-40B9-B408-8032AFBEF4E1}"/>
    <cellStyle name="Comma 1011" xfId="1259" xr:uid="{0DD13077-C331-4F59-A980-3A18661B2D60}"/>
    <cellStyle name="Comma 1011 2" xfId="2289" xr:uid="{B81F9C43-ADC0-40BA-BF5C-9AD843795426}"/>
    <cellStyle name="Comma 1011 2 2" xfId="4347" xr:uid="{0C3F9C5E-07F9-4E22-9086-29CE003D74F7}"/>
    <cellStyle name="Comma 1011 2 2 2" xfId="9580" xr:uid="{E4817D74-643C-45C0-A866-071D87E0B814}"/>
    <cellStyle name="Comma 1011 2 2 2 2" xfId="19932" xr:uid="{6C0AA402-4238-439E-A1C9-8B82A120E2BB}"/>
    <cellStyle name="Comma 1011 2 2 3" xfId="14757" xr:uid="{4FD23F9A-6BF3-4A8B-AD33-6BA6BC55C57F}"/>
    <cellStyle name="Comma 1011 2 3" xfId="7522" xr:uid="{051E2879-5ABB-4F7B-BEF0-FF9A5674253E}"/>
    <cellStyle name="Comma 1011 2 3 2" xfId="17874" xr:uid="{212B4028-E5C6-415E-BDBD-7FB00583D403}"/>
    <cellStyle name="Comma 1011 2 4" xfId="12699" xr:uid="{2C3F1517-81D2-4FDD-A5D0-926E3D28F440}"/>
    <cellStyle name="Comma 1011 3" xfId="3317" xr:uid="{509FD623-33D3-4DBD-8394-B91EE2760FC5}"/>
    <cellStyle name="Comma 1011 3 2" xfId="8550" xr:uid="{12B760BE-6632-4804-B4BE-39577C56CF00}"/>
    <cellStyle name="Comma 1011 3 2 2" xfId="18902" xr:uid="{E3F30D3B-CB1A-4C1D-90F7-4B2EC53325F6}"/>
    <cellStyle name="Comma 1011 3 3" xfId="13727" xr:uid="{8684D8B8-E5D2-4C87-A6CE-8EAFEE1CE85D}"/>
    <cellStyle name="Comma 1011 4" xfId="5443" xr:uid="{85424B2E-DE30-43CA-B2FB-AF6C2B576283}"/>
    <cellStyle name="Comma 1011 4 2" xfId="10619" xr:uid="{3EB608D1-A5B4-40DC-9EBE-CB025BC04C42}"/>
    <cellStyle name="Comma 1011 4 2 2" xfId="20971" xr:uid="{2BD67259-D03A-4E9D-902F-B6D77F0695AA}"/>
    <cellStyle name="Comma 1011 4 3" xfId="15795" xr:uid="{40FB01FC-46D2-47B9-9B1A-935E0980BC6E}"/>
    <cellStyle name="Comma 1011 5" xfId="6491" xr:uid="{926EA44C-EDB0-49C8-9515-52B3B00685C4}"/>
    <cellStyle name="Comma 1011 5 2" xfId="16843" xr:uid="{615BF90A-85F8-42B5-82F9-62AF7434FB5A}"/>
    <cellStyle name="Comma 1011 6" xfId="11669" xr:uid="{78AF0561-1735-40AB-B9DA-C819A7F39671}"/>
    <cellStyle name="Comma 1012" xfId="1260" xr:uid="{BC60EA7A-C08B-4B92-A776-E04071089B41}"/>
    <cellStyle name="Comma 1012 2" xfId="2290" xr:uid="{88A37581-0198-4FB6-8D22-D9755D7E67DE}"/>
    <cellStyle name="Comma 1012 2 2" xfId="4348" xr:uid="{402E2259-DC12-46D6-9B22-A3A2CC724EF0}"/>
    <cellStyle name="Comma 1012 2 2 2" xfId="9581" xr:uid="{45618069-C2A0-495A-8723-F63093244AA3}"/>
    <cellStyle name="Comma 1012 2 2 2 2" xfId="19933" xr:uid="{DB76F6CF-ECDE-4934-AB8A-37A60A1C828C}"/>
    <cellStyle name="Comma 1012 2 2 3" xfId="14758" xr:uid="{FF8606CB-2E9D-4862-A179-28D36ECBB125}"/>
    <cellStyle name="Comma 1012 2 3" xfId="7523" xr:uid="{A0CAFBCA-9AFE-4370-B645-3D19959002A9}"/>
    <cellStyle name="Comma 1012 2 3 2" xfId="17875" xr:uid="{2344A0BF-D877-4A94-8540-CDDA2FC68D36}"/>
    <cellStyle name="Comma 1012 2 4" xfId="12700" xr:uid="{2846B5D5-C5C0-4369-82BB-A679D8DFB022}"/>
    <cellStyle name="Comma 1012 3" xfId="3318" xr:uid="{17FFFC69-3389-45A4-9587-24C955E60EBF}"/>
    <cellStyle name="Comma 1012 3 2" xfId="8551" xr:uid="{5BD14C97-0E04-4B1B-96FE-87C41F2FAA98}"/>
    <cellStyle name="Comma 1012 3 2 2" xfId="18903" xr:uid="{0970E816-7570-4DEC-8059-AA07F2B3E3E6}"/>
    <cellStyle name="Comma 1012 3 3" xfId="13728" xr:uid="{012546DD-89F1-4673-8B98-0DD22F2DC0C2}"/>
    <cellStyle name="Comma 1012 4" xfId="5444" xr:uid="{C8AC3E3B-81AC-4616-9ED9-B563714B0D64}"/>
    <cellStyle name="Comma 1012 4 2" xfId="10620" xr:uid="{5FC1728E-7401-4D0B-88EB-A65D598DF69C}"/>
    <cellStyle name="Comma 1012 4 2 2" xfId="20972" xr:uid="{07EAC37A-0540-463B-A322-1B23DC09BE19}"/>
    <cellStyle name="Comma 1012 4 3" xfId="15796" xr:uid="{38DF3164-4A1D-4DA4-B753-E39D19105FDF}"/>
    <cellStyle name="Comma 1012 5" xfId="6492" xr:uid="{0806D11A-E591-4314-9BE6-9361065C5360}"/>
    <cellStyle name="Comma 1012 5 2" xfId="16844" xr:uid="{911E63E4-AC41-4F1B-9046-6B85B7D06815}"/>
    <cellStyle name="Comma 1012 6" xfId="11670" xr:uid="{EB863D7D-CA68-48B8-B32D-7B060AD2E2A5}"/>
    <cellStyle name="Comma 1013" xfId="1261" xr:uid="{63EF2F45-5716-44DF-825C-772455C8986E}"/>
    <cellStyle name="Comma 1013 2" xfId="2291" xr:uid="{F5BF0DC9-B0C4-4A2B-883A-AEB3330E6BEC}"/>
    <cellStyle name="Comma 1013 2 2" xfId="4349" xr:uid="{0FFB4F23-B8AB-47D0-BCDF-03675BB9B82A}"/>
    <cellStyle name="Comma 1013 2 2 2" xfId="9582" xr:uid="{CA129130-FA3E-4ED9-AAEA-96C72907EFC3}"/>
    <cellStyle name="Comma 1013 2 2 2 2" xfId="19934" xr:uid="{3EA37032-1B15-4FC1-83CF-0AF9E57C2D39}"/>
    <cellStyle name="Comma 1013 2 2 3" xfId="14759" xr:uid="{5031A940-E1E6-4995-B916-00D582589646}"/>
    <cellStyle name="Comma 1013 2 3" xfId="7524" xr:uid="{6217B067-A3C2-4208-B98E-6F74143D263D}"/>
    <cellStyle name="Comma 1013 2 3 2" xfId="17876" xr:uid="{8953F7B9-1A1C-481B-BBAB-AFF916E76679}"/>
    <cellStyle name="Comma 1013 2 4" xfId="12701" xr:uid="{D902632D-03B8-4DF5-9BE9-737A1EF2B5C1}"/>
    <cellStyle name="Comma 1013 3" xfId="3319" xr:uid="{74780AD3-BDC6-42A5-B57D-4600193A2926}"/>
    <cellStyle name="Comma 1013 3 2" xfId="8552" xr:uid="{249C4DC0-B602-4831-B43B-4E80E152B37E}"/>
    <cellStyle name="Comma 1013 3 2 2" xfId="18904" xr:uid="{494F06FE-3E20-4846-A203-96D2F56BC59D}"/>
    <cellStyle name="Comma 1013 3 3" xfId="13729" xr:uid="{C628E4B6-7B6E-48AC-8AD0-76687EFC06BB}"/>
    <cellStyle name="Comma 1013 4" xfId="5445" xr:uid="{FE538E5A-9071-4741-A333-577F8B1C0080}"/>
    <cellStyle name="Comma 1013 4 2" xfId="10621" xr:uid="{DB281DDF-4777-4B27-94B9-58FBE9E07854}"/>
    <cellStyle name="Comma 1013 4 2 2" xfId="20973" xr:uid="{9B9F35AF-08B4-48B9-B6DA-D2D0D04B9787}"/>
    <cellStyle name="Comma 1013 4 3" xfId="15797" xr:uid="{E2226CA7-3E8C-40E6-AE85-0D3BF8798BB1}"/>
    <cellStyle name="Comma 1013 5" xfId="6493" xr:uid="{B5495C27-B93E-45F1-92C8-128AE023614D}"/>
    <cellStyle name="Comma 1013 5 2" xfId="16845" xr:uid="{12B128E4-26BA-4E2C-902E-A48AE918B468}"/>
    <cellStyle name="Comma 1013 6" xfId="11671" xr:uid="{CDFEA18C-B567-4FD1-A1FA-93EA95B2E5A4}"/>
    <cellStyle name="Comma 1014" xfId="1262" xr:uid="{6761C714-44FA-4DCB-BE1C-300994589BAE}"/>
    <cellStyle name="Comma 1014 2" xfId="2292" xr:uid="{3DDF3B88-598C-4FCA-913E-2A67A7C0E9F9}"/>
    <cellStyle name="Comma 1014 2 2" xfId="4350" xr:uid="{96585E33-0951-47F9-B0AC-3455E2C4618E}"/>
    <cellStyle name="Comma 1014 2 2 2" xfId="9583" xr:uid="{26AFC48B-A0A5-48E7-BA9D-46D248AA9FBE}"/>
    <cellStyle name="Comma 1014 2 2 2 2" xfId="19935" xr:uid="{46B5614F-C938-47DA-BD81-EC381BF88E32}"/>
    <cellStyle name="Comma 1014 2 2 3" xfId="14760" xr:uid="{9D14BCB6-449E-47FC-AB64-CA68A6EBCDCD}"/>
    <cellStyle name="Comma 1014 2 3" xfId="7525" xr:uid="{A32C1E54-F681-4567-8FFB-3E40C35FD534}"/>
    <cellStyle name="Comma 1014 2 3 2" xfId="17877" xr:uid="{1EE91344-6900-4999-B990-9C96D1EFD568}"/>
    <cellStyle name="Comma 1014 2 4" xfId="12702" xr:uid="{36CD7113-0201-484D-9A32-4230DAF74A15}"/>
    <cellStyle name="Comma 1014 3" xfId="3320" xr:uid="{F32F64B2-B02F-4C8D-B8CC-D380C79B3138}"/>
    <cellStyle name="Comma 1014 3 2" xfId="8553" xr:uid="{90BDC7A3-F075-461D-8E86-3C24B9188D97}"/>
    <cellStyle name="Comma 1014 3 2 2" xfId="18905" xr:uid="{E51C38FD-1B66-4EAE-A195-86D064964943}"/>
    <cellStyle name="Comma 1014 3 3" xfId="13730" xr:uid="{66A148A2-71D2-46D4-9435-9A2EFCCB6262}"/>
    <cellStyle name="Comma 1014 4" xfId="5446" xr:uid="{97853CD8-636B-4C49-9172-EF9ACB9F9DD8}"/>
    <cellStyle name="Comma 1014 4 2" xfId="10622" xr:uid="{77CD22DC-20FA-42BD-9828-6D2F7EEBA6F5}"/>
    <cellStyle name="Comma 1014 4 2 2" xfId="20974" xr:uid="{BA63F32F-70D0-49F8-B416-34806696B0EE}"/>
    <cellStyle name="Comma 1014 4 3" xfId="15798" xr:uid="{BC6D007E-F360-45E9-AB36-FB21B3027033}"/>
    <cellStyle name="Comma 1014 5" xfId="6494" xr:uid="{589189EF-51EE-465F-ABF4-5A630E37337B}"/>
    <cellStyle name="Comma 1014 5 2" xfId="16846" xr:uid="{13F130EB-C0AD-49C9-9C70-DA5381317642}"/>
    <cellStyle name="Comma 1014 6" xfId="11672" xr:uid="{F42026E3-F818-4F87-8F48-347591EBF895}"/>
    <cellStyle name="Comma 1015" xfId="1263" xr:uid="{B329B2F7-4760-41A3-9117-C406B14B719C}"/>
    <cellStyle name="Comma 1015 2" xfId="2293" xr:uid="{84E83C58-F7B5-42E9-BFB7-4D2A5A52C1FB}"/>
    <cellStyle name="Comma 1015 2 2" xfId="4351" xr:uid="{CE8C30DA-FDFF-4017-8AEE-08AB415A0668}"/>
    <cellStyle name="Comma 1015 2 2 2" xfId="9584" xr:uid="{386914AC-BD9C-41A8-9F00-929020AE8E84}"/>
    <cellStyle name="Comma 1015 2 2 2 2" xfId="19936" xr:uid="{F9461DF5-B869-4E79-8442-80001779764F}"/>
    <cellStyle name="Comma 1015 2 2 3" xfId="14761" xr:uid="{8C41A179-8991-423A-87A9-8DE423830228}"/>
    <cellStyle name="Comma 1015 2 3" xfId="7526" xr:uid="{D0E831A5-BAD1-4CFF-9988-7DF20FBC45E9}"/>
    <cellStyle name="Comma 1015 2 3 2" xfId="17878" xr:uid="{7461DC1B-0E8C-4D5B-A641-A73B2E61A046}"/>
    <cellStyle name="Comma 1015 2 4" xfId="12703" xr:uid="{6A48579E-3485-4D49-AE4F-1DFF19B4DA57}"/>
    <cellStyle name="Comma 1015 3" xfId="3321" xr:uid="{30E8D378-4ACD-48E5-A61E-0DC2AEAEF95A}"/>
    <cellStyle name="Comma 1015 3 2" xfId="8554" xr:uid="{18D46769-371D-4181-9F61-6AE8C394FF5B}"/>
    <cellStyle name="Comma 1015 3 2 2" xfId="18906" xr:uid="{4F21FF77-2BB7-4F88-A618-2B43248601D2}"/>
    <cellStyle name="Comma 1015 3 3" xfId="13731" xr:uid="{0F37238E-AA47-4F1B-8D44-4CB0DF6478AE}"/>
    <cellStyle name="Comma 1015 4" xfId="5447" xr:uid="{8FE02ECF-BA98-4A08-9DC9-F6075FF64F6B}"/>
    <cellStyle name="Comma 1015 4 2" xfId="10623" xr:uid="{451DE166-3EF3-4434-926E-5779DCD7D06D}"/>
    <cellStyle name="Comma 1015 4 2 2" xfId="20975" xr:uid="{4738359B-D637-4467-ABDA-569721177F16}"/>
    <cellStyle name="Comma 1015 4 3" xfId="15799" xr:uid="{A240F5B4-FE79-4764-978E-299AC02A984F}"/>
    <cellStyle name="Comma 1015 5" xfId="6495" xr:uid="{632AD737-759F-4B97-BF8A-D1EB0E2C585F}"/>
    <cellStyle name="Comma 1015 5 2" xfId="16847" xr:uid="{76FA33CA-6CF2-4240-8F64-513CE84005E6}"/>
    <cellStyle name="Comma 1015 6" xfId="11673" xr:uid="{167D67A4-2549-4BCB-8C6F-A76834ABD68B}"/>
    <cellStyle name="Comma 1016" xfId="1264" xr:uid="{35E0F4F9-D1CC-4553-BDEF-94CD031E085F}"/>
    <cellStyle name="Comma 1016 2" xfId="2294" xr:uid="{8C732791-8966-4014-AB7D-C03C8F132353}"/>
    <cellStyle name="Comma 1016 2 2" xfId="4352" xr:uid="{3A04C736-F49C-4651-8EC6-B2E5D3D57F84}"/>
    <cellStyle name="Comma 1016 2 2 2" xfId="9585" xr:uid="{458B3D9E-EB51-44BD-AF70-7F178D17D424}"/>
    <cellStyle name="Comma 1016 2 2 2 2" xfId="19937" xr:uid="{F96F4795-17D4-4AF8-84DD-8769F2C0E700}"/>
    <cellStyle name="Comma 1016 2 2 3" xfId="14762" xr:uid="{EBA84619-72DD-4A86-BB92-A3A5D511113E}"/>
    <cellStyle name="Comma 1016 2 3" xfId="7527" xr:uid="{0BF52CB0-7581-4A34-8513-669387D142FC}"/>
    <cellStyle name="Comma 1016 2 3 2" xfId="17879" xr:uid="{B6B7B60B-9FA1-46BA-BA94-A75F940896F4}"/>
    <cellStyle name="Comma 1016 2 4" xfId="12704" xr:uid="{114D9089-E10C-4A89-817A-31F38F42278C}"/>
    <cellStyle name="Comma 1016 3" xfId="3322" xr:uid="{0B7AD7B8-983C-4BED-915B-618FD86A4FDC}"/>
    <cellStyle name="Comma 1016 3 2" xfId="8555" xr:uid="{F443F03F-BD6D-4783-89DB-886498C9136F}"/>
    <cellStyle name="Comma 1016 3 2 2" xfId="18907" xr:uid="{C99219C4-D200-4247-97FF-7E5A44845BFD}"/>
    <cellStyle name="Comma 1016 3 3" xfId="13732" xr:uid="{B7957656-D39A-4390-B7F6-A1F4BAA0C28A}"/>
    <cellStyle name="Comma 1016 4" xfId="5448" xr:uid="{0B3A645E-E66A-4BDF-A2DF-6502F0C001E6}"/>
    <cellStyle name="Comma 1016 4 2" xfId="10624" xr:uid="{E03C3B6D-74CE-4C26-A7E4-5AA69147EC36}"/>
    <cellStyle name="Comma 1016 4 2 2" xfId="20976" xr:uid="{AA5957A5-6451-4679-953B-EE098FABC48A}"/>
    <cellStyle name="Comma 1016 4 3" xfId="15800" xr:uid="{AB2C9C5B-9A3D-408C-9AA6-862F328B0116}"/>
    <cellStyle name="Comma 1016 5" xfId="6496" xr:uid="{7DC89EF8-0B57-4303-9470-D8FDE28A3D53}"/>
    <cellStyle name="Comma 1016 5 2" xfId="16848" xr:uid="{DF1E89D5-73C3-4E52-AA4C-5B7C0812A604}"/>
    <cellStyle name="Comma 1016 6" xfId="11674" xr:uid="{C0A0B77D-F7A1-41D1-B9A7-282A77E9284B}"/>
    <cellStyle name="Comma 1017" xfId="1265" xr:uid="{A71AB061-BE7E-48C3-A18A-AEBD36DDA411}"/>
    <cellStyle name="Comma 1017 2" xfId="2295" xr:uid="{2536D02C-015F-40F2-ADD5-CF800FA70C22}"/>
    <cellStyle name="Comma 1017 2 2" xfId="4353" xr:uid="{3E879BF5-000A-4D14-804B-FA910AA7C0FE}"/>
    <cellStyle name="Comma 1017 2 2 2" xfId="9586" xr:uid="{AE7D6B52-DED1-47CA-BD1F-AB95D9C3B060}"/>
    <cellStyle name="Comma 1017 2 2 2 2" xfId="19938" xr:uid="{7CE7048F-CA12-4180-96E4-F0BBAEB34E42}"/>
    <cellStyle name="Comma 1017 2 2 3" xfId="14763" xr:uid="{8D29F0E8-2C39-49FB-BA01-792A962E94CF}"/>
    <cellStyle name="Comma 1017 2 3" xfId="7528" xr:uid="{CA565C84-8051-4719-9626-33648079CACB}"/>
    <cellStyle name="Comma 1017 2 3 2" xfId="17880" xr:uid="{095ECCCA-1BC7-47A8-A9E2-3FCA14A21D78}"/>
    <cellStyle name="Comma 1017 2 4" xfId="12705" xr:uid="{AC3CA838-278F-4936-8544-FE9DE5022ED3}"/>
    <cellStyle name="Comma 1017 3" xfId="3323" xr:uid="{42EE3A1D-2056-46D7-8D5B-9FC25283FD71}"/>
    <cellStyle name="Comma 1017 3 2" xfId="8556" xr:uid="{0042BEAB-51A0-47E8-A0CF-A81FF5E57C5D}"/>
    <cellStyle name="Comma 1017 3 2 2" xfId="18908" xr:uid="{B2D54166-0CCF-49DA-AF41-643BE56FF7ED}"/>
    <cellStyle name="Comma 1017 3 3" xfId="13733" xr:uid="{F1413FC7-B5A3-4060-A39F-95F7436A588D}"/>
    <cellStyle name="Comma 1017 4" xfId="5449" xr:uid="{2DF57D01-11A3-4D9B-ACE9-A08D219A650F}"/>
    <cellStyle name="Comma 1017 4 2" xfId="10625" xr:uid="{3534E2C3-656E-45A2-9773-0E63DE4E165F}"/>
    <cellStyle name="Comma 1017 4 2 2" xfId="20977" xr:uid="{0231673B-051E-45F3-AB73-DF2B0A757F1A}"/>
    <cellStyle name="Comma 1017 4 3" xfId="15801" xr:uid="{AA38420D-31E9-48A6-96B7-2CDA9E7D42A8}"/>
    <cellStyle name="Comma 1017 5" xfId="6497" xr:uid="{9B414A50-F646-4E21-B107-E696BC03CFE9}"/>
    <cellStyle name="Comma 1017 5 2" xfId="16849" xr:uid="{B43D4EFE-7875-438C-A988-E53182CA4601}"/>
    <cellStyle name="Comma 1017 6" xfId="11675" xr:uid="{0745608F-A5CA-4612-A5FB-D7DD798A6C93}"/>
    <cellStyle name="Comma 1018" xfId="1266" xr:uid="{1502FB31-BC04-48F0-AD61-9FF845186745}"/>
    <cellStyle name="Comma 1018 2" xfId="2296" xr:uid="{57824769-416E-4DF5-A373-32A27FFBF60E}"/>
    <cellStyle name="Comma 1018 2 2" xfId="4354" xr:uid="{E0D183C9-08E1-427C-929D-C06E6B9429DC}"/>
    <cellStyle name="Comma 1018 2 2 2" xfId="9587" xr:uid="{8318929B-AFF9-4368-A65C-3C3DB223C5F4}"/>
    <cellStyle name="Comma 1018 2 2 2 2" xfId="19939" xr:uid="{388124EF-8A69-4CA2-B550-C6C073F01696}"/>
    <cellStyle name="Comma 1018 2 2 3" xfId="14764" xr:uid="{2DFA2CF1-DB59-4930-9FBD-FC9EEEB2A3C9}"/>
    <cellStyle name="Comma 1018 2 3" xfId="7529" xr:uid="{B5DF1C20-30A7-4331-8FE8-96C100944C5F}"/>
    <cellStyle name="Comma 1018 2 3 2" xfId="17881" xr:uid="{3CC9BA8D-098E-4FF2-976E-95D44C62C979}"/>
    <cellStyle name="Comma 1018 2 4" xfId="12706" xr:uid="{89BDC06B-5E53-4B76-8885-AB5BCAA191DA}"/>
    <cellStyle name="Comma 1018 3" xfId="3324" xr:uid="{254F2D93-D049-45F3-81C8-332E5F8EB09A}"/>
    <cellStyle name="Comma 1018 3 2" xfId="8557" xr:uid="{D41B5812-652A-42CF-BECB-878981F45805}"/>
    <cellStyle name="Comma 1018 3 2 2" xfId="18909" xr:uid="{D39F93B4-77D2-4053-8FC2-11F6D2B0A977}"/>
    <cellStyle name="Comma 1018 3 3" xfId="13734" xr:uid="{3072624D-4476-48E0-AE62-C465974C8319}"/>
    <cellStyle name="Comma 1018 4" xfId="5450" xr:uid="{A623F689-C7A5-4837-BADB-4A37793F2EFD}"/>
    <cellStyle name="Comma 1018 4 2" xfId="10626" xr:uid="{6F36B8BE-D73D-4059-8B3C-50577471B0E3}"/>
    <cellStyle name="Comma 1018 4 2 2" xfId="20978" xr:uid="{49FE8620-0969-47F5-AA77-A1170439926D}"/>
    <cellStyle name="Comma 1018 4 3" xfId="15802" xr:uid="{36D32001-9D84-4179-9F55-03972E542A13}"/>
    <cellStyle name="Comma 1018 5" xfId="6498" xr:uid="{3C0F2E95-654C-4BAB-929F-5FE591D8427B}"/>
    <cellStyle name="Comma 1018 5 2" xfId="16850" xr:uid="{EA0DCB78-74FB-40A3-A088-59E7625DA550}"/>
    <cellStyle name="Comma 1018 6" xfId="11676" xr:uid="{A8339C57-DB3C-462A-BF57-52CF085AEDD3}"/>
    <cellStyle name="Comma 1019" xfId="1267" xr:uid="{BEC43ECF-5E97-480E-B100-DF299FDE8BE6}"/>
    <cellStyle name="Comma 1019 2" xfId="2297" xr:uid="{2CA5B342-93BB-4146-8C25-08F3D9A166A0}"/>
    <cellStyle name="Comma 1019 2 2" xfId="4355" xr:uid="{DDA72288-A5D6-4457-A217-823B73DCBECB}"/>
    <cellStyle name="Comma 1019 2 2 2" xfId="9588" xr:uid="{E58A840B-C5BE-4FFE-AAAB-C1DB6EFD5ECB}"/>
    <cellStyle name="Comma 1019 2 2 2 2" xfId="19940" xr:uid="{BC5AF4D9-7461-4917-89C2-7638A9208D6A}"/>
    <cellStyle name="Comma 1019 2 2 3" xfId="14765" xr:uid="{954F76D6-92E0-4F84-A398-202A683E88CB}"/>
    <cellStyle name="Comma 1019 2 3" xfId="7530" xr:uid="{8C19CD90-DBB8-4083-95DF-D4246BF2BE44}"/>
    <cellStyle name="Comma 1019 2 3 2" xfId="17882" xr:uid="{CBDC9BD8-AA71-4F33-8287-D955C3579C56}"/>
    <cellStyle name="Comma 1019 2 4" xfId="12707" xr:uid="{B631A76E-987A-4EAE-8B88-DB2AA5D4FB63}"/>
    <cellStyle name="Comma 1019 3" xfId="3325" xr:uid="{E796068A-38A5-43E5-9042-2D8333E73A9E}"/>
    <cellStyle name="Comma 1019 3 2" xfId="8558" xr:uid="{05F428B5-7FBA-42D2-BF67-CE5434FDD6EF}"/>
    <cellStyle name="Comma 1019 3 2 2" xfId="18910" xr:uid="{56A35C7F-D4EE-4D84-A553-4AD6ADC5F524}"/>
    <cellStyle name="Comma 1019 3 3" xfId="13735" xr:uid="{621A1A8B-715A-4B19-8A42-59D32E6A02AC}"/>
    <cellStyle name="Comma 1019 4" xfId="5451" xr:uid="{86233C0A-289E-41FD-ACC9-D1F28BB36B20}"/>
    <cellStyle name="Comma 1019 4 2" xfId="10627" xr:uid="{86B257F1-3728-49F5-A22C-D5D492E11444}"/>
    <cellStyle name="Comma 1019 4 2 2" xfId="20979" xr:uid="{D64A5C87-9B07-47F7-A5D7-5846115B8A9F}"/>
    <cellStyle name="Comma 1019 4 3" xfId="15803" xr:uid="{8DB5FCED-5050-4A91-93BE-7CCBCEB5516B}"/>
    <cellStyle name="Comma 1019 5" xfId="6499" xr:uid="{42D235B3-1AC0-4875-A5B0-8B9BCED40AB7}"/>
    <cellStyle name="Comma 1019 5 2" xfId="16851" xr:uid="{57DB4561-57D5-4968-B4EB-8988383042EA}"/>
    <cellStyle name="Comma 1019 6" xfId="11677" xr:uid="{81B51CE9-C810-4A0A-9D07-2375EA18F974}"/>
    <cellStyle name="Comma 102" xfId="321" xr:uid="{7F6D2BF2-C1E4-438C-8A98-072CFD051583}"/>
    <cellStyle name="Comma 102 2" xfId="1380" xr:uid="{53AFE7D8-14FA-4C46-8C60-353C8BDA016C}"/>
    <cellStyle name="Comma 102 2 2" xfId="3438" xr:uid="{7FAA8EBE-7051-4835-B3CB-9D911E0FDE4E}"/>
    <cellStyle name="Comma 102 2 2 2" xfId="8671" xr:uid="{9F8A8589-0EB9-4E9F-B9FF-3D8872F56B66}"/>
    <cellStyle name="Comma 102 2 2 2 2" xfId="19023" xr:uid="{99DBD129-A666-4954-BD8F-9E58E969559D}"/>
    <cellStyle name="Comma 102 2 2 3" xfId="13848" xr:uid="{45251A24-49D4-4AF1-9BBB-A67C00B7AE09}"/>
    <cellStyle name="Comma 102 2 3" xfId="6613" xr:uid="{0BE27561-A65A-4B94-9B5A-0E509F57E020}"/>
    <cellStyle name="Comma 102 2 3 2" xfId="16965" xr:uid="{50874011-E84E-4D29-B679-48D78F77890C}"/>
    <cellStyle name="Comma 102 2 4" xfId="11790" xr:uid="{A53AA127-0BE8-4180-92FA-2C495AE5CFAC}"/>
    <cellStyle name="Comma 102 3" xfId="2408" xr:uid="{433AAF7B-20A5-4F52-BA58-4E5920F0FABD}"/>
    <cellStyle name="Comma 102 3 2" xfId="7641" xr:uid="{BDDCD3C3-7A31-4F43-A065-5AD0C2CB98E2}"/>
    <cellStyle name="Comma 102 3 2 2" xfId="17993" xr:uid="{9A8420E5-6A62-419A-BE01-48B516CDBC02}"/>
    <cellStyle name="Comma 102 3 3" xfId="12818" xr:uid="{3804E9A7-C96B-4F17-A0E4-BE028F4FFE84}"/>
    <cellStyle name="Comma 102 4" xfId="4534" xr:uid="{879EB29A-010C-498A-A728-34258DB46F0D}"/>
    <cellStyle name="Comma 102 4 2" xfId="9710" xr:uid="{49A413F6-839D-42A7-B571-DF17A3101164}"/>
    <cellStyle name="Comma 102 4 2 2" xfId="20062" xr:uid="{C41E0C0C-F081-4EB9-A4F6-91E0DBC66602}"/>
    <cellStyle name="Comma 102 4 3" xfId="14886" xr:uid="{1C7007B5-B57C-491F-9966-98C370C9FDD1}"/>
    <cellStyle name="Comma 102 5" xfId="5582" xr:uid="{DD1E4168-3CE4-45DB-9F9F-3BDC8653204B}"/>
    <cellStyle name="Comma 102 5 2" xfId="15934" xr:uid="{DEE0CC8E-7D6C-4695-A3E1-25C653074B23}"/>
    <cellStyle name="Comma 102 6" xfId="10760" xr:uid="{984349F3-D432-4FC3-9DB4-C53EB2F84A3E}"/>
    <cellStyle name="Comma 1020" xfId="1268" xr:uid="{7FD5D7B2-38E8-47E0-83E7-BF246786B4F3}"/>
    <cellStyle name="Comma 1020 2" xfId="2298" xr:uid="{AC1B81CB-DB7E-42BE-B527-2A51982C2820}"/>
    <cellStyle name="Comma 1020 2 2" xfId="4356" xr:uid="{0271C537-5CE9-413F-A7D8-20D8199EC598}"/>
    <cellStyle name="Comma 1020 2 2 2" xfId="9589" xr:uid="{D43A38D8-3FDC-4051-BA82-D0528EBD20B8}"/>
    <cellStyle name="Comma 1020 2 2 2 2" xfId="19941" xr:uid="{A989F6D4-AB08-4322-98FF-37B35B675C13}"/>
    <cellStyle name="Comma 1020 2 2 3" xfId="14766" xr:uid="{B733E6A4-42DB-45E1-ACA3-E0797B581A88}"/>
    <cellStyle name="Comma 1020 2 3" xfId="7531" xr:uid="{915E3868-2BB6-4FCF-BE50-7267442E1817}"/>
    <cellStyle name="Comma 1020 2 3 2" xfId="17883" xr:uid="{80149C9A-4489-43C5-B572-4A2C087E88DA}"/>
    <cellStyle name="Comma 1020 2 4" xfId="12708" xr:uid="{620033F6-25A2-4463-9E28-B0565A4E23AC}"/>
    <cellStyle name="Comma 1020 3" xfId="3326" xr:uid="{106AC5B0-E419-462E-A9B1-0313B38B9C86}"/>
    <cellStyle name="Comma 1020 3 2" xfId="8559" xr:uid="{73D8E514-55F7-42F1-A951-28915572A671}"/>
    <cellStyle name="Comma 1020 3 2 2" xfId="18911" xr:uid="{706ECF05-52BC-4AA3-B4F1-505A059C3C97}"/>
    <cellStyle name="Comma 1020 3 3" xfId="13736" xr:uid="{6E57F040-BA8C-40F3-983E-3E4E1601B8EE}"/>
    <cellStyle name="Comma 1020 4" xfId="5452" xr:uid="{5B85CDC0-9195-4D76-9756-07CC666C974C}"/>
    <cellStyle name="Comma 1020 4 2" xfId="10628" xr:uid="{69FC214E-2E0D-490B-9D05-C8177EBB5F8E}"/>
    <cellStyle name="Comma 1020 4 2 2" xfId="20980" xr:uid="{00689A90-57FE-48EB-87B0-F56209A7E630}"/>
    <cellStyle name="Comma 1020 4 3" xfId="15804" xr:uid="{B5CA5564-2E7C-4A90-8487-867DED4D2DD1}"/>
    <cellStyle name="Comma 1020 5" xfId="6500" xr:uid="{ADB296CE-F0F8-4E20-9703-04AB66E079EE}"/>
    <cellStyle name="Comma 1020 5 2" xfId="16852" xr:uid="{B5DAB27F-320D-48BD-9A12-69732E7F0387}"/>
    <cellStyle name="Comma 1020 6" xfId="11678" xr:uid="{14A3B617-9779-496F-98C7-92229E673702}"/>
    <cellStyle name="Comma 1021" xfId="1269" xr:uid="{2A99CC5F-56C0-4B37-B4F3-29161CD7D850}"/>
    <cellStyle name="Comma 1021 2" xfId="2299" xr:uid="{F34A382E-4B94-4345-8915-77DF823C40C1}"/>
    <cellStyle name="Comma 1021 2 2" xfId="4357" xr:uid="{DAA9B4D2-C325-4E56-9DEA-794F06BEF73C}"/>
    <cellStyle name="Comma 1021 2 2 2" xfId="9590" xr:uid="{99DE3F49-5FF3-4070-ABF3-1C8BCB176811}"/>
    <cellStyle name="Comma 1021 2 2 2 2" xfId="19942" xr:uid="{6484EAA2-B146-4791-A322-76C580F7FDFC}"/>
    <cellStyle name="Comma 1021 2 2 3" xfId="14767" xr:uid="{EDD10F63-EE60-414E-9D19-D665D92AEAFA}"/>
    <cellStyle name="Comma 1021 2 3" xfId="7532" xr:uid="{28B8C80F-589B-4440-B061-AB46EF3B9A7A}"/>
    <cellStyle name="Comma 1021 2 3 2" xfId="17884" xr:uid="{A5942797-449C-4075-AD13-ABA46E798E65}"/>
    <cellStyle name="Comma 1021 2 4" xfId="12709" xr:uid="{CD92B1B1-5E0E-41D2-9389-8356357F7DA7}"/>
    <cellStyle name="Comma 1021 3" xfId="3327" xr:uid="{65BE5EE5-E016-4F87-B63B-E4CF3C5077E6}"/>
    <cellStyle name="Comma 1021 3 2" xfId="8560" xr:uid="{BA2A8AD8-F449-40F6-9C52-66FCE1E8986E}"/>
    <cellStyle name="Comma 1021 3 2 2" xfId="18912" xr:uid="{A4663388-DD75-4703-BD29-A7B53F5F7E8B}"/>
    <cellStyle name="Comma 1021 3 3" xfId="13737" xr:uid="{CDB6E664-7F80-44C3-8B05-5F6BFF6DC485}"/>
    <cellStyle name="Comma 1021 4" xfId="5453" xr:uid="{8E518BB0-EBCA-4A15-9BE6-5F44E457D02A}"/>
    <cellStyle name="Comma 1021 4 2" xfId="10629" xr:uid="{F526CF54-825A-4CE9-8436-05801A629B27}"/>
    <cellStyle name="Comma 1021 4 2 2" xfId="20981" xr:uid="{66148878-10C1-414F-9A7A-77B7748851FB}"/>
    <cellStyle name="Comma 1021 4 3" xfId="15805" xr:uid="{07B79FF1-842B-4212-9E60-CEB294E0B411}"/>
    <cellStyle name="Comma 1021 5" xfId="6501" xr:uid="{3D34CD16-10ED-411D-8004-584F3C6FA86B}"/>
    <cellStyle name="Comma 1021 5 2" xfId="16853" xr:uid="{AB715285-2C3F-480B-82BC-1C778CB06CBC}"/>
    <cellStyle name="Comma 1021 6" xfId="11679" xr:uid="{169F82A9-4602-408B-A207-1CF0E8771AE6}"/>
    <cellStyle name="Comma 1022" xfId="1270" xr:uid="{DBBFC019-46CC-44CF-9BCB-1C67BC5447A9}"/>
    <cellStyle name="Comma 1022 2" xfId="3328" xr:uid="{50DF802E-4AF6-49B5-A05D-5463AE735A7B}"/>
    <cellStyle name="Comma 1022 2 2" xfId="8561" xr:uid="{AA440484-96C1-4BC1-A128-3B9112007804}"/>
    <cellStyle name="Comma 1022 2 2 2" xfId="18913" xr:uid="{CCE14C04-7BCF-4B03-9658-4FBAA7A938C9}"/>
    <cellStyle name="Comma 1022 2 3" xfId="13738" xr:uid="{2976DF07-FBBB-4721-859C-C50EF2AD3D70}"/>
    <cellStyle name="Comma 1022 3" xfId="6503" xr:uid="{83587698-FB29-4F02-B1A5-95759D5DB793}"/>
    <cellStyle name="Comma 1022 3 2" xfId="16855" xr:uid="{FEBE5CA2-F9A0-42B1-9295-3744FA1D56ED}"/>
    <cellStyle name="Comma 1022 4" xfId="11680" xr:uid="{FD5C9AB5-31A7-4333-9E13-F61C785B5E66}"/>
    <cellStyle name="Comma 1023" xfId="4414" xr:uid="{5015F830-FE27-443C-A348-F24786225D55}"/>
    <cellStyle name="Comma 1023 2" xfId="9591" xr:uid="{7BEDC4DA-60EE-4DA8-A81F-2C62CEEE22D5}"/>
    <cellStyle name="Comma 1023 2 2" xfId="19943" xr:uid="{7B3A94F9-0ECB-469E-87C6-1460601F7863}"/>
    <cellStyle name="Comma 1023 3" xfId="14768" xr:uid="{67C179BF-9424-4E29-BC51-DFAEC31C3005}"/>
    <cellStyle name="Comma 1024" xfId="4415" xr:uid="{BACCC1E1-6D17-47C9-A920-45981EA38067}"/>
    <cellStyle name="Comma 1024 2" xfId="9592" xr:uid="{E78D776B-89D7-4F90-A554-9FB9250CFF78}"/>
    <cellStyle name="Comma 1024 2 2" xfId="19944" xr:uid="{FDE88026-4401-4C15-AD12-BFE090A5826F}"/>
    <cellStyle name="Comma 1024 3" xfId="14769" xr:uid="{9C54BE20-8E91-4640-925E-05DDE8E2D507}"/>
    <cellStyle name="Comma 1025" xfId="4416" xr:uid="{AA38180E-6B85-4B80-BB8D-3B3F3160BB99}"/>
    <cellStyle name="Comma 1025 2" xfId="9593" xr:uid="{487DA05E-3D7D-4FC8-8475-E5E5FA5C66DA}"/>
    <cellStyle name="Comma 1025 2 2" xfId="19945" xr:uid="{9E830E12-3BD2-4613-A0E9-6A13ED9D4105}"/>
    <cellStyle name="Comma 1025 3" xfId="14770" xr:uid="{F19D9D27-67C0-4CA8-94FF-FF3F6C5E2C31}"/>
    <cellStyle name="Comma 1026" xfId="4417" xr:uid="{BAD99ADF-D919-4940-9660-50CA8C26C7DC}"/>
    <cellStyle name="Comma 1026 2" xfId="9594" xr:uid="{5908C789-EF7E-40B7-9528-A4D48D202BC7}"/>
    <cellStyle name="Comma 1026 2 2" xfId="19946" xr:uid="{948D89E3-95C6-4094-BC92-53A587CFA137}"/>
    <cellStyle name="Comma 1026 3" xfId="14771" xr:uid="{31630628-9147-4F74-B892-09DA9E75BEA0}"/>
    <cellStyle name="Comma 1027" xfId="4418" xr:uid="{D38A14E3-BFDB-4F34-BC34-29ABD1E77E80}"/>
    <cellStyle name="Comma 1027 2" xfId="9595" xr:uid="{B2F3A0A8-EB7A-4B12-9C4A-CE41C749A7C3}"/>
    <cellStyle name="Comma 1027 2 2" xfId="19947" xr:uid="{E4B1791A-455A-429D-ABFB-395A14A71330}"/>
    <cellStyle name="Comma 1027 3" xfId="14772" xr:uid="{34FC6E43-D167-4C36-9647-EA13A9A44F3C}"/>
    <cellStyle name="Comma 1028" xfId="4419" xr:uid="{F333EB0E-C90B-4110-B498-C52BA6EA4358}"/>
    <cellStyle name="Comma 1028 2" xfId="9596" xr:uid="{8445151C-2951-4B79-B60F-9B664D8C083D}"/>
    <cellStyle name="Comma 1028 2 2" xfId="19948" xr:uid="{9456A8FE-E277-418C-AFE5-C26BBFDF665D}"/>
    <cellStyle name="Comma 1029" xfId="4421" xr:uid="{C849BE3A-B248-4D28-B94C-FE8A49F93D2F}"/>
    <cellStyle name="Comma 1029 2" xfId="9597" xr:uid="{87CA96C6-8A1C-46C7-B146-127BA4E362F1}"/>
    <cellStyle name="Comma 1029 2 2" xfId="19949" xr:uid="{128821EE-0583-407C-8954-1912730D513E}"/>
    <cellStyle name="Comma 1029 3" xfId="14773" xr:uid="{79874989-DA08-461D-B47E-101AB1855246}"/>
    <cellStyle name="Comma 103" xfId="322" xr:uid="{134AB7E4-DD05-4C02-B61D-6295723FD610}"/>
    <cellStyle name="Comma 103 2" xfId="1381" xr:uid="{B976477E-256F-4754-B813-E68F17AD136E}"/>
    <cellStyle name="Comma 103 2 2" xfId="3439" xr:uid="{033BF25E-B3AF-4111-861A-C68024D0D259}"/>
    <cellStyle name="Comma 103 2 2 2" xfId="8672" xr:uid="{E55C2A8D-3087-4808-B855-908B727FB10B}"/>
    <cellStyle name="Comma 103 2 2 2 2" xfId="19024" xr:uid="{E3053B84-ECE7-43A6-9DE1-5BEAC12670BA}"/>
    <cellStyle name="Comma 103 2 2 3" xfId="13849" xr:uid="{BF68B712-0A5F-4803-B432-38F32DE5A3AB}"/>
    <cellStyle name="Comma 103 2 3" xfId="6614" xr:uid="{3B270769-D004-45CD-8C78-C0293B073BFB}"/>
    <cellStyle name="Comma 103 2 3 2" xfId="16966" xr:uid="{D0E418DC-9C7E-4120-9900-DF0783467455}"/>
    <cellStyle name="Comma 103 2 4" xfId="11791" xr:uid="{8664BBFC-5172-4D24-B229-D2B803A84177}"/>
    <cellStyle name="Comma 103 3" xfId="2409" xr:uid="{F60A78EC-1EAE-4062-A2EB-B0FF9DE5947D}"/>
    <cellStyle name="Comma 103 3 2" xfId="7642" xr:uid="{CFE8BA59-9DFD-494D-8ABA-7F6083E2ACF0}"/>
    <cellStyle name="Comma 103 3 2 2" xfId="17994" xr:uid="{D89964E6-7394-4A0A-B2B4-2BA16F8A5F41}"/>
    <cellStyle name="Comma 103 3 3" xfId="12819" xr:uid="{A8CCB733-FE25-46E4-8C7E-47505949E0C9}"/>
    <cellStyle name="Comma 103 4" xfId="4535" xr:uid="{9E3013D1-9737-4358-AAB2-C93851941C7A}"/>
    <cellStyle name="Comma 103 4 2" xfId="9711" xr:uid="{37984B43-99C2-403E-A4F0-802B559C915D}"/>
    <cellStyle name="Comma 103 4 2 2" xfId="20063" xr:uid="{879D81D4-2511-43C7-BA26-A70CC0EAD1E2}"/>
    <cellStyle name="Comma 103 4 3" xfId="14887" xr:uid="{A65982B6-2C9D-4832-B03E-5932A1CC65EC}"/>
    <cellStyle name="Comma 103 5" xfId="5583" xr:uid="{D8D47BE6-D9C2-4E5B-92BC-AA03A0E8B93B}"/>
    <cellStyle name="Comma 103 5 2" xfId="15935" xr:uid="{9F93DD57-1789-4A31-BC8A-A074F9641285}"/>
    <cellStyle name="Comma 103 6" xfId="10761" xr:uid="{3E22571B-9841-45FD-8EEA-61462B4CB285}"/>
    <cellStyle name="Comma 1030" xfId="4422" xr:uid="{A4643C6E-B0B1-4DEB-BB0E-F47F306BC92F}"/>
    <cellStyle name="Comma 1030 2" xfId="9598" xr:uid="{8FC77812-F4EE-4A8E-A6D5-58E046267754}"/>
    <cellStyle name="Comma 1030 2 2" xfId="19950" xr:uid="{BFC9C1C2-61E8-404F-84A4-A2FD8C89BFFB}"/>
    <cellStyle name="Comma 1030 3" xfId="14774" xr:uid="{26E723FB-3ACF-4B37-8848-227B09C2A84A}"/>
    <cellStyle name="Comma 1031" xfId="4423" xr:uid="{FD530AC7-61EB-4BE2-93BA-BB4B2A38DB9B}"/>
    <cellStyle name="Comma 1031 2" xfId="9599" xr:uid="{88CF2697-9150-4561-811C-9E3C33D1636A}"/>
    <cellStyle name="Comma 1031 2 2" xfId="19951" xr:uid="{A4E28487-A17E-48A2-A08E-E25AE6DB0029}"/>
    <cellStyle name="Comma 1031 3" xfId="14775" xr:uid="{5C469E2D-2E42-4592-BAF9-CAAED4575630}"/>
    <cellStyle name="Comma 1032" xfId="4424" xr:uid="{F607D93F-CA41-4DE1-B0C3-7944B0074125}"/>
    <cellStyle name="Comma 1032 2" xfId="9600" xr:uid="{ED2D280C-6BA7-4FCB-8526-CB25BD52E542}"/>
    <cellStyle name="Comma 1032 2 2" xfId="19952" xr:uid="{7641AFD1-B5AA-40A5-9B29-8AF896475E48}"/>
    <cellStyle name="Comma 1032 3" xfId="14776" xr:uid="{08FBB1A0-2DC1-431E-9DCD-06D65EB41B82}"/>
    <cellStyle name="Comma 1033" xfId="4425" xr:uid="{98DFA2CC-61A2-40EB-BC6D-4A593E8C158B}"/>
    <cellStyle name="Comma 1033 2" xfId="9601" xr:uid="{DAB81AE9-F3D2-48F5-845F-E7A98E88CA63}"/>
    <cellStyle name="Comma 1033 2 2" xfId="19953" xr:uid="{BA1276E1-2C5E-482D-93E8-9A662F1E9E6C}"/>
    <cellStyle name="Comma 1033 3" xfId="14777" xr:uid="{B4414742-5010-4DC8-9DA4-BB4DBCF63886}"/>
    <cellStyle name="Comma 1034" xfId="5454" xr:uid="{089383CA-D0C2-4434-B42D-99F638921867}"/>
    <cellStyle name="Comma 1034 2" xfId="10630" xr:uid="{414838FD-AACA-45C1-9039-C505E4CCDF5E}"/>
    <cellStyle name="Comma 1034 2 2" xfId="20982" xr:uid="{9CAB33DF-A215-47F1-AB68-B78FC33F5E84}"/>
    <cellStyle name="Comma 1034 3" xfId="15806" xr:uid="{23E7F07F-D65F-457E-B333-5ACA43582856}"/>
    <cellStyle name="Comma 1035" xfId="5455" xr:uid="{EB01B34E-012F-4B41-9BAE-9208215DA715}"/>
    <cellStyle name="Comma 1035 2" xfId="10631" xr:uid="{3F9CBA5A-8E97-41B0-BFA9-C8389482F58F}"/>
    <cellStyle name="Comma 1035 2 2" xfId="20983" xr:uid="{94872062-1B5F-4F8A-BFE5-DEF4399CCDAD}"/>
    <cellStyle name="Comma 1035 3" xfId="15807" xr:uid="{80358C4D-9AC5-4134-BC9C-C40485571962}"/>
    <cellStyle name="Comma 1036" xfId="5456" xr:uid="{4853C763-1F91-45F2-B8A7-5EB2CA9E90E9}"/>
    <cellStyle name="Comma 1036 2" xfId="10632" xr:uid="{C67A9237-DF63-4877-BC6C-C2DCE7348C3A}"/>
    <cellStyle name="Comma 1036 2 2" xfId="20984" xr:uid="{027D1931-86CA-4A30-B583-6F1E4218614C}"/>
    <cellStyle name="Comma 1036 3" xfId="15808" xr:uid="{7EDB481E-48C4-4222-9531-3063AAA28D4C}"/>
    <cellStyle name="Comma 1037" xfId="5457" xr:uid="{9B508437-C2E3-4D6A-9881-2ED3693AC6FA}"/>
    <cellStyle name="Comma 1037 2" xfId="10633" xr:uid="{0AD13F63-21F3-41FC-80DC-A30CDAA34F1F}"/>
    <cellStyle name="Comma 1037 2 2" xfId="20985" xr:uid="{03CF2753-5648-41C4-9554-9BA536E8FB9B}"/>
    <cellStyle name="Comma 1037 3" xfId="15809" xr:uid="{4DD1CD94-398C-44AD-B790-7134857DB2DD}"/>
    <cellStyle name="Comma 1038" xfId="5458" xr:uid="{AA173299-CE71-41E8-ABF7-912BF958D8A6}"/>
    <cellStyle name="Comma 1038 2" xfId="10634" xr:uid="{AAE5AD40-6763-4441-8BEE-AFD186561AC5}"/>
    <cellStyle name="Comma 1038 2 2" xfId="20986" xr:uid="{05CC879C-3AC5-4574-810F-F38CC001C585}"/>
    <cellStyle name="Comma 1038 3" xfId="15810" xr:uid="{39C528AA-35BF-483A-AAC9-F53BE1227F1B}"/>
    <cellStyle name="Comma 1039" xfId="5459" xr:uid="{87E9A88F-087D-4EEB-99F9-B6CC0A711316}"/>
    <cellStyle name="Comma 1039 2" xfId="10635" xr:uid="{0DE175BD-E385-48E8-93BF-B96AD4F34671}"/>
    <cellStyle name="Comma 1039 2 2" xfId="20987" xr:uid="{E0686F75-6158-44F8-B93D-C32BFA27DBD6}"/>
    <cellStyle name="Comma 1039 3" xfId="15811" xr:uid="{8BFD7B1A-421B-4900-9D60-87287EA0D430}"/>
    <cellStyle name="Comma 104" xfId="323" xr:uid="{9F5E83DF-4C41-478C-AFBC-89B4913F1655}"/>
    <cellStyle name="Comma 104 2" xfId="1382" xr:uid="{551D8A63-8BD4-4029-B248-5D9B6B39154E}"/>
    <cellStyle name="Comma 104 2 2" xfId="3440" xr:uid="{91B8795C-E082-4080-BB8D-A8E6D1207BCB}"/>
    <cellStyle name="Comma 104 2 2 2" xfId="8673" xr:uid="{ACB14625-C44A-4C47-B31A-AE80E165376B}"/>
    <cellStyle name="Comma 104 2 2 2 2" xfId="19025" xr:uid="{1E93AB5B-5E87-4E09-9D27-FD160A7B7762}"/>
    <cellStyle name="Comma 104 2 2 3" xfId="13850" xr:uid="{7698BD6C-82E9-4411-8E90-C1C85DBC112C}"/>
    <cellStyle name="Comma 104 2 3" xfId="6615" xr:uid="{E6BCBC31-C75E-4609-8BA5-9AE8ECB676E7}"/>
    <cellStyle name="Comma 104 2 3 2" xfId="16967" xr:uid="{6BA0DB58-FC34-4B52-B2D2-8402C3E44B33}"/>
    <cellStyle name="Comma 104 2 4" xfId="11792" xr:uid="{B4933B92-1104-414E-9CB6-5AF37E5C9D69}"/>
    <cellStyle name="Comma 104 3" xfId="2410" xr:uid="{150A34CC-0EFF-4CDB-93CE-0174DF8B45FE}"/>
    <cellStyle name="Comma 104 3 2" xfId="7643" xr:uid="{09255571-97DE-4AB4-BFB5-961C62E606E2}"/>
    <cellStyle name="Comma 104 3 2 2" xfId="17995" xr:uid="{5A570111-B4D9-46E1-9A87-FDDA0CCFE4AB}"/>
    <cellStyle name="Comma 104 3 3" xfId="12820" xr:uid="{4D5F975F-6A85-4E17-9BA0-25DB9D37331E}"/>
    <cellStyle name="Comma 104 4" xfId="4536" xr:uid="{ADF61121-E365-43B4-856B-DF110B3E96DC}"/>
    <cellStyle name="Comma 104 4 2" xfId="9712" xr:uid="{307DE94A-9AB3-4AE2-8E93-3887766BE7BF}"/>
    <cellStyle name="Comma 104 4 2 2" xfId="20064" xr:uid="{87605ECB-81B3-4647-B13F-9DB9B082EC02}"/>
    <cellStyle name="Comma 104 4 3" xfId="14888" xr:uid="{F343A3A2-F01D-4EFD-9E4C-A3F163F099BE}"/>
    <cellStyle name="Comma 104 5" xfId="5584" xr:uid="{B12EB070-D65E-4516-A97E-61921F3DE8EF}"/>
    <cellStyle name="Comma 104 5 2" xfId="15936" xr:uid="{884BA5E3-961E-4DA8-BC64-BEDD59FAA997}"/>
    <cellStyle name="Comma 104 6" xfId="10762" xr:uid="{30990C33-DF0D-4781-9D78-8FAF688E3744}"/>
    <cellStyle name="Comma 1040" xfId="5460" xr:uid="{C1CDE3AF-6C42-40A4-A830-B045CB152D8D}"/>
    <cellStyle name="Comma 1040 2" xfId="10636" xr:uid="{23C691D9-FA00-4261-9387-7C329821EF62}"/>
    <cellStyle name="Comma 1040 2 2" xfId="20988" xr:uid="{85EFE8CF-8711-4BEB-9C94-0ABB5937E8C5}"/>
    <cellStyle name="Comma 1040 3" xfId="15812" xr:uid="{80B90894-D1DE-4B02-914C-E31EB4A1F3B1}"/>
    <cellStyle name="Comma 1041" xfId="5461" xr:uid="{1D9E56D4-CAB9-4513-A5AD-78BFD0AB18BC}"/>
    <cellStyle name="Comma 1041 2" xfId="10637" xr:uid="{3D6EFA96-DB54-45AA-BB41-102FDDB8E4AB}"/>
    <cellStyle name="Comma 1041 2 2" xfId="20989" xr:uid="{2CF0DA07-44AA-407A-A957-701D046E9998}"/>
    <cellStyle name="Comma 1041 3" xfId="15813" xr:uid="{6802FEB2-F960-4A7B-B751-CD0E6F44D27A}"/>
    <cellStyle name="Comma 1042" xfId="5462" xr:uid="{399C54C2-D316-46CE-A002-97FBA15A13A8}"/>
    <cellStyle name="Comma 1042 2" xfId="10638" xr:uid="{66E1D8C0-99AA-43FE-828D-F9BB963D6EE1}"/>
    <cellStyle name="Comma 1042 2 2" xfId="20990" xr:uid="{F68CB09A-8874-420F-BE6C-B63004BD9383}"/>
    <cellStyle name="Comma 1042 3" xfId="15814" xr:uid="{DC6FE3FC-BDD6-4EED-B3E9-D594D1C9A8A2}"/>
    <cellStyle name="Comma 1043" xfId="5463" xr:uid="{DFCE0AB9-6F55-4925-83C8-AA9836656CD9}"/>
    <cellStyle name="Comma 1043 2" xfId="10639" xr:uid="{CEAB655D-F981-4460-AD44-6AB6B760F6F1}"/>
    <cellStyle name="Comma 1043 2 2" xfId="20991" xr:uid="{977D9FAD-409F-4BE3-B89B-AB9268B4974F}"/>
    <cellStyle name="Comma 1043 3" xfId="15815" xr:uid="{D2E4C6F7-EBDA-4A97-B491-B4D27E492B7F}"/>
    <cellStyle name="Comma 1044" xfId="5464" xr:uid="{9F60B737-9FE0-4B85-A883-F517EB1201A4}"/>
    <cellStyle name="Comma 1044 2" xfId="10640" xr:uid="{52CC4590-D7BE-41D3-8B40-D5DC1D33289B}"/>
    <cellStyle name="Comma 1044 2 2" xfId="20992" xr:uid="{AF068C8A-9E01-412A-9D06-7EFD31668703}"/>
    <cellStyle name="Comma 1044 3" xfId="15816" xr:uid="{5CFAA482-FFE8-4A15-8D08-119A57645437}"/>
    <cellStyle name="Comma 1045" xfId="5465" xr:uid="{2B63C518-3F18-4AF8-85EB-FDFA24B05DF4}"/>
    <cellStyle name="Comma 1045 2" xfId="10641" xr:uid="{C12EE450-383A-4415-84AA-05334F765D7D}"/>
    <cellStyle name="Comma 1045 2 2" xfId="20993" xr:uid="{0C953550-282A-474C-B088-449ABFA4DA5C}"/>
    <cellStyle name="Comma 1045 3" xfId="15817" xr:uid="{81FCB6F5-0C99-4AA0-9193-86F4EEBE6246}"/>
    <cellStyle name="Comma 1046" xfId="5466" xr:uid="{5AFE10BD-5E1F-4C99-A272-1B05C0AE7B1E}"/>
    <cellStyle name="Comma 1046 2" xfId="10642" xr:uid="{0C3D528A-02FC-42F5-A38B-CD9592F5D004}"/>
    <cellStyle name="Comma 1046 2 2" xfId="20994" xr:uid="{50244639-C72F-4B7E-813C-C1C7209DE918}"/>
    <cellStyle name="Comma 1046 3" xfId="15818" xr:uid="{B7AABC0D-E631-4B28-81F0-4B8BCB438DCE}"/>
    <cellStyle name="Comma 1047" xfId="5467" xr:uid="{2231C96B-844D-44C8-B54B-712B871FEB27}"/>
    <cellStyle name="Comma 1047 2" xfId="10643" xr:uid="{BBEC9913-CCE9-46AF-AB9A-94775C1CC5E0}"/>
    <cellStyle name="Comma 1047 2 2" xfId="20995" xr:uid="{2181A0FB-DC47-4315-8501-A686B37F467B}"/>
    <cellStyle name="Comma 1047 3" xfId="15819" xr:uid="{5796F55A-9D2F-4E74-83ED-E40B5435A458}"/>
    <cellStyle name="Comma 1048" xfId="5468" xr:uid="{B753660E-6B7A-4CEC-B55D-1D3B678F5647}"/>
    <cellStyle name="Comma 1048 2" xfId="10644" xr:uid="{403E1F8E-8728-419D-92DE-405FAEF12DEC}"/>
    <cellStyle name="Comma 1048 2 2" xfId="20996" xr:uid="{A808DC13-C3BD-47EA-9030-01BD9D2E3533}"/>
    <cellStyle name="Comma 1048 3" xfId="15820" xr:uid="{EE7D66AB-95ED-402A-9DAA-FE32576493FE}"/>
    <cellStyle name="Comma 1049" xfId="5469" xr:uid="{B1E668D2-E5E2-4490-A4A2-7E925B1B84FA}"/>
    <cellStyle name="Comma 1049 2" xfId="10645" xr:uid="{D9AB8977-CD74-4462-8C79-A35F50497065}"/>
    <cellStyle name="Comma 1049 2 2" xfId="20997" xr:uid="{8200CDBD-EBBE-44D7-B587-06ADF7BFE59D}"/>
    <cellStyle name="Comma 1049 3" xfId="15821" xr:uid="{F24C2EF4-3B34-40E5-921A-4E9D89351D4C}"/>
    <cellStyle name="Comma 105" xfId="324" xr:uid="{FAED76FF-8ADC-4876-AD72-F0BB49C3C730}"/>
    <cellStyle name="Comma 105 2" xfId="1383" xr:uid="{32052CB3-6B78-4542-8B22-BC5F9B718B03}"/>
    <cellStyle name="Comma 105 2 2" xfId="3441" xr:uid="{1CEA8264-7C4D-49E7-8A57-CA01C3ADF8FA}"/>
    <cellStyle name="Comma 105 2 2 2" xfId="8674" xr:uid="{ECAB9FBA-0993-4E10-9909-56AEF10AB212}"/>
    <cellStyle name="Comma 105 2 2 2 2" xfId="19026" xr:uid="{AE7C740C-888D-4E64-B944-B2A23E8386A1}"/>
    <cellStyle name="Comma 105 2 2 3" xfId="13851" xr:uid="{F66AB3DC-805B-42C6-BC71-1F6C54D56692}"/>
    <cellStyle name="Comma 105 2 3" xfId="6616" xr:uid="{F3171C63-0B36-449C-81B8-6D54F76C818C}"/>
    <cellStyle name="Comma 105 2 3 2" xfId="16968" xr:uid="{E5A8FB3E-23E9-4391-986E-E922C24A90BD}"/>
    <cellStyle name="Comma 105 2 4" xfId="11793" xr:uid="{B6B47E4E-79B5-469F-9B5F-8DD428F0227E}"/>
    <cellStyle name="Comma 105 3" xfId="2411" xr:uid="{86ED2DAE-7B17-41C2-9B77-DCA32DFDCC16}"/>
    <cellStyle name="Comma 105 3 2" xfId="7644" xr:uid="{601ED717-46E4-499E-AECB-FAEAF81FCFBA}"/>
    <cellStyle name="Comma 105 3 2 2" xfId="17996" xr:uid="{26B621BC-4B71-4C49-888A-E3765C415032}"/>
    <cellStyle name="Comma 105 3 3" xfId="12821" xr:uid="{EE8C959C-F246-48F7-893C-1B818813A0FD}"/>
    <cellStyle name="Comma 105 4" xfId="4537" xr:uid="{B63A7EA3-999B-4764-9073-0DEFB6C1D47D}"/>
    <cellStyle name="Comma 105 4 2" xfId="9713" xr:uid="{5CAC3218-C43A-409B-AFCB-AE48C3AA5985}"/>
    <cellStyle name="Comma 105 4 2 2" xfId="20065" xr:uid="{00935530-E96E-4167-892F-0018C6C8D5D2}"/>
    <cellStyle name="Comma 105 4 3" xfId="14889" xr:uid="{A3267B78-3137-4B34-83C8-A69032AA01BE}"/>
    <cellStyle name="Comma 105 5" xfId="5585" xr:uid="{DAAF217F-7878-4216-9FB8-F85E413FF355}"/>
    <cellStyle name="Comma 105 5 2" xfId="15937" xr:uid="{2F1FFFF6-E10F-47A9-B394-D0E50165F1AC}"/>
    <cellStyle name="Comma 105 6" xfId="10763" xr:uid="{A2E5B85A-7DAC-4BFC-987D-77FDBE57D7D2}"/>
    <cellStyle name="Comma 1050" xfId="5470" xr:uid="{D92AC5C4-088B-4121-A06E-0F81EE7A4C82}"/>
    <cellStyle name="Comma 1050 2" xfId="10646" xr:uid="{2A3B75A3-644C-4903-AA75-97778E36421D}"/>
    <cellStyle name="Comma 1050 2 2" xfId="20998" xr:uid="{AB31D84A-2ABD-4748-AB0A-DB6E3D19693A}"/>
    <cellStyle name="Comma 1050 3" xfId="15822" xr:uid="{4AA9FCC3-4614-40C2-9789-3ECBA8DD74D5}"/>
    <cellStyle name="Comma 1051" xfId="5471" xr:uid="{FD881562-DF42-4A4C-A8B6-6B53FF442CDC}"/>
    <cellStyle name="Comma 1051 2" xfId="10647" xr:uid="{31A3D9B9-39F3-4A8C-8A73-EF6EFDDD9A1D}"/>
    <cellStyle name="Comma 1051 2 2" xfId="20999" xr:uid="{FC57C8F5-7037-4B0B-9AC0-AF8EB4C519DE}"/>
    <cellStyle name="Comma 1051 3" xfId="15823" xr:uid="{3521CC3B-C798-4687-9605-0F071E5DE90A}"/>
    <cellStyle name="Comma 1052" xfId="5472" xr:uid="{A5BB7BA3-23CF-4A29-A3A6-52075C340C1A}"/>
    <cellStyle name="Comma 1052 2" xfId="10648" xr:uid="{31617273-229E-4BF4-88CA-9CE7178975EB}"/>
    <cellStyle name="Comma 1052 2 2" xfId="21000" xr:uid="{DE3A8E9F-5886-4679-8704-5F9787EB8F25}"/>
    <cellStyle name="Comma 1052 3" xfId="15824" xr:uid="{2C64F628-DC53-44C3-9388-4960BEB648D9}"/>
    <cellStyle name="Comma 1053" xfId="6502" xr:uid="{5E1671B3-99CF-4A94-8E9F-3F1741838BDD}"/>
    <cellStyle name="Comma 1053 2" xfId="16854" xr:uid="{231F268C-0E04-4DF8-A8F5-142EF33DF7CD}"/>
    <cellStyle name="Comma 1054" xfId="10649" xr:uid="{875A02C6-C5F5-42BA-8A13-6FBEC9C5C4EF}"/>
    <cellStyle name="Comma 1054 2" xfId="21001" xr:uid="{AF564627-7182-4309-905C-79D03E12E973}"/>
    <cellStyle name="Comma 1055" xfId="10650" xr:uid="{FDBFA064-F154-430A-84E7-652161408013}"/>
    <cellStyle name="Comma 1055 2" xfId="21002" xr:uid="{31496318-8402-4E2D-ADBA-423B4654ECC7}"/>
    <cellStyle name="Comma 1056" xfId="10651" xr:uid="{05F35637-ED7F-4C75-872A-9601CA74720A}"/>
    <cellStyle name="Comma 1056 2" xfId="21003" xr:uid="{7EE6799F-1190-4FBD-A9B8-610E32F4D138}"/>
    <cellStyle name="Comma 1057" xfId="21004" xr:uid="{28D52BD5-21CC-49A2-B87F-BD6583DE783F}"/>
    <cellStyle name="Comma 1058" xfId="21005" xr:uid="{8ECAF58F-6A6C-4782-B817-C8C1B7F9BBDD}"/>
    <cellStyle name="Comma 106" xfId="325" xr:uid="{9CCE8664-E4BF-4944-8D27-6BB2E9D5E435}"/>
    <cellStyle name="Comma 106 2" xfId="1384" xr:uid="{6E706FDA-AD22-4FC9-9999-38ACC46C7274}"/>
    <cellStyle name="Comma 106 2 2" xfId="3442" xr:uid="{E5860E82-7F0C-4983-AE2B-7537CD3E4952}"/>
    <cellStyle name="Comma 106 2 2 2" xfId="8675" xr:uid="{0C4F5288-D996-41FC-9087-CCC68F513B8D}"/>
    <cellStyle name="Comma 106 2 2 2 2" xfId="19027" xr:uid="{340448C0-ADA2-4D4D-A35D-C4B2CDABB667}"/>
    <cellStyle name="Comma 106 2 2 3" xfId="13852" xr:uid="{09E28A1E-0D17-4B5E-8D01-E6B7B17D01AA}"/>
    <cellStyle name="Comma 106 2 3" xfId="6617" xr:uid="{7C6CF209-9197-46BD-A157-1437AD4B9298}"/>
    <cellStyle name="Comma 106 2 3 2" xfId="16969" xr:uid="{A1C976D4-F1A7-4CFF-90F3-9171A0D55ED7}"/>
    <cellStyle name="Comma 106 2 4" xfId="11794" xr:uid="{2C881308-8043-4B01-833B-834E80097D76}"/>
    <cellStyle name="Comma 106 3" xfId="2412" xr:uid="{197DAD20-6612-4C5B-B180-CE937F9BD7F0}"/>
    <cellStyle name="Comma 106 3 2" xfId="7645" xr:uid="{0D3653C8-36E5-4C06-9B58-E0AF85702CFD}"/>
    <cellStyle name="Comma 106 3 2 2" xfId="17997" xr:uid="{D62CDF92-0A56-4297-AEFB-4F2AB5B9E8F0}"/>
    <cellStyle name="Comma 106 3 3" xfId="12822" xr:uid="{D0B066E1-AD13-4898-AA7C-7D35809AE769}"/>
    <cellStyle name="Comma 106 4" xfId="4538" xr:uid="{40F8595A-A1C7-4D82-86C2-34E2783A00C2}"/>
    <cellStyle name="Comma 106 4 2" xfId="9714" xr:uid="{86E718C0-BB8E-4C85-A880-19431BAD9C89}"/>
    <cellStyle name="Comma 106 4 2 2" xfId="20066" xr:uid="{72E949D2-12FC-4DAC-A977-8FA9676491D0}"/>
    <cellStyle name="Comma 106 4 3" xfId="14890" xr:uid="{36ABDFEE-394E-4E2A-9B54-6C1E0737CA7E}"/>
    <cellStyle name="Comma 106 5" xfId="5586" xr:uid="{7386FDAA-F617-445A-AD10-88BA69A025D6}"/>
    <cellStyle name="Comma 106 5 2" xfId="15938" xr:uid="{99B96392-345A-444A-A239-6F607554A995}"/>
    <cellStyle name="Comma 106 6" xfId="10764" xr:uid="{75430FD7-D505-4AA0-B1CD-6C51330E943F}"/>
    <cellStyle name="Comma 107" xfId="326" xr:uid="{6B4E2647-E3FE-4E21-9C19-51A6812982C9}"/>
    <cellStyle name="Comma 107 2" xfId="1385" xr:uid="{2FA9F292-E7FC-4D1F-9A9F-E1562C5D80B2}"/>
    <cellStyle name="Comma 107 2 2" xfId="3443" xr:uid="{8A8AB8BA-B1FE-4EC8-A2B2-D97A96ED6504}"/>
    <cellStyle name="Comma 107 2 2 2" xfId="8676" xr:uid="{20DB409E-34A3-4070-8C26-34D2DE4BD413}"/>
    <cellStyle name="Comma 107 2 2 2 2" xfId="19028" xr:uid="{4591EEF3-8168-4780-B969-7FDB866724D9}"/>
    <cellStyle name="Comma 107 2 2 3" xfId="13853" xr:uid="{81F570DF-BF8C-4342-AF2E-41018DA7A177}"/>
    <cellStyle name="Comma 107 2 3" xfId="6618" xr:uid="{D5AE09D3-39B3-4AB1-AE57-08F7ABCF6022}"/>
    <cellStyle name="Comma 107 2 3 2" xfId="16970" xr:uid="{56C204D1-7039-4B8E-B558-0B4F78265840}"/>
    <cellStyle name="Comma 107 2 4" xfId="11795" xr:uid="{ACC43504-3354-48FC-906B-B3D753743CBF}"/>
    <cellStyle name="Comma 107 3" xfId="2413" xr:uid="{28C2750C-C5D3-4B46-AFD1-A42459284953}"/>
    <cellStyle name="Comma 107 3 2" xfId="7646" xr:uid="{04C97E31-5853-4E07-A946-36A9654A4242}"/>
    <cellStyle name="Comma 107 3 2 2" xfId="17998" xr:uid="{1581312F-3BF1-4972-96D0-7A0953742FC4}"/>
    <cellStyle name="Comma 107 3 3" xfId="12823" xr:uid="{16883482-7627-463F-BE7B-7D614FEE9D8F}"/>
    <cellStyle name="Comma 107 4" xfId="4539" xr:uid="{3DE1BAEA-ED5C-48B5-9898-9DDF8D0533E5}"/>
    <cellStyle name="Comma 107 4 2" xfId="9715" xr:uid="{EF3C968E-2121-483D-ADF2-DD45BDFCDB87}"/>
    <cellStyle name="Comma 107 4 2 2" xfId="20067" xr:uid="{15CAD466-8091-41B7-B712-4FE8B187A74E}"/>
    <cellStyle name="Comma 107 4 3" xfId="14891" xr:uid="{88A8176B-909A-4845-9B6C-7DBED61D425F}"/>
    <cellStyle name="Comma 107 5" xfId="5587" xr:uid="{AB70D0ED-6174-4E4D-B21A-FBD2486F606B}"/>
    <cellStyle name="Comma 107 5 2" xfId="15939" xr:uid="{21C2F04D-E463-480D-985C-32DD5FD80F4B}"/>
    <cellStyle name="Comma 107 6" xfId="10765" xr:uid="{13581C17-EEF5-4A78-898F-9CFA43E47788}"/>
    <cellStyle name="Comma 108" xfId="327" xr:uid="{C15D873C-6A2C-47CF-97E3-595E69653678}"/>
    <cellStyle name="Comma 108 2" xfId="1386" xr:uid="{7265E21B-C276-4444-8A65-08A3FBDC3139}"/>
    <cellStyle name="Comma 108 2 2" xfId="3444" xr:uid="{FC2A29FD-E728-4389-814C-EC798ECB7275}"/>
    <cellStyle name="Comma 108 2 2 2" xfId="8677" xr:uid="{877404F4-A92C-4AE7-AD70-AACA0AE8C9B9}"/>
    <cellStyle name="Comma 108 2 2 2 2" xfId="19029" xr:uid="{79915B46-5C98-4B5D-A311-28A6A839C156}"/>
    <cellStyle name="Comma 108 2 2 3" xfId="13854" xr:uid="{94D9BF92-0F14-4316-ADD9-313E5DDA6A8B}"/>
    <cellStyle name="Comma 108 2 3" xfId="6619" xr:uid="{FA72CF7A-4709-4725-BD6A-72B59B54D0FA}"/>
    <cellStyle name="Comma 108 2 3 2" xfId="16971" xr:uid="{54C858CE-FFF7-4915-B598-186CC987B033}"/>
    <cellStyle name="Comma 108 2 4" xfId="11796" xr:uid="{96F101DC-4D40-45F0-949D-138FC3E37B62}"/>
    <cellStyle name="Comma 108 3" xfId="2414" xr:uid="{33F746D1-D92B-418C-9AD4-F8274B91EA2E}"/>
    <cellStyle name="Comma 108 3 2" xfId="7647" xr:uid="{6C8102DA-300A-4E5C-8676-7B76557504C2}"/>
    <cellStyle name="Comma 108 3 2 2" xfId="17999" xr:uid="{9DA55EE1-0978-43A4-9989-E553689F192A}"/>
    <cellStyle name="Comma 108 3 3" xfId="12824" xr:uid="{96F0F777-8D64-4014-BF2C-E3CBC4BC61B8}"/>
    <cellStyle name="Comma 108 4" xfId="4540" xr:uid="{51313FB1-D5E7-4B44-9AE9-F9978AF22BE5}"/>
    <cellStyle name="Comma 108 4 2" xfId="9716" xr:uid="{EB7ACDF9-60D8-4F76-824E-CC09A6B4E68B}"/>
    <cellStyle name="Comma 108 4 2 2" xfId="20068" xr:uid="{2D4FCDF5-320B-4B83-B6B0-43A351A692CB}"/>
    <cellStyle name="Comma 108 4 3" xfId="14892" xr:uid="{92AFC0EF-9040-47F0-ADBD-AED42122B079}"/>
    <cellStyle name="Comma 108 5" xfId="5588" xr:uid="{B382F215-0471-4B40-8346-21A6B32928B6}"/>
    <cellStyle name="Comma 108 5 2" xfId="15940" xr:uid="{6ACDC7EB-0EAC-4A8D-A782-47D3C436D996}"/>
    <cellStyle name="Comma 108 6" xfId="10766" xr:uid="{C54FB767-BA55-41D7-9E57-8D5FEAE370A0}"/>
    <cellStyle name="Comma 109" xfId="328" xr:uid="{ABD97F2D-C669-4A5D-B214-871D7E041E04}"/>
    <cellStyle name="Comma 109 2" xfId="1387" xr:uid="{682F7C95-2523-4CF5-A4E7-C7D96E8EE426}"/>
    <cellStyle name="Comma 109 2 2" xfId="3445" xr:uid="{97552E4C-88C2-453C-8250-CD1674653FE4}"/>
    <cellStyle name="Comma 109 2 2 2" xfId="8678" xr:uid="{3C1D153D-5924-4923-9981-954FD87B238C}"/>
    <cellStyle name="Comma 109 2 2 2 2" xfId="19030" xr:uid="{EED7E005-7390-4E62-9D67-71AEF7ABA8E5}"/>
    <cellStyle name="Comma 109 2 2 3" xfId="13855" xr:uid="{136A3EE2-6BB5-43FB-876C-20CD5DD87704}"/>
    <cellStyle name="Comma 109 2 3" xfId="6620" xr:uid="{5E437C17-F690-49E3-B245-209A21DFF7C0}"/>
    <cellStyle name="Comma 109 2 3 2" xfId="16972" xr:uid="{0D6550C8-265F-43BB-82EC-FE2364D00398}"/>
    <cellStyle name="Comma 109 2 4" xfId="11797" xr:uid="{A0FA5220-CF1F-445C-8C42-C038F06B4DD2}"/>
    <cellStyle name="Comma 109 3" xfId="2415" xr:uid="{7883BE86-5196-4EB5-BE88-4C842ABC7DD8}"/>
    <cellStyle name="Comma 109 3 2" xfId="7648" xr:uid="{8D2569B2-FF7D-4308-9F66-35BC052F91CF}"/>
    <cellStyle name="Comma 109 3 2 2" xfId="18000" xr:uid="{BFC13DA8-0877-436E-9801-5D640597B1FA}"/>
    <cellStyle name="Comma 109 3 3" xfId="12825" xr:uid="{9E90F87D-B2D1-4051-BBD6-293A9F4A5104}"/>
    <cellStyle name="Comma 109 4" xfId="4541" xr:uid="{DDC4B66E-1709-45CD-8B02-3AEF8F9ED7B8}"/>
    <cellStyle name="Comma 109 4 2" xfId="9717" xr:uid="{5F2C70AB-A670-43D2-8BF4-F189E0256E00}"/>
    <cellStyle name="Comma 109 4 2 2" xfId="20069" xr:uid="{CF9CBB3B-7E94-4553-BE6C-E3B3E9C4655A}"/>
    <cellStyle name="Comma 109 4 3" xfId="14893" xr:uid="{F98E67AC-98EB-4F61-8C5C-E6EE02C3F72E}"/>
    <cellStyle name="Comma 109 5" xfId="5589" xr:uid="{C8E1ABC4-A4DA-4CAA-BFBB-13B56A9E163C}"/>
    <cellStyle name="Comma 109 5 2" xfId="15941" xr:uid="{C4299F91-382D-4350-A3A1-243D815649A1}"/>
    <cellStyle name="Comma 109 6" xfId="10767" xr:uid="{ED508B6F-4304-4408-8967-85BBD158BE5B}"/>
    <cellStyle name="Comma 11" xfId="203" xr:uid="{E767EF01-1ECC-4A3E-9A7E-22C77856C7DD}"/>
    <cellStyle name="Comma 11 2" xfId="1289" xr:uid="{8A380D2D-3F43-4876-899A-01DB9B73E333}"/>
    <cellStyle name="Comma 11 2 2" xfId="3347" xr:uid="{5004DF30-FD31-40C5-BC1F-16F713A33586}"/>
    <cellStyle name="Comma 11 2 2 2" xfId="8580" xr:uid="{A394B5AD-57D6-4144-804F-591D76B7F954}"/>
    <cellStyle name="Comma 11 2 2 2 2" xfId="18932" xr:uid="{EF13511F-1F35-4377-B03F-7B22CE2B245B}"/>
    <cellStyle name="Comma 11 2 2 3" xfId="13757" xr:uid="{8673C746-99E1-49E4-8D9D-AB9A49469806}"/>
    <cellStyle name="Comma 11 2 3" xfId="6522" xr:uid="{0D2BED53-DF07-4FF1-AB9C-5AD06C8554B0}"/>
    <cellStyle name="Comma 11 2 3 2" xfId="16874" xr:uid="{3D131401-F925-4F05-94B0-3EC1D018D772}"/>
    <cellStyle name="Comma 11 2 4" xfId="11699" xr:uid="{3D3D982B-0906-4547-A7C3-8B6BC586C186}"/>
    <cellStyle name="Comma 11 3" xfId="2317" xr:uid="{BD8B3A65-BB7B-401B-815D-C685121B93D2}"/>
    <cellStyle name="Comma 11 3 2" xfId="7550" xr:uid="{F9EBCC7E-C521-4E8A-A295-5BCA904B2F78}"/>
    <cellStyle name="Comma 11 3 2 2" xfId="17902" xr:uid="{677A8ECF-50E7-4E34-A87C-DF791D308CCE}"/>
    <cellStyle name="Comma 11 3 3" xfId="12727" xr:uid="{2691FCE3-E025-4615-BDAD-08682655BC10}"/>
    <cellStyle name="Comma 11 4" xfId="4443" xr:uid="{3CEE7E51-7D5A-4AD3-97AA-5E87ED0E574D}"/>
    <cellStyle name="Comma 11 4 2" xfId="9619" xr:uid="{9BA0D544-B5E0-4B19-9AFC-E2AB0C679057}"/>
    <cellStyle name="Comma 11 4 2 2" xfId="19971" xr:uid="{FC1F77A7-A027-4732-9BF5-E435497C43D9}"/>
    <cellStyle name="Comma 11 4 3" xfId="14795" xr:uid="{9E0AF127-5747-4173-992E-62A24CC3F405}"/>
    <cellStyle name="Comma 11 5" xfId="5491" xr:uid="{EDB11D81-7922-4C9A-8A23-BCB0B6AA624E}"/>
    <cellStyle name="Comma 11 5 2" xfId="15843" xr:uid="{422DB7C3-934D-4661-83A4-37B63BBCB248}"/>
    <cellStyle name="Comma 11 6" xfId="10669" xr:uid="{32AFF54B-E290-4C72-9DA9-DAB05256824B}"/>
    <cellStyle name="Comma 110" xfId="329" xr:uid="{95DF574B-DFB6-4E31-9102-700EF9DEE7F3}"/>
    <cellStyle name="Comma 110 2" xfId="1388" xr:uid="{8DF32020-F1C0-43BA-A856-E0D36B02E899}"/>
    <cellStyle name="Comma 110 2 2" xfId="3446" xr:uid="{447403E2-BA26-4F15-B4A7-F5B2E8790B26}"/>
    <cellStyle name="Comma 110 2 2 2" xfId="8679" xr:uid="{90C5B5AF-845E-4360-B6A0-7A748EB9D9B4}"/>
    <cellStyle name="Comma 110 2 2 2 2" xfId="19031" xr:uid="{1D230F8C-703D-436A-AEAE-3D250ADFD859}"/>
    <cellStyle name="Comma 110 2 2 3" xfId="13856" xr:uid="{B03D8CC8-1DFD-43DE-9DD7-85E5F10E23DB}"/>
    <cellStyle name="Comma 110 2 3" xfId="6621" xr:uid="{5A1835D1-E4C6-48AA-8BE0-BB91B0C4DFF3}"/>
    <cellStyle name="Comma 110 2 3 2" xfId="16973" xr:uid="{CE35D5BA-93ED-4094-9F3E-57B42EBBA041}"/>
    <cellStyle name="Comma 110 2 4" xfId="11798" xr:uid="{674FE2ED-BE2C-484E-AB08-3A357D7A96B6}"/>
    <cellStyle name="Comma 110 3" xfId="2416" xr:uid="{946E5A98-CA75-41A8-AF4C-CDF20A569641}"/>
    <cellStyle name="Comma 110 3 2" xfId="7649" xr:uid="{5C1F4C89-F73E-4666-8D02-A4BFA474A3DD}"/>
    <cellStyle name="Comma 110 3 2 2" xfId="18001" xr:uid="{6716F3BC-2428-43E2-8AB4-C79704033585}"/>
    <cellStyle name="Comma 110 3 3" xfId="12826" xr:uid="{BB1E8433-C580-477E-A46E-D7BE41814BE5}"/>
    <cellStyle name="Comma 110 4" xfId="4542" xr:uid="{94C8E1DD-23E7-49A2-8C97-4BDE6C6C31A7}"/>
    <cellStyle name="Comma 110 4 2" xfId="9718" xr:uid="{4E586419-C683-442F-BFE1-FA123B759DE4}"/>
    <cellStyle name="Comma 110 4 2 2" xfId="20070" xr:uid="{A82B3552-4D90-47B8-811A-0CB59F1F2E8C}"/>
    <cellStyle name="Comma 110 4 3" xfId="14894" xr:uid="{18D9F621-BCB7-4D97-82D2-5F5D26BDC08E}"/>
    <cellStyle name="Comma 110 5" xfId="5590" xr:uid="{AB0F7B19-72D1-4827-ADDA-D6AC131DE054}"/>
    <cellStyle name="Comma 110 5 2" xfId="15942" xr:uid="{BD2D65B1-2B66-498D-BE53-8F8A6DB70557}"/>
    <cellStyle name="Comma 110 6" xfId="10768" xr:uid="{38651AE4-BC77-4C63-BE79-EA77DB545A01}"/>
    <cellStyle name="Comma 111" xfId="330" xr:uid="{834D71A1-DE33-4698-957B-1A45C606EF46}"/>
    <cellStyle name="Comma 111 2" xfId="1389" xr:uid="{C45C0037-C9C9-40D6-8345-ABB1888D085A}"/>
    <cellStyle name="Comma 111 2 2" xfId="3447" xr:uid="{F52D5DCA-DDCA-4FDC-A0A2-E5C61D75B32A}"/>
    <cellStyle name="Comma 111 2 2 2" xfId="8680" xr:uid="{4289CD88-8BFF-4413-8970-58936F8290A1}"/>
    <cellStyle name="Comma 111 2 2 2 2" xfId="19032" xr:uid="{33EFA797-D700-4385-B591-AB2BDBA91BF8}"/>
    <cellStyle name="Comma 111 2 2 3" xfId="13857" xr:uid="{4027F4E4-81F5-407D-BC12-69955ACB15AF}"/>
    <cellStyle name="Comma 111 2 3" xfId="6622" xr:uid="{8869DB12-0C22-401F-AC71-F0F655470530}"/>
    <cellStyle name="Comma 111 2 3 2" xfId="16974" xr:uid="{60D22209-6467-4776-9199-B8CFFA533E2E}"/>
    <cellStyle name="Comma 111 2 4" xfId="11799" xr:uid="{89917776-CF72-4940-BE2A-A1CF2D966DC0}"/>
    <cellStyle name="Comma 111 3" xfId="2417" xr:uid="{74A316BA-95C1-43C5-8B5E-ECAA9874A829}"/>
    <cellStyle name="Comma 111 3 2" xfId="7650" xr:uid="{CEC781F4-6015-4D67-BD0E-396EB66F9A82}"/>
    <cellStyle name="Comma 111 3 2 2" xfId="18002" xr:uid="{8CBB0FDC-6338-480D-B106-1089155E1407}"/>
    <cellStyle name="Comma 111 3 3" xfId="12827" xr:uid="{295D959D-482D-4471-8C63-53E4247A1223}"/>
    <cellStyle name="Comma 111 4" xfId="4543" xr:uid="{2AAC9F4F-91C2-4F13-8A9B-062D8E2C0ACE}"/>
    <cellStyle name="Comma 111 4 2" xfId="9719" xr:uid="{40A91033-01ED-43EC-A052-C16635D9A5A1}"/>
    <cellStyle name="Comma 111 4 2 2" xfId="20071" xr:uid="{795E0CBB-A4C4-4831-A2A5-39AA56E70DFF}"/>
    <cellStyle name="Comma 111 4 3" xfId="14895" xr:uid="{F564EB0E-D88E-4BB1-B54E-038A462D1198}"/>
    <cellStyle name="Comma 111 5" xfId="5591" xr:uid="{E341D22C-F5B6-46B9-9D0F-CA45F7EEB73D}"/>
    <cellStyle name="Comma 111 5 2" xfId="15943" xr:uid="{1D32E146-5948-4F29-83B1-0D6474DC85A8}"/>
    <cellStyle name="Comma 111 6" xfId="10769" xr:uid="{558CEBA7-60AD-43A2-BF1D-EFC32485CC59}"/>
    <cellStyle name="Comma 112" xfId="331" xr:uid="{7D2CF8C1-944E-4B64-8D78-C354C7E86907}"/>
    <cellStyle name="Comma 112 2" xfId="1390" xr:uid="{8C908F9D-0E75-4515-A0D1-A8094E9271AF}"/>
    <cellStyle name="Comma 112 2 2" xfId="3448" xr:uid="{3E791525-96FC-4B30-BE76-DFE7577F5888}"/>
    <cellStyle name="Comma 112 2 2 2" xfId="8681" xr:uid="{44ACF7BD-2C98-4C22-AFE1-DDAAA1B03EBF}"/>
    <cellStyle name="Comma 112 2 2 2 2" xfId="19033" xr:uid="{7804458E-6F27-43A9-9819-ACDBC6E0F2B9}"/>
    <cellStyle name="Comma 112 2 2 3" xfId="13858" xr:uid="{F45E44D8-72CF-4DBB-9C7C-2430E84E11E6}"/>
    <cellStyle name="Comma 112 2 3" xfId="6623" xr:uid="{89350B4A-6DDC-4F07-9592-6566FFFBE70B}"/>
    <cellStyle name="Comma 112 2 3 2" xfId="16975" xr:uid="{59986D6E-445F-4B2D-BBC9-E7435A6CDD61}"/>
    <cellStyle name="Comma 112 2 4" xfId="11800" xr:uid="{09AC90BF-8CE0-4485-9F99-10758DA833BE}"/>
    <cellStyle name="Comma 112 3" xfId="2418" xr:uid="{FB7217BB-606E-4FCC-A147-BB37B85C012B}"/>
    <cellStyle name="Comma 112 3 2" xfId="7651" xr:uid="{E9EB53EC-DD7A-4AB0-81E9-68AF6B278D32}"/>
    <cellStyle name="Comma 112 3 2 2" xfId="18003" xr:uid="{CB746E52-432A-4746-922E-F597D08DD907}"/>
    <cellStyle name="Comma 112 3 3" xfId="12828" xr:uid="{EAA1E8B7-F43C-4D97-A41C-43F5FD5332F6}"/>
    <cellStyle name="Comma 112 4" xfId="4544" xr:uid="{119D2871-B340-4794-B44B-CA72C63BB10E}"/>
    <cellStyle name="Comma 112 4 2" xfId="9720" xr:uid="{16149170-60E3-418E-B138-4D645640DD51}"/>
    <cellStyle name="Comma 112 4 2 2" xfId="20072" xr:uid="{D4B45F55-EE92-4C6D-B42B-9906B53D9457}"/>
    <cellStyle name="Comma 112 4 3" xfId="14896" xr:uid="{874502FA-DE9A-4E04-9AB9-127DB4783232}"/>
    <cellStyle name="Comma 112 5" xfId="5592" xr:uid="{4887145F-B2A6-43FA-AC35-8EC05D353044}"/>
    <cellStyle name="Comma 112 5 2" xfId="15944" xr:uid="{B0BCE5EC-AB36-49B1-B75C-FFF570863AC3}"/>
    <cellStyle name="Comma 112 6" xfId="10770" xr:uid="{8994867D-DD7F-4F40-A8C8-7CD0B8BE3475}"/>
    <cellStyle name="Comma 113" xfId="332" xr:uid="{29B787A8-031D-4E0D-8E63-0A58CF782696}"/>
    <cellStyle name="Comma 113 2" xfId="1391" xr:uid="{75157A0C-8E2A-4E90-9A3C-82FE7D02E01D}"/>
    <cellStyle name="Comma 113 2 2" xfId="3449" xr:uid="{EE70C3F7-362F-4449-9E78-A3E011E585DE}"/>
    <cellStyle name="Comma 113 2 2 2" xfId="8682" xr:uid="{E93A9560-E36F-4158-B058-B97EF381241B}"/>
    <cellStyle name="Comma 113 2 2 2 2" xfId="19034" xr:uid="{37A0D7C2-7460-47A6-8A52-5F55BADF26F1}"/>
    <cellStyle name="Comma 113 2 2 3" xfId="13859" xr:uid="{2BD4E1C4-90DF-4947-B818-39CC47D4487F}"/>
    <cellStyle name="Comma 113 2 3" xfId="6624" xr:uid="{C905701D-51AA-443E-B72A-F13349EF2CE2}"/>
    <cellStyle name="Comma 113 2 3 2" xfId="16976" xr:uid="{BDBF396D-330B-43CD-A0D2-6E9DDD7FB17D}"/>
    <cellStyle name="Comma 113 2 4" xfId="11801" xr:uid="{ED9B13C7-77BB-47D2-8FD2-B769968A1FB9}"/>
    <cellStyle name="Comma 113 3" xfId="2419" xr:uid="{481EF0F8-7DFB-4ECA-BD5D-033129B87D12}"/>
    <cellStyle name="Comma 113 3 2" xfId="7652" xr:uid="{68714BCB-439C-4EA6-9748-D53C14E89894}"/>
    <cellStyle name="Comma 113 3 2 2" xfId="18004" xr:uid="{7030076C-973A-4C72-8E0D-C43D2089D3E1}"/>
    <cellStyle name="Comma 113 3 3" xfId="12829" xr:uid="{9DB87D35-C0D9-4491-800F-CCD2B108832C}"/>
    <cellStyle name="Comma 113 4" xfId="4545" xr:uid="{512558A7-9A5C-4326-A118-6F8B78DC1F4A}"/>
    <cellStyle name="Comma 113 4 2" xfId="9721" xr:uid="{E53CE8B8-CFF1-49AE-ABE6-F8DAE18F9BD9}"/>
    <cellStyle name="Comma 113 4 2 2" xfId="20073" xr:uid="{390C4007-487B-45FE-95A1-52271293FE2A}"/>
    <cellStyle name="Comma 113 4 3" xfId="14897" xr:uid="{3EF704CA-5DD9-41A7-AB0B-67992C56B901}"/>
    <cellStyle name="Comma 113 5" xfId="5593" xr:uid="{B18B9B06-1419-4210-8933-180951ABA4E3}"/>
    <cellStyle name="Comma 113 5 2" xfId="15945" xr:uid="{BFF56181-69AB-41CA-9C7E-40C27F269511}"/>
    <cellStyle name="Comma 113 6" xfId="10771" xr:uid="{71F05806-3F8E-4FA7-AF82-D5923FC2E579}"/>
    <cellStyle name="Comma 114" xfId="333" xr:uid="{C2591185-8CD9-42B9-841B-7C714F1A81F5}"/>
    <cellStyle name="Comma 114 2" xfId="1392" xr:uid="{6A8A3248-16AF-4210-BF11-6B99E12560F8}"/>
    <cellStyle name="Comma 114 2 2" xfId="3450" xr:uid="{29C49FF6-E51D-4C1C-B285-4969DC725E76}"/>
    <cellStyle name="Comma 114 2 2 2" xfId="8683" xr:uid="{2CC8102A-C1EB-45F9-9530-4A80F3CDCDC2}"/>
    <cellStyle name="Comma 114 2 2 2 2" xfId="19035" xr:uid="{A07649FF-F464-4B25-9D86-B80A1EC403FF}"/>
    <cellStyle name="Comma 114 2 2 3" xfId="13860" xr:uid="{193AAE26-9A7C-40DC-AD9B-54401ACAD145}"/>
    <cellStyle name="Comma 114 2 3" xfId="6625" xr:uid="{483FA397-A80E-46C8-A901-8FF064472934}"/>
    <cellStyle name="Comma 114 2 3 2" xfId="16977" xr:uid="{D36DB047-8ED1-4D62-A997-6BB9DEC69121}"/>
    <cellStyle name="Comma 114 2 4" xfId="11802" xr:uid="{E9958CCE-2B8E-4648-8153-4937F2F4C335}"/>
    <cellStyle name="Comma 114 3" xfId="2420" xr:uid="{7D633B02-5A71-43DF-9649-9F2EC80A1F11}"/>
    <cellStyle name="Comma 114 3 2" xfId="7653" xr:uid="{F55AC7B1-CF29-4DBF-924A-11ABB3BCD091}"/>
    <cellStyle name="Comma 114 3 2 2" xfId="18005" xr:uid="{F0DCDF7F-1B56-4D31-97E2-A5769FE99143}"/>
    <cellStyle name="Comma 114 3 3" xfId="12830" xr:uid="{9925B0A7-894B-467A-B686-B415A2CFC116}"/>
    <cellStyle name="Comma 114 4" xfId="4546" xr:uid="{D5791B81-5E59-4725-81AD-F9E956AF9FFB}"/>
    <cellStyle name="Comma 114 4 2" xfId="9722" xr:uid="{7DBB46DC-4EA6-4053-B023-ECD7E2032EAB}"/>
    <cellStyle name="Comma 114 4 2 2" xfId="20074" xr:uid="{C0012A0C-A719-4156-BE0E-B99F643C3115}"/>
    <cellStyle name="Comma 114 4 3" xfId="14898" xr:uid="{0F243F60-1AB1-44FA-B6E6-6DEC91B1D3B0}"/>
    <cellStyle name="Comma 114 5" xfId="5594" xr:uid="{97B9DD64-04C0-41A3-8988-AB5066278598}"/>
    <cellStyle name="Comma 114 5 2" xfId="15946" xr:uid="{EDAC250A-190B-40B4-835D-76B973D79663}"/>
    <cellStyle name="Comma 114 6" xfId="10772" xr:uid="{054B0F53-DCC4-471E-8ADC-98C8643961F7}"/>
    <cellStyle name="Comma 115" xfId="334" xr:uid="{47899B8B-D024-4727-9569-6727CA3353BA}"/>
    <cellStyle name="Comma 115 2" xfId="1393" xr:uid="{059670D9-34A2-488C-87C5-39C3256ADEA2}"/>
    <cellStyle name="Comma 115 2 2" xfId="3451" xr:uid="{454541F0-7DF3-4CF2-8C24-4EB8684C9265}"/>
    <cellStyle name="Comma 115 2 2 2" xfId="8684" xr:uid="{6BC97956-56CD-4E1B-911E-C1D4A5ED8989}"/>
    <cellStyle name="Comma 115 2 2 2 2" xfId="19036" xr:uid="{64BFDF7E-5F6E-4A15-BBDE-458258CCEF2C}"/>
    <cellStyle name="Comma 115 2 2 3" xfId="13861" xr:uid="{E2494A61-D0A1-464B-9EAD-6715CCCA4FAC}"/>
    <cellStyle name="Comma 115 2 3" xfId="6626" xr:uid="{9B558FF0-987C-4E36-8AC6-64DE01A223F6}"/>
    <cellStyle name="Comma 115 2 3 2" xfId="16978" xr:uid="{5FB6884D-8FA2-489E-8638-4647C41334DA}"/>
    <cellStyle name="Comma 115 2 4" xfId="11803" xr:uid="{690A8F29-5AEA-4616-A2BA-FC10F0A08D76}"/>
    <cellStyle name="Comma 115 3" xfId="2421" xr:uid="{B8ED85C9-051E-4638-817B-66DCC5B0DE50}"/>
    <cellStyle name="Comma 115 3 2" xfId="7654" xr:uid="{4E6A8C7B-33C6-4B4B-97B9-7F0F5D065927}"/>
    <cellStyle name="Comma 115 3 2 2" xfId="18006" xr:uid="{C5055F03-BD34-46C7-BD9A-0419AB33EA65}"/>
    <cellStyle name="Comma 115 3 3" xfId="12831" xr:uid="{CA4529B6-A5FC-4112-A547-57969709E741}"/>
    <cellStyle name="Comma 115 4" xfId="4547" xr:uid="{90B736FF-6A28-449A-A275-7C23F483669B}"/>
    <cellStyle name="Comma 115 4 2" xfId="9723" xr:uid="{D3DA0E1F-E549-4AE5-9D9E-6FBB6198319B}"/>
    <cellStyle name="Comma 115 4 2 2" xfId="20075" xr:uid="{4D7942AB-991A-42D2-A3C3-ECA0321F3903}"/>
    <cellStyle name="Comma 115 4 3" xfId="14899" xr:uid="{AC85B844-3200-48B7-B296-0873E55087D2}"/>
    <cellStyle name="Comma 115 5" xfId="5595" xr:uid="{754DD729-6D8D-4259-A23E-925FF794C0F0}"/>
    <cellStyle name="Comma 115 5 2" xfId="15947" xr:uid="{25A501EA-042B-488B-8FBF-0779BD88BD30}"/>
    <cellStyle name="Comma 115 6" xfId="10773" xr:uid="{47306D56-9862-41C9-959F-C2DB04F5102F}"/>
    <cellStyle name="Comma 116" xfId="335" xr:uid="{8120C5BB-A255-41E5-B446-AF634242F9AD}"/>
    <cellStyle name="Comma 116 2" xfId="1394" xr:uid="{418A549B-8A35-4553-91E4-4CF69EB37F5D}"/>
    <cellStyle name="Comma 116 2 2" xfId="3452" xr:uid="{74C7523B-2850-4CF2-8BEC-98EABA022A02}"/>
    <cellStyle name="Comma 116 2 2 2" xfId="8685" xr:uid="{CB3D71C8-876D-44B7-9EB5-C5A5193A934B}"/>
    <cellStyle name="Comma 116 2 2 2 2" xfId="19037" xr:uid="{F3E97AA3-274C-4CE2-A333-4C52098D8D96}"/>
    <cellStyle name="Comma 116 2 2 3" xfId="13862" xr:uid="{845D3E5F-AC31-4F8E-A069-36F77A7F9238}"/>
    <cellStyle name="Comma 116 2 3" xfId="6627" xr:uid="{0DFF282A-7631-4F56-8854-C8F40484C20F}"/>
    <cellStyle name="Comma 116 2 3 2" xfId="16979" xr:uid="{93F613F8-E9CB-4017-900A-FB4DC40533A7}"/>
    <cellStyle name="Comma 116 2 4" xfId="11804" xr:uid="{10B3A8C4-8187-410B-8744-11A5E06836BB}"/>
    <cellStyle name="Comma 116 3" xfId="2422" xr:uid="{362FDB9E-926E-40BE-8B6F-130EC9501FCD}"/>
    <cellStyle name="Comma 116 3 2" xfId="7655" xr:uid="{3B9346B5-4CAD-4E0A-AABF-347DB0176C07}"/>
    <cellStyle name="Comma 116 3 2 2" xfId="18007" xr:uid="{AA617F63-DCA7-47E5-8A49-1D66B29AB5F3}"/>
    <cellStyle name="Comma 116 3 3" xfId="12832" xr:uid="{0BA67848-E631-4AF8-8AED-7922897574D4}"/>
    <cellStyle name="Comma 116 4" xfId="4548" xr:uid="{61AB43D6-2D9C-4A65-BF26-19A13519DEFB}"/>
    <cellStyle name="Comma 116 4 2" xfId="9724" xr:uid="{03BA3D66-90C2-45DB-BDF3-AD2FA3412019}"/>
    <cellStyle name="Comma 116 4 2 2" xfId="20076" xr:uid="{17FA3DA8-FED8-4F38-B71E-78095923833D}"/>
    <cellStyle name="Comma 116 4 3" xfId="14900" xr:uid="{3307DDE1-34C2-477D-9672-443EE1FEAAC5}"/>
    <cellStyle name="Comma 116 5" xfId="5596" xr:uid="{B9882CF6-F9F9-4B7C-9F04-E300BC7DB370}"/>
    <cellStyle name="Comma 116 5 2" xfId="15948" xr:uid="{238BFF20-BF43-4789-BE82-56416B2F0C10}"/>
    <cellStyle name="Comma 116 6" xfId="10774" xr:uid="{3B6D6231-F23C-4F97-82CB-5C567D4CBF22}"/>
    <cellStyle name="Comma 117" xfId="336" xr:uid="{655B06A7-667E-4CD8-8A8B-2F79EC8DCD10}"/>
    <cellStyle name="Comma 117 2" xfId="1395" xr:uid="{0FB00C6A-FAC2-4BA3-B9C7-F32BBA10AE9D}"/>
    <cellStyle name="Comma 117 2 2" xfId="3453" xr:uid="{9BAE6D0F-FDD1-4E4A-BCFE-7CDDFF2CA9E2}"/>
    <cellStyle name="Comma 117 2 2 2" xfId="8686" xr:uid="{74F9A63A-E002-4A2B-8266-F9624FCD869B}"/>
    <cellStyle name="Comma 117 2 2 2 2" xfId="19038" xr:uid="{0761A0B1-9966-4D4D-BF94-2E39F60E1909}"/>
    <cellStyle name="Comma 117 2 2 3" xfId="13863" xr:uid="{A1362E58-9222-4B05-8058-ABAF833D6481}"/>
    <cellStyle name="Comma 117 2 3" xfId="6628" xr:uid="{6936CF8E-EFB2-465F-B6F8-D0A8B4052DA6}"/>
    <cellStyle name="Comma 117 2 3 2" xfId="16980" xr:uid="{6806289B-ECAB-4E9E-A7DD-49CEA2867FAD}"/>
    <cellStyle name="Comma 117 2 4" xfId="11805" xr:uid="{41C40831-CB4F-48C8-8BBC-7111D45051ED}"/>
    <cellStyle name="Comma 117 3" xfId="2423" xr:uid="{F4E37CDC-7AD9-4FD9-8CF4-B769DF61A706}"/>
    <cellStyle name="Comma 117 3 2" xfId="7656" xr:uid="{B7EBD280-8B85-479E-93AC-A8D9FD00FAB5}"/>
    <cellStyle name="Comma 117 3 2 2" xfId="18008" xr:uid="{F07AE87E-3670-4B01-8381-3E528D1DE47C}"/>
    <cellStyle name="Comma 117 3 3" xfId="12833" xr:uid="{3106FDB7-4811-43D0-A420-3104027043E3}"/>
    <cellStyle name="Comma 117 4" xfId="4549" xr:uid="{ED03D858-62DD-4B4D-BEB1-1511A05CA28F}"/>
    <cellStyle name="Comma 117 4 2" xfId="9725" xr:uid="{B973C29A-0502-48B7-883A-390DF66B5764}"/>
    <cellStyle name="Comma 117 4 2 2" xfId="20077" xr:uid="{330FE2F3-8D59-49A2-9453-60E2B456BF21}"/>
    <cellStyle name="Comma 117 4 3" xfId="14901" xr:uid="{3F797C97-42EF-40F7-88FE-EF9846B12DD5}"/>
    <cellStyle name="Comma 117 5" xfId="5597" xr:uid="{9887630E-79B8-4B9A-9F42-78539EC5D891}"/>
    <cellStyle name="Comma 117 5 2" xfId="15949" xr:uid="{E69473DD-E7C1-4217-9C88-004273604D3F}"/>
    <cellStyle name="Comma 117 6" xfId="10775" xr:uid="{FC58D35C-F088-4EB0-8922-E574E9914A47}"/>
    <cellStyle name="Comma 118" xfId="337" xr:uid="{F2914590-1F3B-474F-B511-518CE32FEC4A}"/>
    <cellStyle name="Comma 118 2" xfId="1396" xr:uid="{C2D3D735-3869-4E21-AA4A-2B94C74C86DA}"/>
    <cellStyle name="Comma 118 2 2" xfId="3454" xr:uid="{6B1C0F51-80AA-410A-B701-EE7C35FB1DF2}"/>
    <cellStyle name="Comma 118 2 2 2" xfId="8687" xr:uid="{DF60EC64-B0E4-41AD-B16F-90E3B70AC610}"/>
    <cellStyle name="Comma 118 2 2 2 2" xfId="19039" xr:uid="{4BAEE3DD-87A0-4386-9ADE-2F1DFB4C626B}"/>
    <cellStyle name="Comma 118 2 2 3" xfId="13864" xr:uid="{2534AAE7-63C6-49CB-AC25-3D77FB959920}"/>
    <cellStyle name="Comma 118 2 3" xfId="6629" xr:uid="{4C3F5B15-D664-43A7-82B6-A31D446B32A9}"/>
    <cellStyle name="Comma 118 2 3 2" xfId="16981" xr:uid="{16C944DC-99F5-4391-8E30-EAEB552CC151}"/>
    <cellStyle name="Comma 118 2 4" xfId="11806" xr:uid="{A7E303C6-D27E-48FD-AD24-CF7499D56A70}"/>
    <cellStyle name="Comma 118 3" xfId="2424" xr:uid="{67776558-B3FA-4475-A80F-2E464C64FF6A}"/>
    <cellStyle name="Comma 118 3 2" xfId="7657" xr:uid="{44C5B087-9945-4BEC-87DD-92730868CCB1}"/>
    <cellStyle name="Comma 118 3 2 2" xfId="18009" xr:uid="{62580B21-0E57-4243-A168-F4D36E506ECF}"/>
    <cellStyle name="Comma 118 3 3" xfId="12834" xr:uid="{49678175-6630-42EB-8C18-A527EBD498D5}"/>
    <cellStyle name="Comma 118 4" xfId="4550" xr:uid="{DC615FC1-6E7A-490A-908F-E1B98AED3A34}"/>
    <cellStyle name="Comma 118 4 2" xfId="9726" xr:uid="{BE4E5CCF-AF1C-4FD9-B609-3EDF0B131C80}"/>
    <cellStyle name="Comma 118 4 2 2" xfId="20078" xr:uid="{A8F4B525-1202-4945-A16F-0DEF22B13E07}"/>
    <cellStyle name="Comma 118 4 3" xfId="14902" xr:uid="{7A6EE6CE-77A5-432A-AE39-4A8384079A67}"/>
    <cellStyle name="Comma 118 5" xfId="5598" xr:uid="{4E93D8F8-60DE-4716-8F14-7A68117FBA02}"/>
    <cellStyle name="Comma 118 5 2" xfId="15950" xr:uid="{B69D4D59-1C40-4FFC-9253-A8B10AD9033A}"/>
    <cellStyle name="Comma 118 6" xfId="10776" xr:uid="{8709EF07-8A78-4299-AEF6-B99BBD178C0F}"/>
    <cellStyle name="Comma 119" xfId="338" xr:uid="{1846FCB5-FF03-48AA-A9A0-C46509BD3D15}"/>
    <cellStyle name="Comma 119 2" xfId="1397" xr:uid="{E5711730-C57C-4653-A573-516FDADB6B43}"/>
    <cellStyle name="Comma 119 2 2" xfId="3455" xr:uid="{1819F3D9-C416-4E0D-B6A6-453684763EB4}"/>
    <cellStyle name="Comma 119 2 2 2" xfId="8688" xr:uid="{3EC46640-818E-41F2-9402-4F1FF533AC0A}"/>
    <cellStyle name="Comma 119 2 2 2 2" xfId="19040" xr:uid="{D2AA02C4-FD56-493A-A466-6340F8E591A2}"/>
    <cellStyle name="Comma 119 2 2 3" xfId="13865" xr:uid="{32C779E3-3650-4F18-9464-1B5D112B626D}"/>
    <cellStyle name="Comma 119 2 3" xfId="6630" xr:uid="{30D868EE-98E3-49EB-851D-F36975AD5BDF}"/>
    <cellStyle name="Comma 119 2 3 2" xfId="16982" xr:uid="{9E710E1A-1372-4ED8-B16F-04907C591EDE}"/>
    <cellStyle name="Comma 119 2 4" xfId="11807" xr:uid="{487FCFE9-6ED7-4F0D-A6CB-8E2CF0E6455D}"/>
    <cellStyle name="Comma 119 3" xfId="2425" xr:uid="{8563AB55-E096-4D3F-9BD5-25F69529B0CA}"/>
    <cellStyle name="Comma 119 3 2" xfId="7658" xr:uid="{23C607DB-FFA5-441E-B1FB-83EB36350272}"/>
    <cellStyle name="Comma 119 3 2 2" xfId="18010" xr:uid="{96BD3340-93B9-4DE8-8518-29B694FFCA9B}"/>
    <cellStyle name="Comma 119 3 3" xfId="12835" xr:uid="{F7A3997A-49A4-4466-949F-417EC90B695B}"/>
    <cellStyle name="Comma 119 4" xfId="4551" xr:uid="{279FA778-94DC-4803-97E9-B116E58171F7}"/>
    <cellStyle name="Comma 119 4 2" xfId="9727" xr:uid="{A42CAB27-CFEB-465D-9D37-7B3FFB8BF070}"/>
    <cellStyle name="Comma 119 4 2 2" xfId="20079" xr:uid="{8CD31005-DFE9-4FBD-9F56-0D078E36F187}"/>
    <cellStyle name="Comma 119 4 3" xfId="14903" xr:uid="{C35CACB1-F301-4B3B-A880-1BE478B82BC8}"/>
    <cellStyle name="Comma 119 5" xfId="5599" xr:uid="{39B21792-145C-44EC-A51D-98256D6C26E8}"/>
    <cellStyle name="Comma 119 5 2" xfId="15951" xr:uid="{040BBE2F-071D-476B-85C9-1AC803BC0EE0}"/>
    <cellStyle name="Comma 119 6" xfId="10777" xr:uid="{97B9CE63-3741-4FF0-BEA3-C2A087666AA9}"/>
    <cellStyle name="Comma 12" xfId="204" xr:uid="{0557B2DC-0954-4661-A62B-274E7AC82324}"/>
    <cellStyle name="Comma 12 2" xfId="1290" xr:uid="{3BDBAF6E-359A-4E3A-BDA8-C45BAE931028}"/>
    <cellStyle name="Comma 12 2 2" xfId="3348" xr:uid="{8E76701D-2C84-46A6-8FC9-37B7DEB1F5F7}"/>
    <cellStyle name="Comma 12 2 2 2" xfId="8581" xr:uid="{45FBB5AD-68B6-439D-9995-D4A6CD5B606D}"/>
    <cellStyle name="Comma 12 2 2 2 2" xfId="18933" xr:uid="{F9810E96-0BBD-4BE2-803C-50CF9531A830}"/>
    <cellStyle name="Comma 12 2 2 3" xfId="13758" xr:uid="{8E5621E0-D660-41F1-834F-50D3A50982AC}"/>
    <cellStyle name="Comma 12 2 3" xfId="6523" xr:uid="{002CDB9F-9D89-4251-95EE-D6008E9888AE}"/>
    <cellStyle name="Comma 12 2 3 2" xfId="16875" xr:uid="{A630AF96-9EB7-417B-9EBD-2E411AC1CFEC}"/>
    <cellStyle name="Comma 12 2 4" xfId="11700" xr:uid="{15C4E9A7-A9E6-4702-B149-F9FF301CEEA3}"/>
    <cellStyle name="Comma 12 3" xfId="2318" xr:uid="{E7AC0F0C-39B2-4637-BA74-FE1DAE2A1DF4}"/>
    <cellStyle name="Comma 12 3 2" xfId="7551" xr:uid="{8D542A97-FA2C-4E07-BDC6-3E445F5F74A6}"/>
    <cellStyle name="Comma 12 3 2 2" xfId="17903" xr:uid="{E2CACCBF-F953-4AEB-8768-0429F616B8B4}"/>
    <cellStyle name="Comma 12 3 3" xfId="12728" xr:uid="{156F6DE1-F937-4B6B-8FBB-CC706B771974}"/>
    <cellStyle name="Comma 12 4" xfId="4444" xr:uid="{5A11BE60-A701-42DA-8720-74326EB51AA2}"/>
    <cellStyle name="Comma 12 4 2" xfId="9620" xr:uid="{A13183A3-E820-4E3C-B83A-BEC36C997BCA}"/>
    <cellStyle name="Comma 12 4 2 2" xfId="19972" xr:uid="{1EFC1040-EF40-4D9C-92B0-58D7804B2C8F}"/>
    <cellStyle name="Comma 12 4 3" xfId="14796" xr:uid="{7182B9D1-8995-4EAF-9AAE-89CAD7C4AC2D}"/>
    <cellStyle name="Comma 12 5" xfId="5492" xr:uid="{03812676-243D-40F3-84AE-717CE118324C}"/>
    <cellStyle name="Comma 12 5 2" xfId="15844" xr:uid="{743E3F1E-3FD2-4DA0-8D0B-50D7020EB2E6}"/>
    <cellStyle name="Comma 12 6" xfId="10670" xr:uid="{94CDDD7D-8F1D-4161-B02A-3FCE62C04AE6}"/>
    <cellStyle name="Comma 120" xfId="339" xr:uid="{D9BD5642-AB9B-4F9C-907B-5E1588BB5CAC}"/>
    <cellStyle name="Comma 120 2" xfId="1398" xr:uid="{5D47F4AA-063F-4F6B-B20C-9B5CEE7CD2F5}"/>
    <cellStyle name="Comma 120 2 2" xfId="3456" xr:uid="{0F1E98E0-F0F2-444E-90CB-70D05EA386D0}"/>
    <cellStyle name="Comma 120 2 2 2" xfId="8689" xr:uid="{B519C99F-7F7B-44E0-9AC8-A58C625ACEA5}"/>
    <cellStyle name="Comma 120 2 2 2 2" xfId="19041" xr:uid="{2B5E9558-6147-4876-9BA7-B8DF03A9F399}"/>
    <cellStyle name="Comma 120 2 2 3" xfId="13866" xr:uid="{0A8B43FC-DBD8-4607-B879-54113A1FE222}"/>
    <cellStyle name="Comma 120 2 3" xfId="6631" xr:uid="{E2E93DA8-06E2-4B54-B333-C962A07FEE93}"/>
    <cellStyle name="Comma 120 2 3 2" xfId="16983" xr:uid="{1D780D28-0A90-4397-8EEA-0660459E15F6}"/>
    <cellStyle name="Comma 120 2 4" xfId="11808" xr:uid="{E3D6F99B-D01B-46B6-9D51-639878183D77}"/>
    <cellStyle name="Comma 120 3" xfId="2426" xr:uid="{9955CEE9-29D6-47D5-90BD-05395E98E011}"/>
    <cellStyle name="Comma 120 3 2" xfId="7659" xr:uid="{1589E49E-8E30-4FF0-8023-46E0D34A89F5}"/>
    <cellStyle name="Comma 120 3 2 2" xfId="18011" xr:uid="{3431FEE3-CB62-4318-8E54-DC97A0CE59C3}"/>
    <cellStyle name="Comma 120 3 3" xfId="12836" xr:uid="{F8C4DBE9-677B-4655-AC81-3B11A9677CA3}"/>
    <cellStyle name="Comma 120 4" xfId="4552" xr:uid="{83058A1B-5F77-4E2B-ABCE-8B229BA59D51}"/>
    <cellStyle name="Comma 120 4 2" xfId="9728" xr:uid="{CC7901FD-FC6B-4D43-9FF9-3366562FEDFF}"/>
    <cellStyle name="Comma 120 4 2 2" xfId="20080" xr:uid="{B04A81B1-D827-4262-9DC5-285AAEF6F986}"/>
    <cellStyle name="Comma 120 4 3" xfId="14904" xr:uid="{48209ED2-81DA-4FBB-8D2A-875123F3BD2C}"/>
    <cellStyle name="Comma 120 5" xfId="5600" xr:uid="{2DA92127-026A-4EC4-9FEC-106002A634FD}"/>
    <cellStyle name="Comma 120 5 2" xfId="15952" xr:uid="{A2842769-5CB1-4F45-87A3-F063FF643D1F}"/>
    <cellStyle name="Comma 120 6" xfId="10778" xr:uid="{AA3F4A3B-613C-4F2E-B3E1-8F21E1AA8432}"/>
    <cellStyle name="Comma 121" xfId="340" xr:uid="{A3068673-7DEB-4561-AA2A-1681992AE43F}"/>
    <cellStyle name="Comma 121 2" xfId="1399" xr:uid="{2B10F7F5-1C85-4443-B5B0-3EFA6223ABE6}"/>
    <cellStyle name="Comma 121 2 2" xfId="3457" xr:uid="{E965AA35-A1BC-43C3-8A74-5E94380F447F}"/>
    <cellStyle name="Comma 121 2 2 2" xfId="8690" xr:uid="{750B8103-0AC5-40E4-B479-64EDE1C8F153}"/>
    <cellStyle name="Comma 121 2 2 2 2" xfId="19042" xr:uid="{737DAE93-E6F7-4814-9628-C1767A3C1791}"/>
    <cellStyle name="Comma 121 2 2 3" xfId="13867" xr:uid="{6698D414-07FE-4839-AEDD-D9F6522D0AEC}"/>
    <cellStyle name="Comma 121 2 3" xfId="6632" xr:uid="{05D27C31-F5CC-48D9-A4E3-65F65B467D72}"/>
    <cellStyle name="Comma 121 2 3 2" xfId="16984" xr:uid="{BDEED883-4BF6-4873-ADC3-AD8BA48766A6}"/>
    <cellStyle name="Comma 121 2 4" xfId="11809" xr:uid="{89EED70C-84D6-4A3F-BA29-9E69FB7C74E1}"/>
    <cellStyle name="Comma 121 3" xfId="2427" xr:uid="{0478A1AD-2A2D-4D8F-ABE1-BDA9F6F39825}"/>
    <cellStyle name="Comma 121 3 2" xfId="7660" xr:uid="{C562C76B-6A76-415D-B8D0-2440E0ABFA9D}"/>
    <cellStyle name="Comma 121 3 2 2" xfId="18012" xr:uid="{62940277-7AC1-49B1-97AA-DA4273FB83E0}"/>
    <cellStyle name="Comma 121 3 3" xfId="12837" xr:uid="{EF95E836-C445-42F6-8802-473C93C3E9CD}"/>
    <cellStyle name="Comma 121 4" xfId="4553" xr:uid="{B37D70F7-71BC-4832-98C8-D714DF8ACEF9}"/>
    <cellStyle name="Comma 121 4 2" xfId="9729" xr:uid="{2CC2B0E1-569C-4848-8FD7-A027CD1B95F7}"/>
    <cellStyle name="Comma 121 4 2 2" xfId="20081" xr:uid="{0A7B309A-B182-49D6-A42E-BB6CD412DF05}"/>
    <cellStyle name="Comma 121 4 3" xfId="14905" xr:uid="{FE1CBB8C-CB93-4CDA-ABCF-C71CED1BF171}"/>
    <cellStyle name="Comma 121 5" xfId="5601" xr:uid="{60E9C97F-4DE6-41DA-BF87-BAE28235B0D2}"/>
    <cellStyle name="Comma 121 5 2" xfId="15953" xr:uid="{66AB772E-5316-4B93-8B81-2F554726E474}"/>
    <cellStyle name="Comma 121 6" xfId="10779" xr:uid="{AADEC4D0-C330-472F-B8FB-8CD025575447}"/>
    <cellStyle name="Comma 122" xfId="341" xr:uid="{8C9E2A76-DEF9-4D68-B8CE-63C3D02C4638}"/>
    <cellStyle name="Comma 122 2" xfId="1400" xr:uid="{3BC69A0A-185E-4E0D-8C15-D8FDDE700285}"/>
    <cellStyle name="Comma 122 2 2" xfId="3458" xr:uid="{6370214A-C370-4F15-A811-FC714E0DC382}"/>
    <cellStyle name="Comma 122 2 2 2" xfId="8691" xr:uid="{5998933F-91E9-4087-B5D5-515B5A113241}"/>
    <cellStyle name="Comma 122 2 2 2 2" xfId="19043" xr:uid="{9D72CDE9-4DD2-457A-9D79-3EABA1702A39}"/>
    <cellStyle name="Comma 122 2 2 3" xfId="13868" xr:uid="{E0EA0C12-7808-497F-911D-F9E56A9B7109}"/>
    <cellStyle name="Comma 122 2 3" xfId="6633" xr:uid="{17C8817B-2943-404A-8C4E-24479EAD84B2}"/>
    <cellStyle name="Comma 122 2 3 2" xfId="16985" xr:uid="{28864B62-0BA4-4588-96B0-17205950E314}"/>
    <cellStyle name="Comma 122 2 4" xfId="11810" xr:uid="{B2FDF0A4-1AC7-4453-9E7C-14E8A82F670D}"/>
    <cellStyle name="Comma 122 3" xfId="2428" xr:uid="{5CC7487B-451F-406A-A097-FB82298444C3}"/>
    <cellStyle name="Comma 122 3 2" xfId="7661" xr:uid="{544DED31-ABE4-4EAA-8FE3-2759D162E616}"/>
    <cellStyle name="Comma 122 3 2 2" xfId="18013" xr:uid="{D127071A-4085-4322-BAB6-A2B0C71D4AD3}"/>
    <cellStyle name="Comma 122 3 3" xfId="12838" xr:uid="{2C345AD4-2CB3-4C77-876E-5A061A08A9EC}"/>
    <cellStyle name="Comma 122 4" xfId="4554" xr:uid="{930F7C74-3D24-4257-99BC-DB5E807A0384}"/>
    <cellStyle name="Comma 122 4 2" xfId="9730" xr:uid="{2B926D06-68CE-4F39-A652-05CF233C7DFF}"/>
    <cellStyle name="Comma 122 4 2 2" xfId="20082" xr:uid="{DE6B096D-BFBE-49DB-93D4-53A70CD4820C}"/>
    <cellStyle name="Comma 122 4 3" xfId="14906" xr:uid="{0827E1D1-CF90-4CBE-9407-D685E795F323}"/>
    <cellStyle name="Comma 122 5" xfId="5602" xr:uid="{D0C0A72B-23E5-4D53-AB4F-57482ECF7E9A}"/>
    <cellStyle name="Comma 122 5 2" xfId="15954" xr:uid="{3BD1F752-F712-4184-903E-BB36BC3D3F30}"/>
    <cellStyle name="Comma 122 6" xfId="10780" xr:uid="{4BD76869-B1F1-46C7-B169-FE2959A9486E}"/>
    <cellStyle name="Comma 123" xfId="342" xr:uid="{3D213755-9133-4657-B785-B1D85B363285}"/>
    <cellStyle name="Comma 123 2" xfId="1401" xr:uid="{3EB3289B-2A6C-4A80-BDAC-BA9815E73A51}"/>
    <cellStyle name="Comma 123 2 2" xfId="3459" xr:uid="{834C82E5-3DD5-43EF-B2B2-008443F0FFBB}"/>
    <cellStyle name="Comma 123 2 2 2" xfId="8692" xr:uid="{200EF49B-635D-4EB6-BE96-0D20BBF06205}"/>
    <cellStyle name="Comma 123 2 2 2 2" xfId="19044" xr:uid="{0476577F-0305-4887-9F1E-4B260F0E71D9}"/>
    <cellStyle name="Comma 123 2 2 3" xfId="13869" xr:uid="{344C273A-37A6-4E03-A201-3F78F4E3F0EF}"/>
    <cellStyle name="Comma 123 2 3" xfId="6634" xr:uid="{AE9DA732-6E69-41DC-8D61-75B4289947F7}"/>
    <cellStyle name="Comma 123 2 3 2" xfId="16986" xr:uid="{E1A8FC8C-6F59-4D1C-B409-032B5EF84ADE}"/>
    <cellStyle name="Comma 123 2 4" xfId="11811" xr:uid="{EB59EB26-6204-4561-811E-1A22CF2C04B4}"/>
    <cellStyle name="Comma 123 3" xfId="2429" xr:uid="{313FE122-0EC5-44A2-9146-D72F994994B9}"/>
    <cellStyle name="Comma 123 3 2" xfId="7662" xr:uid="{5A0B5184-1820-4538-A78E-1BB4470F59E2}"/>
    <cellStyle name="Comma 123 3 2 2" xfId="18014" xr:uid="{D7960534-CF51-44A9-8771-A94385A48E90}"/>
    <cellStyle name="Comma 123 3 3" xfId="12839" xr:uid="{D5DC39D8-1C68-47A6-99A0-3711F8322E3E}"/>
    <cellStyle name="Comma 123 4" xfId="4555" xr:uid="{75E0410F-1B7B-418C-B3E8-2DEF7D26F25B}"/>
    <cellStyle name="Comma 123 4 2" xfId="9731" xr:uid="{6AFEBC0D-9EA2-496E-9DFF-BF014FB06F49}"/>
    <cellStyle name="Comma 123 4 2 2" xfId="20083" xr:uid="{6734900B-71DA-4DD4-80A4-BA029E0850E8}"/>
    <cellStyle name="Comma 123 4 3" xfId="14907" xr:uid="{B82A9D72-482F-41B4-A2A7-8B91EF431B22}"/>
    <cellStyle name="Comma 123 5" xfId="5603" xr:uid="{A5345897-B352-4CC3-B5AE-4C088BE6D240}"/>
    <cellStyle name="Comma 123 5 2" xfId="15955" xr:uid="{81D451E4-4054-4369-AF31-4466BBB5CA28}"/>
    <cellStyle name="Comma 123 6" xfId="10781" xr:uid="{AC826D00-A5DD-4CB3-AC86-024EFA5A73E6}"/>
    <cellStyle name="Comma 124" xfId="343" xr:uid="{B209A98D-2B20-4361-8EDC-033DAFA99240}"/>
    <cellStyle name="Comma 124 2" xfId="1402" xr:uid="{4ABC0D21-2F05-4521-BFC1-A8C262FB944B}"/>
    <cellStyle name="Comma 124 2 2" xfId="3460" xr:uid="{A46A7ABF-1198-4983-B22A-3F53F2016AF3}"/>
    <cellStyle name="Comma 124 2 2 2" xfId="8693" xr:uid="{F2F53914-F234-48B4-A62B-A0D1BCD237A0}"/>
    <cellStyle name="Comma 124 2 2 2 2" xfId="19045" xr:uid="{558A9056-A5F5-44B7-BFFD-9A2D52E67025}"/>
    <cellStyle name="Comma 124 2 2 3" xfId="13870" xr:uid="{0EA3546E-4ADC-454F-99B7-711EABF5D5B4}"/>
    <cellStyle name="Comma 124 2 3" xfId="6635" xr:uid="{42E7B126-F96C-4487-BD50-33AD4268862F}"/>
    <cellStyle name="Comma 124 2 3 2" xfId="16987" xr:uid="{D4E137D7-F711-4201-95A8-1AD9A799AB81}"/>
    <cellStyle name="Comma 124 2 4" xfId="11812" xr:uid="{B095B96C-C4ED-416A-AFFE-C1C849807B72}"/>
    <cellStyle name="Comma 124 3" xfId="2430" xr:uid="{0D0C61FE-2435-4ABA-834A-B1C199AA4F23}"/>
    <cellStyle name="Comma 124 3 2" xfId="7663" xr:uid="{A3D59718-4132-4A44-96A8-6F2E8FA78D0B}"/>
    <cellStyle name="Comma 124 3 2 2" xfId="18015" xr:uid="{E5F5724F-CC9F-406D-B53B-0E07B6CE39DF}"/>
    <cellStyle name="Comma 124 3 3" xfId="12840" xr:uid="{34EB5C88-6387-460F-B372-9785CEECAEB3}"/>
    <cellStyle name="Comma 124 4" xfId="4556" xr:uid="{DBED6134-C20C-4EA4-8425-F4348551D863}"/>
    <cellStyle name="Comma 124 4 2" xfId="9732" xr:uid="{30FBAC67-64B1-48EC-8159-66AC1CC393DB}"/>
    <cellStyle name="Comma 124 4 2 2" xfId="20084" xr:uid="{075ADDD1-C6FF-4304-840D-205A50542282}"/>
    <cellStyle name="Comma 124 4 3" xfId="14908" xr:uid="{6341B51C-6EA4-4CDD-B043-94393D9440E8}"/>
    <cellStyle name="Comma 124 5" xfId="5604" xr:uid="{F15F8BA3-7847-4D37-B730-83D9C816341A}"/>
    <cellStyle name="Comma 124 5 2" xfId="15956" xr:uid="{D754159C-7598-4540-97E4-A11954BE64B4}"/>
    <cellStyle name="Comma 124 6" xfId="10782" xr:uid="{8CEBBBFF-D9EC-4369-9065-4547A39A0670}"/>
    <cellStyle name="Comma 125" xfId="344" xr:uid="{5E08709D-0304-4BE7-858D-115D4DDAA3F9}"/>
    <cellStyle name="Comma 125 2" xfId="1403" xr:uid="{E06D8FA8-6ED4-413C-B1D8-703218435899}"/>
    <cellStyle name="Comma 125 2 2" xfId="3461" xr:uid="{51D7B113-8F86-4021-B73E-FFA40A7676B6}"/>
    <cellStyle name="Comma 125 2 2 2" xfId="8694" xr:uid="{866685F8-AAA9-4DA9-86E9-1EF234B4075E}"/>
    <cellStyle name="Comma 125 2 2 2 2" xfId="19046" xr:uid="{68103D04-DE19-41F5-9CD0-F9EBEFECA06D}"/>
    <cellStyle name="Comma 125 2 2 3" xfId="13871" xr:uid="{D5F5E429-1304-43C6-8705-828E67F78B5A}"/>
    <cellStyle name="Comma 125 2 3" xfId="6636" xr:uid="{BBA3BFE2-A62B-4436-ACF5-35AEC5B18C34}"/>
    <cellStyle name="Comma 125 2 3 2" xfId="16988" xr:uid="{97D8D307-6993-40B2-A8D2-EA11465CBEC9}"/>
    <cellStyle name="Comma 125 2 4" xfId="11813" xr:uid="{7875189A-A9A0-4C7A-AA7D-77F20FB2FBF8}"/>
    <cellStyle name="Comma 125 3" xfId="2431" xr:uid="{DF3D7C20-9AEA-46A8-973C-4FDB6983899A}"/>
    <cellStyle name="Comma 125 3 2" xfId="7664" xr:uid="{1574AEBD-F2A8-43DF-80EF-155E7676F995}"/>
    <cellStyle name="Comma 125 3 2 2" xfId="18016" xr:uid="{AA87F6E2-3BA0-47F2-B32D-B05ACE2B9C85}"/>
    <cellStyle name="Comma 125 3 3" xfId="12841" xr:uid="{1BE03310-77C4-445A-8C88-911069D4F600}"/>
    <cellStyle name="Comma 125 4" xfId="4557" xr:uid="{A36BC174-5D42-4B6D-A7F4-07CF0FA13E65}"/>
    <cellStyle name="Comma 125 4 2" xfId="9733" xr:uid="{5021218F-2AAF-4705-87E7-E5B99927D9F8}"/>
    <cellStyle name="Comma 125 4 2 2" xfId="20085" xr:uid="{1B194766-2BE8-461D-809A-D5D8B30DC950}"/>
    <cellStyle name="Comma 125 4 3" xfId="14909" xr:uid="{9FDC86A9-D8FF-49B1-B14A-0A3B554D82E0}"/>
    <cellStyle name="Comma 125 5" xfId="5605" xr:uid="{78CECABF-2647-4220-969A-F1D1FEB96F75}"/>
    <cellStyle name="Comma 125 5 2" xfId="15957" xr:uid="{3EA31DA6-F5AB-4458-A7B0-58B1B2F1DBD5}"/>
    <cellStyle name="Comma 125 6" xfId="10783" xr:uid="{DE2DA9CB-F6D0-4D15-B574-450ABE09F3DA}"/>
    <cellStyle name="Comma 126" xfId="345" xr:uid="{24B99720-DF56-49A1-BCEE-8F14CDF8F596}"/>
    <cellStyle name="Comma 126 2" xfId="1404" xr:uid="{B7FE4E9A-501C-4303-ADB9-376FBB9B67BD}"/>
    <cellStyle name="Comma 126 2 2" xfId="3462" xr:uid="{5E666C02-4F69-4206-9456-0106ED69D599}"/>
    <cellStyle name="Comma 126 2 2 2" xfId="8695" xr:uid="{F35A7AD3-40AC-4454-BDD9-68D71C0732EC}"/>
    <cellStyle name="Comma 126 2 2 2 2" xfId="19047" xr:uid="{4FCF47F7-75A7-45CF-B389-F0159582F63D}"/>
    <cellStyle name="Comma 126 2 2 3" xfId="13872" xr:uid="{6B432D27-826B-44FA-9E19-4E974668B6D1}"/>
    <cellStyle name="Comma 126 2 3" xfId="6637" xr:uid="{3E9E24D0-B5DA-4836-9BF8-D3DCCBEC3C4A}"/>
    <cellStyle name="Comma 126 2 3 2" xfId="16989" xr:uid="{700E777B-2FA4-4676-964F-A94C0E3633FC}"/>
    <cellStyle name="Comma 126 2 4" xfId="11814" xr:uid="{9D0445AA-1751-4AE5-B989-402ADA59ACF2}"/>
    <cellStyle name="Comma 126 3" xfId="2432" xr:uid="{9194B9D5-6D28-4743-B55E-D75C0CE37F67}"/>
    <cellStyle name="Comma 126 3 2" xfId="7665" xr:uid="{D0D4BE6A-1DB0-4540-979C-26B886E407ED}"/>
    <cellStyle name="Comma 126 3 2 2" xfId="18017" xr:uid="{09EA2F9B-560F-4615-97F9-376D28BD7A08}"/>
    <cellStyle name="Comma 126 3 3" xfId="12842" xr:uid="{160494AD-1733-4332-8A3F-5753C3CEC6FC}"/>
    <cellStyle name="Comma 126 4" xfId="4558" xr:uid="{797D8588-0D15-4FC2-9155-2407A8E6AD48}"/>
    <cellStyle name="Comma 126 4 2" xfId="9734" xr:uid="{00BD0B7E-46F7-4254-A841-3935E5144980}"/>
    <cellStyle name="Comma 126 4 2 2" xfId="20086" xr:uid="{4AC5D84C-142E-4F8D-9DAA-32DB8768FAF3}"/>
    <cellStyle name="Comma 126 4 3" xfId="14910" xr:uid="{D9F39989-9F99-42EA-BCCA-F38AF9A2F806}"/>
    <cellStyle name="Comma 126 5" xfId="5606" xr:uid="{4B1DBA42-BA37-40C0-8735-E42311420F87}"/>
    <cellStyle name="Comma 126 5 2" xfId="15958" xr:uid="{41929CE6-42CB-46A8-A6B8-24A09D002B75}"/>
    <cellStyle name="Comma 126 6" xfId="10784" xr:uid="{4A5B901F-1DD9-4447-AE9E-4C6BA4BCDB7F}"/>
    <cellStyle name="Comma 127" xfId="346" xr:uid="{7C944223-FEA6-4A87-94F1-F27C96BA8F95}"/>
    <cellStyle name="Comma 127 2" xfId="1405" xr:uid="{5F2FEE0B-0627-4481-9201-04525471F9F3}"/>
    <cellStyle name="Comma 127 2 2" xfId="3463" xr:uid="{D4EEA395-2BD1-4DF3-8F8D-F3F47B0DAC4C}"/>
    <cellStyle name="Comma 127 2 2 2" xfId="8696" xr:uid="{13E1265E-586C-4F14-B9EB-9815420CDC88}"/>
    <cellStyle name="Comma 127 2 2 2 2" xfId="19048" xr:uid="{E70EC464-7EFB-4E32-AE58-8DD485FE39AE}"/>
    <cellStyle name="Comma 127 2 2 3" xfId="13873" xr:uid="{95CDDF20-D550-441D-88BA-B8552E0D0FDA}"/>
    <cellStyle name="Comma 127 2 3" xfId="6638" xr:uid="{151605FF-A913-4BC7-A1C5-9969C4F771A5}"/>
    <cellStyle name="Comma 127 2 3 2" xfId="16990" xr:uid="{FB705076-C768-4565-856E-A76E7E07B276}"/>
    <cellStyle name="Comma 127 2 4" xfId="11815" xr:uid="{6589900C-9746-4239-B50F-6D4B89334094}"/>
    <cellStyle name="Comma 127 3" xfId="2433" xr:uid="{8427D98B-ACEE-4C04-8CB6-56583F9BE910}"/>
    <cellStyle name="Comma 127 3 2" xfId="7666" xr:uid="{7C92B455-FBA8-420D-B7E7-05332734CE1B}"/>
    <cellStyle name="Comma 127 3 2 2" xfId="18018" xr:uid="{C4272372-6B3C-46FD-9663-69225D02B8D4}"/>
    <cellStyle name="Comma 127 3 3" xfId="12843" xr:uid="{B6D8F9F1-5104-496F-86B3-785B9E63BDA9}"/>
    <cellStyle name="Comma 127 4" xfId="4559" xr:uid="{B2643823-712B-4A7F-AC93-1782622CE643}"/>
    <cellStyle name="Comma 127 4 2" xfId="9735" xr:uid="{E5651447-2841-4E16-91B3-8D64E938DE3E}"/>
    <cellStyle name="Comma 127 4 2 2" xfId="20087" xr:uid="{18F72F3C-D525-480A-A5DA-8EEF28280553}"/>
    <cellStyle name="Comma 127 4 3" xfId="14911" xr:uid="{EA5C61C4-B0C8-41CA-9718-B74C2C0062CD}"/>
    <cellStyle name="Comma 127 5" xfId="5607" xr:uid="{B652B306-B95B-4289-ADAE-35696409BDFA}"/>
    <cellStyle name="Comma 127 5 2" xfId="15959" xr:uid="{D9CC59BE-F828-43D5-99E3-BDDBE0752BBF}"/>
    <cellStyle name="Comma 127 6" xfId="10785" xr:uid="{66F57A15-8D4E-4BA7-B408-4F6C058ABCC5}"/>
    <cellStyle name="Comma 128" xfId="347" xr:uid="{A66866B2-A832-4CAD-A813-08EBEC4BB15D}"/>
    <cellStyle name="Comma 128 2" xfId="1406" xr:uid="{E675DFE7-9D5A-495E-AFFB-E16B4559A54E}"/>
    <cellStyle name="Comma 128 2 2" xfId="3464" xr:uid="{26C49E9C-EE32-4A3B-AFB9-5AEC1A95F6E9}"/>
    <cellStyle name="Comma 128 2 2 2" xfId="8697" xr:uid="{0BDC2D56-1341-49F3-A020-FBF8F4FBAC95}"/>
    <cellStyle name="Comma 128 2 2 2 2" xfId="19049" xr:uid="{626CF988-5ABC-4B02-BF40-A900956A75A8}"/>
    <cellStyle name="Comma 128 2 2 3" xfId="13874" xr:uid="{ED7CC497-45AB-4154-852B-1A8779A58198}"/>
    <cellStyle name="Comma 128 2 3" xfId="6639" xr:uid="{95F5C8BB-AA64-443E-A1FB-811B1E53D33C}"/>
    <cellStyle name="Comma 128 2 3 2" xfId="16991" xr:uid="{04531B0B-451F-47A8-B3D3-662AAB5519B3}"/>
    <cellStyle name="Comma 128 2 4" xfId="11816" xr:uid="{94F0C526-87BB-4253-9EED-C65350C4D839}"/>
    <cellStyle name="Comma 128 3" xfId="2434" xr:uid="{557BC27A-CE06-4A50-A9A0-F24466F19970}"/>
    <cellStyle name="Comma 128 3 2" xfId="7667" xr:uid="{43317DCC-114F-42CA-AF84-20C44AF10151}"/>
    <cellStyle name="Comma 128 3 2 2" xfId="18019" xr:uid="{6FEFAB33-6800-4E83-8190-476603A7C149}"/>
    <cellStyle name="Comma 128 3 3" xfId="12844" xr:uid="{AD242DCF-5019-4B6D-9550-71E14C7DFEAF}"/>
    <cellStyle name="Comma 128 4" xfId="4560" xr:uid="{27694665-5B81-41D5-939A-DC3C9E3BB4D8}"/>
    <cellStyle name="Comma 128 4 2" xfId="9736" xr:uid="{13469AAB-29F3-4ECB-900D-CAD113BD0950}"/>
    <cellStyle name="Comma 128 4 2 2" xfId="20088" xr:uid="{FA05B083-2BA7-470E-9AAB-9A0C0F87424F}"/>
    <cellStyle name="Comma 128 4 3" xfId="14912" xr:uid="{723C456A-EEC2-4ECD-AAAA-2E0E9F52A729}"/>
    <cellStyle name="Comma 128 5" xfId="5608" xr:uid="{922BCDA8-36E8-4CFB-87D0-780F16F719BB}"/>
    <cellStyle name="Comma 128 5 2" xfId="15960" xr:uid="{E210A3C0-A57F-4278-A9B2-22158A3D5B49}"/>
    <cellStyle name="Comma 128 6" xfId="10786" xr:uid="{33367FFF-E820-4234-B491-D397821AC90B}"/>
    <cellStyle name="Comma 129" xfId="348" xr:uid="{D6633D34-9A44-4D2F-9425-C8A35FE8E1E6}"/>
    <cellStyle name="Comma 129 2" xfId="1407" xr:uid="{90833BDB-4007-42E1-A7F6-460419C83C2D}"/>
    <cellStyle name="Comma 129 2 2" xfId="3465" xr:uid="{FD417BBE-12E7-499C-A26F-0655F7BA027E}"/>
    <cellStyle name="Comma 129 2 2 2" xfId="8698" xr:uid="{A7C23E62-6D72-400A-8F10-593BF36F96DA}"/>
    <cellStyle name="Comma 129 2 2 2 2" xfId="19050" xr:uid="{86BF7997-DA66-46E7-BD5F-B1929A0E0D82}"/>
    <cellStyle name="Comma 129 2 2 3" xfId="13875" xr:uid="{531E0D9A-3CE4-4F23-9EA1-65A8ED286B92}"/>
    <cellStyle name="Comma 129 2 3" xfId="6640" xr:uid="{DA00B234-9162-4B1B-8B7F-7684ABB096F7}"/>
    <cellStyle name="Comma 129 2 3 2" xfId="16992" xr:uid="{29628392-3502-499C-9301-6C48059118C8}"/>
    <cellStyle name="Comma 129 2 4" xfId="11817" xr:uid="{78E2D4C1-723C-4721-A5CD-7BC5B885BBE0}"/>
    <cellStyle name="Comma 129 3" xfId="2435" xr:uid="{3EC13081-028C-47AE-A6ED-0DC8BF95B943}"/>
    <cellStyle name="Comma 129 3 2" xfId="7668" xr:uid="{15B2F24A-3A34-44CD-B39F-73888A31B2EF}"/>
    <cellStyle name="Comma 129 3 2 2" xfId="18020" xr:uid="{ED523DDE-EDAA-4901-A44A-4DBBF3857C38}"/>
    <cellStyle name="Comma 129 3 3" xfId="12845" xr:uid="{D9DDA373-862A-4006-85B0-776C0C65BEF2}"/>
    <cellStyle name="Comma 129 4" xfId="4561" xr:uid="{D56F63FB-D01B-4A21-A88A-F135A72E8B6D}"/>
    <cellStyle name="Comma 129 4 2" xfId="9737" xr:uid="{7ED99944-C201-4A4B-9648-CD879147C4B0}"/>
    <cellStyle name="Comma 129 4 2 2" xfId="20089" xr:uid="{E89B1EBC-52E1-4F49-91E4-87F5B71837F4}"/>
    <cellStyle name="Comma 129 4 3" xfId="14913" xr:uid="{1FD50124-8533-45E1-B2E2-851D5E9E4D0E}"/>
    <cellStyle name="Comma 129 5" xfId="5609" xr:uid="{05297D37-FEBC-43CE-960E-94D6CDDAB0B1}"/>
    <cellStyle name="Comma 129 5 2" xfId="15961" xr:uid="{8CED2801-B904-4B31-A166-BA63E7503D59}"/>
    <cellStyle name="Comma 129 6" xfId="10787" xr:uid="{B5E2592D-9917-4395-B03B-C379420732CB}"/>
    <cellStyle name="Comma 13" xfId="205" xr:uid="{97B42E2D-4B70-4D02-890B-29A25E073559}"/>
    <cellStyle name="Comma 13 2" xfId="1291" xr:uid="{7C07C47A-A908-4163-A444-B549B6244506}"/>
    <cellStyle name="Comma 13 2 2" xfId="3349" xr:uid="{EB31747E-6858-4DFF-B1FA-0B351C0D21CE}"/>
    <cellStyle name="Comma 13 2 2 2" xfId="8582" xr:uid="{EB53EC0D-613B-4455-867F-E075E56FFC3E}"/>
    <cellStyle name="Comma 13 2 2 2 2" xfId="18934" xr:uid="{FD0CACE0-D7C5-46B9-B515-74B708CCA349}"/>
    <cellStyle name="Comma 13 2 2 3" xfId="13759" xr:uid="{ABFB3E2E-DCDE-4697-A924-1FFA49A05641}"/>
    <cellStyle name="Comma 13 2 3" xfId="6524" xr:uid="{850190DB-D650-4210-BB00-5F9E6FB3E9AC}"/>
    <cellStyle name="Comma 13 2 3 2" xfId="16876" xr:uid="{1AFA7D57-F683-4262-9F67-77E7B006370C}"/>
    <cellStyle name="Comma 13 2 4" xfId="11701" xr:uid="{1C40E3EF-94E5-41B5-94E6-2F611B94AA8C}"/>
    <cellStyle name="Comma 13 3" xfId="2319" xr:uid="{429E9342-1315-4D16-8837-193639FB6078}"/>
    <cellStyle name="Comma 13 3 2" xfId="7552" xr:uid="{E0CD5BB8-1E64-4C3F-BC69-77B5A8418276}"/>
    <cellStyle name="Comma 13 3 2 2" xfId="17904" xr:uid="{136FE5AE-6533-4972-B305-BFE93A712EA0}"/>
    <cellStyle name="Comma 13 3 3" xfId="12729" xr:uid="{34DA1E99-1FD7-406D-ABBE-FD084C44EA14}"/>
    <cellStyle name="Comma 13 4" xfId="4445" xr:uid="{2E1B5D7E-BF08-42FE-AC72-7B3CC8EB2205}"/>
    <cellStyle name="Comma 13 4 2" xfId="9621" xr:uid="{02F29071-B157-4D38-A1F1-DF657330BA55}"/>
    <cellStyle name="Comma 13 4 2 2" xfId="19973" xr:uid="{4C5C690A-8A66-4295-AE18-9A1425D9649E}"/>
    <cellStyle name="Comma 13 4 3" xfId="14797" xr:uid="{CF57BBD9-AD2E-40D2-8E19-5AFB5FA94B8D}"/>
    <cellStyle name="Comma 13 5" xfId="5493" xr:uid="{25140BCB-01EB-414C-A752-5F67004D12D8}"/>
    <cellStyle name="Comma 13 5 2" xfId="15845" xr:uid="{E00CAE18-AB6D-4A16-B5E0-1A5DFAD81DAF}"/>
    <cellStyle name="Comma 13 6" xfId="10671" xr:uid="{5AB9988A-C54C-40A2-A298-27BB6FD46F61}"/>
    <cellStyle name="Comma 130" xfId="349" xr:uid="{3D403E5C-DFC6-4C8B-AD5D-3C618AD1C2C2}"/>
    <cellStyle name="Comma 130 2" xfId="1408" xr:uid="{6CD7906F-6C41-4D99-A7E0-F8316821A6B7}"/>
    <cellStyle name="Comma 130 2 2" xfId="3466" xr:uid="{0869C333-31C3-4B5E-A44C-D651D4552894}"/>
    <cellStyle name="Comma 130 2 2 2" xfId="8699" xr:uid="{A7AFB5DC-B401-4BEB-8BC5-B9685B1690D4}"/>
    <cellStyle name="Comma 130 2 2 2 2" xfId="19051" xr:uid="{1850D3E3-B9A1-4252-A17E-1034A98E738C}"/>
    <cellStyle name="Comma 130 2 2 3" xfId="13876" xr:uid="{13562EAF-E1D5-43C9-92CB-97B655B16A82}"/>
    <cellStyle name="Comma 130 2 3" xfId="6641" xr:uid="{05CCF006-266C-454E-8397-3BCD7CEA126F}"/>
    <cellStyle name="Comma 130 2 3 2" xfId="16993" xr:uid="{EC48579F-023D-4B5C-A2E9-74C4B4B1B648}"/>
    <cellStyle name="Comma 130 2 4" xfId="11818" xr:uid="{D5437E0F-BA2C-4037-9EAF-DABF4A6CF42A}"/>
    <cellStyle name="Comma 130 3" xfId="2436" xr:uid="{1E13B266-3519-430F-896F-C0462394C4C8}"/>
    <cellStyle name="Comma 130 3 2" xfId="7669" xr:uid="{84FA30B6-7C3F-4F7A-A0E9-BCED8B159BA9}"/>
    <cellStyle name="Comma 130 3 2 2" xfId="18021" xr:uid="{8263F5A2-3CCA-4350-9D95-B36E9CF65F8E}"/>
    <cellStyle name="Comma 130 3 3" xfId="12846" xr:uid="{DD008F71-68E2-4435-A0D4-C26BD376CC43}"/>
    <cellStyle name="Comma 130 4" xfId="4562" xr:uid="{18B0C9C2-13E0-4201-A26E-5BC1E60F1E16}"/>
    <cellStyle name="Comma 130 4 2" xfId="9738" xr:uid="{EC88ED75-060D-42C9-8DF1-28B17E8B5F72}"/>
    <cellStyle name="Comma 130 4 2 2" xfId="20090" xr:uid="{FB3DBA4B-27FF-461C-B41B-D9EB9BBE3B1E}"/>
    <cellStyle name="Comma 130 4 3" xfId="14914" xr:uid="{E98048E6-50E2-4F70-BFB7-39AD851E477F}"/>
    <cellStyle name="Comma 130 5" xfId="5610" xr:uid="{1E752FAB-1062-4F33-A490-49EAA529CB97}"/>
    <cellStyle name="Comma 130 5 2" xfId="15962" xr:uid="{6565499D-2DF5-4ED5-8C46-8CE4A4831605}"/>
    <cellStyle name="Comma 130 6" xfId="10788" xr:uid="{508801A4-8E63-4118-BD37-18AB06D05707}"/>
    <cellStyle name="Comma 131" xfId="350" xr:uid="{5D61765E-8D4F-4D29-9BEC-BAD8CCFDE9A5}"/>
    <cellStyle name="Comma 131 2" xfId="1409" xr:uid="{D84B79F0-255A-48CB-939A-8B7E03FB3671}"/>
    <cellStyle name="Comma 131 2 2" xfId="3467" xr:uid="{4EC705DE-69CA-47DF-961F-9FB442146198}"/>
    <cellStyle name="Comma 131 2 2 2" xfId="8700" xr:uid="{23B4270A-3FB0-45DC-8019-5036DE7B0CBA}"/>
    <cellStyle name="Comma 131 2 2 2 2" xfId="19052" xr:uid="{6F146A61-C74E-4859-94CD-C86ED4384D85}"/>
    <cellStyle name="Comma 131 2 2 3" xfId="13877" xr:uid="{6BE9E7BD-A41F-4AC5-BB4B-315F361507EB}"/>
    <cellStyle name="Comma 131 2 3" xfId="6642" xr:uid="{CB852844-C1B5-42E7-843C-EDEA01047F51}"/>
    <cellStyle name="Comma 131 2 3 2" xfId="16994" xr:uid="{806D84F5-C69B-4EE0-A7D9-D7B42C7B2381}"/>
    <cellStyle name="Comma 131 2 4" xfId="11819" xr:uid="{BA66CB25-3D61-4D5E-91A8-C922C8AE53BD}"/>
    <cellStyle name="Comma 131 3" xfId="2437" xr:uid="{B5E54089-685F-48E2-96B3-B0FABA948194}"/>
    <cellStyle name="Comma 131 3 2" xfId="7670" xr:uid="{E9EF4D17-F603-45A8-A2F0-CBFFDA055BC1}"/>
    <cellStyle name="Comma 131 3 2 2" xfId="18022" xr:uid="{CD5E7976-1826-4C70-B2D4-B6B629686471}"/>
    <cellStyle name="Comma 131 3 3" xfId="12847" xr:uid="{DEA8A7CB-EA98-4DA9-BFCD-8832F35860C2}"/>
    <cellStyle name="Comma 131 4" xfId="4563" xr:uid="{86DA05ED-2826-4478-8490-09B244484F38}"/>
    <cellStyle name="Comma 131 4 2" xfId="9739" xr:uid="{888A178F-50C0-4F04-A769-D0AF6B6AE7C8}"/>
    <cellStyle name="Comma 131 4 2 2" xfId="20091" xr:uid="{1C88159A-E841-4E8F-9FB0-75EB59B55B86}"/>
    <cellStyle name="Comma 131 4 3" xfId="14915" xr:uid="{D09D373F-E630-4193-A855-77715A1B4808}"/>
    <cellStyle name="Comma 131 5" xfId="5611" xr:uid="{5531478D-5788-421E-95DA-272AD3E22B5D}"/>
    <cellStyle name="Comma 131 5 2" xfId="15963" xr:uid="{24496952-78E3-4E20-B296-14017611B076}"/>
    <cellStyle name="Comma 131 6" xfId="10789" xr:uid="{BED17551-649F-43DE-AB8E-78F1BB40B813}"/>
    <cellStyle name="Comma 132" xfId="351" xr:uid="{505981E3-05B5-4B90-99FB-D889C72992ED}"/>
    <cellStyle name="Comma 132 2" xfId="1410" xr:uid="{F803A6EC-B795-42D7-AF9B-41976BA46D5E}"/>
    <cellStyle name="Comma 132 2 2" xfId="3468" xr:uid="{6FD39093-E7DD-4FFA-8FEE-E597D660BB15}"/>
    <cellStyle name="Comma 132 2 2 2" xfId="8701" xr:uid="{AF117C9D-B1E9-4B0B-8820-BB3905ED4FEB}"/>
    <cellStyle name="Comma 132 2 2 2 2" xfId="19053" xr:uid="{9BE60E0F-8E6F-4C0C-9681-AC289CDE2FE4}"/>
    <cellStyle name="Comma 132 2 2 3" xfId="13878" xr:uid="{577549F9-9F79-40C6-8536-2F5120785F82}"/>
    <cellStyle name="Comma 132 2 3" xfId="6643" xr:uid="{D8699BB9-4B58-4897-8F6F-2F985FE6C71A}"/>
    <cellStyle name="Comma 132 2 3 2" xfId="16995" xr:uid="{9C9025F2-C5DB-4F0F-97DC-F1F3D6EA36C2}"/>
    <cellStyle name="Comma 132 2 4" xfId="11820" xr:uid="{9A91373B-1FB0-4D91-947F-C4954267BE9B}"/>
    <cellStyle name="Comma 132 3" xfId="2438" xr:uid="{8350010C-12FF-48B4-BE35-5186E8250B87}"/>
    <cellStyle name="Comma 132 3 2" xfId="7671" xr:uid="{95570250-FEB0-436E-80DF-A7F45B34A124}"/>
    <cellStyle name="Comma 132 3 2 2" xfId="18023" xr:uid="{54D8986B-4F52-4E4F-9FF2-9E6979F5E729}"/>
    <cellStyle name="Comma 132 3 3" xfId="12848" xr:uid="{13AEF517-5CD2-4FE9-8A7C-B1233BDF22BD}"/>
    <cellStyle name="Comma 132 4" xfId="4564" xr:uid="{A7F954EB-A631-4CE3-BC64-4EFA8F6CDD77}"/>
    <cellStyle name="Comma 132 4 2" xfId="9740" xr:uid="{43BAE5E2-B7E6-486C-A497-2B0B91812889}"/>
    <cellStyle name="Comma 132 4 2 2" xfId="20092" xr:uid="{9E885630-D5CD-4B65-8964-8CFF8D82A054}"/>
    <cellStyle name="Comma 132 4 3" xfId="14916" xr:uid="{0A523A67-8572-4697-9691-BA43CFC24E82}"/>
    <cellStyle name="Comma 132 5" xfId="5612" xr:uid="{FB53219E-A7CE-420B-A0B7-AC07BB26EAA6}"/>
    <cellStyle name="Comma 132 5 2" xfId="15964" xr:uid="{87D20DAD-7E05-46C4-AF81-1621D1509692}"/>
    <cellStyle name="Comma 132 6" xfId="10790" xr:uid="{FB28FA6C-9C04-4B31-AF9C-63A1D305C308}"/>
    <cellStyle name="Comma 133" xfId="352" xr:uid="{1C502EBA-6353-40BA-AD5A-C28B899568B8}"/>
    <cellStyle name="Comma 133 2" xfId="1411" xr:uid="{65258375-98D3-4A3C-93A5-A46B989A1B77}"/>
    <cellStyle name="Comma 133 2 2" xfId="3469" xr:uid="{19F43B5B-C274-421F-9D64-CAEB624A1747}"/>
    <cellStyle name="Comma 133 2 2 2" xfId="8702" xr:uid="{7802DA00-C01F-466F-AF49-47B552B9F3C5}"/>
    <cellStyle name="Comma 133 2 2 2 2" xfId="19054" xr:uid="{6B953243-C0CB-4C6B-9BC1-60DA49E87809}"/>
    <cellStyle name="Comma 133 2 2 3" xfId="13879" xr:uid="{571CEFB6-143F-4E30-B215-96FF2A7E55EE}"/>
    <cellStyle name="Comma 133 2 3" xfId="6644" xr:uid="{6E47E934-4511-4782-A6F4-4917917DEAB7}"/>
    <cellStyle name="Comma 133 2 3 2" xfId="16996" xr:uid="{CFCD22F1-449F-4C5A-B8FE-D3E73789C2F5}"/>
    <cellStyle name="Comma 133 2 4" xfId="11821" xr:uid="{33455176-2DDB-429D-BA9C-719588329BBD}"/>
    <cellStyle name="Comma 133 3" xfId="2439" xr:uid="{E8C13517-0569-443C-BF2F-9A97DAA09757}"/>
    <cellStyle name="Comma 133 3 2" xfId="7672" xr:uid="{C965E1A3-69FC-4953-A2EC-81988354F765}"/>
    <cellStyle name="Comma 133 3 2 2" xfId="18024" xr:uid="{BC46F67C-AD7E-428A-AF4C-44E2D003D059}"/>
    <cellStyle name="Comma 133 3 3" xfId="12849" xr:uid="{482CA2CE-F356-4DEC-A34F-ED26A2985849}"/>
    <cellStyle name="Comma 133 4" xfId="4565" xr:uid="{54EB4134-7EC9-4F25-9F56-BAE829C49EE6}"/>
    <cellStyle name="Comma 133 4 2" xfId="9741" xr:uid="{6E8A509A-63CC-4525-89A8-49E53873103F}"/>
    <cellStyle name="Comma 133 4 2 2" xfId="20093" xr:uid="{E1838504-166D-4E09-85EE-6C7771B83BC8}"/>
    <cellStyle name="Comma 133 4 3" xfId="14917" xr:uid="{5518C433-74CC-493F-BEE7-6093F48C5AE9}"/>
    <cellStyle name="Comma 133 5" xfId="5613" xr:uid="{85F38693-D21C-4C9F-94CD-9D7C1BBEB033}"/>
    <cellStyle name="Comma 133 5 2" xfId="15965" xr:uid="{4EE85D4E-ABA1-4C9B-B45A-6499BA10F351}"/>
    <cellStyle name="Comma 133 6" xfId="10791" xr:uid="{E4D08F12-CAC9-4900-A80B-2C1199411F1A}"/>
    <cellStyle name="Comma 134" xfId="353" xr:uid="{F98875C7-7571-4A8A-8CE7-3A6AD252CE20}"/>
    <cellStyle name="Comma 134 2" xfId="1412" xr:uid="{923CB61E-5954-402F-8572-1A6E64443F60}"/>
    <cellStyle name="Comma 134 2 2" xfId="3470" xr:uid="{548786C3-973B-4791-BCD3-B3EED5F8B4F7}"/>
    <cellStyle name="Comma 134 2 2 2" xfId="8703" xr:uid="{6839562C-2FC1-4886-BC1C-268974DA74D2}"/>
    <cellStyle name="Comma 134 2 2 2 2" xfId="19055" xr:uid="{92780AC2-2983-4F73-BEEC-529F2F91AFC1}"/>
    <cellStyle name="Comma 134 2 2 3" xfId="13880" xr:uid="{D9FA0A62-C69F-41A0-8580-EAC809922EF0}"/>
    <cellStyle name="Comma 134 2 3" xfId="6645" xr:uid="{168C6380-0278-45CA-AF57-4E79D3CC3E1D}"/>
    <cellStyle name="Comma 134 2 3 2" xfId="16997" xr:uid="{DF594DEC-4470-492E-B208-2AA688CEF47A}"/>
    <cellStyle name="Comma 134 2 4" xfId="11822" xr:uid="{CB738AB7-7EA9-45D0-9410-A8FAB0217575}"/>
    <cellStyle name="Comma 134 3" xfId="2440" xr:uid="{717D56E8-2ED8-49EF-86F1-1D108FB33C15}"/>
    <cellStyle name="Comma 134 3 2" xfId="7673" xr:uid="{38DD1C8F-1378-4DD7-9AD4-4DBFD1D5DCE7}"/>
    <cellStyle name="Comma 134 3 2 2" xfId="18025" xr:uid="{B75EF1CB-6779-4CCE-96ED-717D6D4A0894}"/>
    <cellStyle name="Comma 134 3 3" xfId="12850" xr:uid="{EE356EF3-A3C4-41F0-8509-2F54670A02F2}"/>
    <cellStyle name="Comma 134 4" xfId="4566" xr:uid="{90BD98B8-C875-42B5-85A4-15869EA50E6C}"/>
    <cellStyle name="Comma 134 4 2" xfId="9742" xr:uid="{4E027717-8471-41CF-AD21-506D6E7542BF}"/>
    <cellStyle name="Comma 134 4 2 2" xfId="20094" xr:uid="{C5EDACA2-72C7-4A35-802D-7159760288AF}"/>
    <cellStyle name="Comma 134 4 3" xfId="14918" xr:uid="{D0A623AF-D09E-4D61-B2F9-E123DACD9E75}"/>
    <cellStyle name="Comma 134 5" xfId="5614" xr:uid="{53AD75EA-CCE6-44B8-89B8-BF35262DDC9C}"/>
    <cellStyle name="Comma 134 5 2" xfId="15966" xr:uid="{5019D691-E07A-492C-846C-007C0CD1FBF0}"/>
    <cellStyle name="Comma 134 6" xfId="10792" xr:uid="{4EAA8972-FD54-433E-B3E8-939DAB472648}"/>
    <cellStyle name="Comma 135" xfId="354" xr:uid="{159DB37D-5C44-4BE8-AB16-C3814EBEE0C6}"/>
    <cellStyle name="Comma 135 2" xfId="1413" xr:uid="{8349391C-1C16-4826-A44B-B3CC417997EE}"/>
    <cellStyle name="Comma 135 2 2" xfId="3471" xr:uid="{DA5818C3-EA6B-4771-90B4-2D9768C93DCF}"/>
    <cellStyle name="Comma 135 2 2 2" xfId="8704" xr:uid="{CD50BB16-86DA-4697-A426-4C210E7BBCD2}"/>
    <cellStyle name="Comma 135 2 2 2 2" xfId="19056" xr:uid="{D5BBEB01-6A2A-4760-9686-BCA57BFE28E9}"/>
    <cellStyle name="Comma 135 2 2 3" xfId="13881" xr:uid="{2AF009BD-E3E0-4370-9FA1-5A680C0B720F}"/>
    <cellStyle name="Comma 135 2 3" xfId="6646" xr:uid="{3AA8340E-449E-428F-90CC-CE556279C6C0}"/>
    <cellStyle name="Comma 135 2 3 2" xfId="16998" xr:uid="{64597DB6-314C-4C6B-AE37-32064C49FCB7}"/>
    <cellStyle name="Comma 135 2 4" xfId="11823" xr:uid="{27E9C6DA-22BB-4EB1-95C2-F59520E00618}"/>
    <cellStyle name="Comma 135 3" xfId="2441" xr:uid="{17E420BA-21A8-4A8C-8C22-B38A70F3C36B}"/>
    <cellStyle name="Comma 135 3 2" xfId="7674" xr:uid="{C3BB64DB-B4EC-463A-AB66-7E69F66B6E1E}"/>
    <cellStyle name="Comma 135 3 2 2" xfId="18026" xr:uid="{347F26B1-A881-4366-B927-17CAAE8E1FF7}"/>
    <cellStyle name="Comma 135 3 3" xfId="12851" xr:uid="{0BF78CFF-CB75-4B2E-93CB-ADAA24B77C08}"/>
    <cellStyle name="Comma 135 4" xfId="4567" xr:uid="{108FB822-425C-44CD-BA0E-242311E93BD6}"/>
    <cellStyle name="Comma 135 4 2" xfId="9743" xr:uid="{23B1EF6B-3035-4E77-B853-8E7D25E30CB8}"/>
    <cellStyle name="Comma 135 4 2 2" xfId="20095" xr:uid="{6763CF54-B5ED-45B3-B869-53E68999B817}"/>
    <cellStyle name="Comma 135 4 3" xfId="14919" xr:uid="{C50E464B-C8AE-4F79-97A1-184C319F4691}"/>
    <cellStyle name="Comma 135 5" xfId="5615" xr:uid="{E035523B-E11B-4B36-9F36-A3238A6ACD81}"/>
    <cellStyle name="Comma 135 5 2" xfId="15967" xr:uid="{4AAB5315-6349-4C65-878F-4EB2A46E3D39}"/>
    <cellStyle name="Comma 135 6" xfId="10793" xr:uid="{455DBA34-3F64-411F-9198-9FFAF263D30C}"/>
    <cellStyle name="Comma 136" xfId="355" xr:uid="{90CCF795-D6C1-41AD-A393-8BB96129B5E8}"/>
    <cellStyle name="Comma 136 2" xfId="1414" xr:uid="{4B43936E-6A18-4766-98D9-38BA1BA5FC2F}"/>
    <cellStyle name="Comma 136 2 2" xfId="3472" xr:uid="{B488214B-3557-4AF7-A964-523AD365256F}"/>
    <cellStyle name="Comma 136 2 2 2" xfId="8705" xr:uid="{7BC1AEB4-ECF9-47B2-AD4E-7E66ED5D295E}"/>
    <cellStyle name="Comma 136 2 2 2 2" xfId="19057" xr:uid="{B7531FEE-221E-4CE0-B039-3D8D2D99B0E3}"/>
    <cellStyle name="Comma 136 2 2 3" xfId="13882" xr:uid="{29CAC133-C49E-4064-B612-A18BB8715016}"/>
    <cellStyle name="Comma 136 2 3" xfId="6647" xr:uid="{4808F0B4-C413-4159-8F35-C8D5AC70274C}"/>
    <cellStyle name="Comma 136 2 3 2" xfId="16999" xr:uid="{0D2B7EFC-794C-47D1-B384-DE24649865D0}"/>
    <cellStyle name="Comma 136 2 4" xfId="11824" xr:uid="{2DCA161D-FBCC-41D1-A7AC-FCA2E18854C1}"/>
    <cellStyle name="Comma 136 3" xfId="2442" xr:uid="{822E6AB3-8D60-45B1-AD1E-74739ACF0FBB}"/>
    <cellStyle name="Comma 136 3 2" xfId="7675" xr:uid="{C5547394-9C0C-4FA3-96F3-535A12449A69}"/>
    <cellStyle name="Comma 136 3 2 2" xfId="18027" xr:uid="{57A838C4-F92C-4759-B224-76F24796033A}"/>
    <cellStyle name="Comma 136 3 3" xfId="12852" xr:uid="{E9C74E6B-63A4-4C0A-BD06-70BBBAD6287F}"/>
    <cellStyle name="Comma 136 4" xfId="4568" xr:uid="{E40F3482-1389-4EB5-A688-4D8D6500C206}"/>
    <cellStyle name="Comma 136 4 2" xfId="9744" xr:uid="{AC593FA9-0FD6-4ED8-A473-C424839B70A1}"/>
    <cellStyle name="Comma 136 4 2 2" xfId="20096" xr:uid="{36C787C2-935B-472E-A0C5-F01157F2D7CA}"/>
    <cellStyle name="Comma 136 4 3" xfId="14920" xr:uid="{D91F3A9E-6759-42C4-91FE-C487757F6DD7}"/>
    <cellStyle name="Comma 136 5" xfId="5616" xr:uid="{4C4EFD63-0931-4C32-B31D-8319A4E2091B}"/>
    <cellStyle name="Comma 136 5 2" xfId="15968" xr:uid="{7797DF2A-598C-48C7-A452-086F01CEE269}"/>
    <cellStyle name="Comma 136 6" xfId="10794" xr:uid="{76052C2C-4D42-4597-B572-6B562C957AAC}"/>
    <cellStyle name="Comma 137" xfId="356" xr:uid="{CAEF1B86-6947-41F9-A581-7B3591A4DB70}"/>
    <cellStyle name="Comma 137 2" xfId="1415" xr:uid="{0160F9DC-DF05-4DE9-943B-99DEB4C566F7}"/>
    <cellStyle name="Comma 137 2 2" xfId="3473" xr:uid="{FAD38006-DF64-46B1-B32A-6F5DB0073CA4}"/>
    <cellStyle name="Comma 137 2 2 2" xfId="8706" xr:uid="{19D02581-C142-4FBB-B1F4-B50F54FB06DD}"/>
    <cellStyle name="Comma 137 2 2 2 2" xfId="19058" xr:uid="{358359B6-D354-4610-A0EE-5C7219848267}"/>
    <cellStyle name="Comma 137 2 2 3" xfId="13883" xr:uid="{03B4D91F-BA48-4A6F-B9E5-4937513C8E03}"/>
    <cellStyle name="Comma 137 2 3" xfId="6648" xr:uid="{7538D9B6-8720-4666-8B30-27A13FCFCD82}"/>
    <cellStyle name="Comma 137 2 3 2" xfId="17000" xr:uid="{B7FAB333-8495-4A31-831A-2FEAA494C6E0}"/>
    <cellStyle name="Comma 137 2 4" xfId="11825" xr:uid="{3DCBA168-7104-4CCC-B1EB-14AFEAF8F4E8}"/>
    <cellStyle name="Comma 137 3" xfId="2443" xr:uid="{068C0499-E1E7-4ECD-B51D-E9111AE67790}"/>
    <cellStyle name="Comma 137 3 2" xfId="7676" xr:uid="{ED4FAB3E-CD14-4F69-841B-8A309BBCCA4A}"/>
    <cellStyle name="Comma 137 3 2 2" xfId="18028" xr:uid="{7B536AA0-0E88-43E3-A708-58273A0BF334}"/>
    <cellStyle name="Comma 137 3 3" xfId="12853" xr:uid="{6C9AD2B6-6272-4671-A315-E4E71468CF2C}"/>
    <cellStyle name="Comma 137 4" xfId="4569" xr:uid="{B01792D1-D1EF-41C1-8595-7FC9FECF26D8}"/>
    <cellStyle name="Comma 137 4 2" xfId="9745" xr:uid="{4BF5C766-DC60-4B71-B359-2AEC0095D5FC}"/>
    <cellStyle name="Comma 137 4 2 2" xfId="20097" xr:uid="{D734731D-6F93-456A-93AE-096AC6371B83}"/>
    <cellStyle name="Comma 137 4 3" xfId="14921" xr:uid="{2D790695-B59B-46E7-B0ED-2131C08205B6}"/>
    <cellStyle name="Comma 137 5" xfId="5617" xr:uid="{6F970151-7806-479C-9132-B1DFB16697AC}"/>
    <cellStyle name="Comma 137 5 2" xfId="15969" xr:uid="{210E3735-E538-4E1A-A26D-38AC39B0CE0C}"/>
    <cellStyle name="Comma 137 6" xfId="10795" xr:uid="{A5644F12-8CA5-49B4-917F-A7C04C8638C9}"/>
    <cellStyle name="Comma 138" xfId="357" xr:uid="{FA46FB02-91DF-49A0-9AEF-DBB11F24A041}"/>
    <cellStyle name="Comma 138 2" xfId="1416" xr:uid="{6BE97467-D4A8-44EE-8F7F-C738E8EF95E8}"/>
    <cellStyle name="Comma 138 2 2" xfId="3474" xr:uid="{406EED61-D72B-49ED-B4AF-C24825F5D319}"/>
    <cellStyle name="Comma 138 2 2 2" xfId="8707" xr:uid="{F36A1B24-10A3-47AA-B5EE-53833702FCA1}"/>
    <cellStyle name="Comma 138 2 2 2 2" xfId="19059" xr:uid="{F3F0AB02-A8B1-4F39-8EFC-6C416DAA97BB}"/>
    <cellStyle name="Comma 138 2 2 3" xfId="13884" xr:uid="{52FDCDD9-5014-4BB4-BEA2-1BE66ADD89FC}"/>
    <cellStyle name="Comma 138 2 3" xfId="6649" xr:uid="{9BA5DB4F-C5EA-49A3-BBB1-46E740E7EBF3}"/>
    <cellStyle name="Comma 138 2 3 2" xfId="17001" xr:uid="{CA0501A0-0602-49E3-B4C7-3E72D89473D7}"/>
    <cellStyle name="Comma 138 2 4" xfId="11826" xr:uid="{616B0527-02A1-4539-A193-2B6FEDCD1D92}"/>
    <cellStyle name="Comma 138 3" xfId="2444" xr:uid="{E5C018E2-5D58-4705-83DA-E961C5ED55D4}"/>
    <cellStyle name="Comma 138 3 2" xfId="7677" xr:uid="{1BD5B196-474A-4FA2-8A30-ED56A09B8596}"/>
    <cellStyle name="Comma 138 3 2 2" xfId="18029" xr:uid="{0EFC7666-DA0F-427A-96B3-E9EA13E8B75C}"/>
    <cellStyle name="Comma 138 3 3" xfId="12854" xr:uid="{522B6911-CCED-4741-BB24-2B4289720914}"/>
    <cellStyle name="Comma 138 4" xfId="4570" xr:uid="{4BC5A152-1E5D-4430-9770-B087918C9700}"/>
    <cellStyle name="Comma 138 4 2" xfId="9746" xr:uid="{3B837BE5-5927-489B-8D95-DD08AA620275}"/>
    <cellStyle name="Comma 138 4 2 2" xfId="20098" xr:uid="{713E133E-8BC4-4058-9FEA-9B9F92BA5FAC}"/>
    <cellStyle name="Comma 138 4 3" xfId="14922" xr:uid="{CC9A28F8-7D1C-4960-B5F4-3AEF7F103C9A}"/>
    <cellStyle name="Comma 138 5" xfId="5618" xr:uid="{5283AD55-5583-41C0-9DD2-1DF149E00BF4}"/>
    <cellStyle name="Comma 138 5 2" xfId="15970" xr:uid="{C7FA3322-A1A9-4939-B212-F372F2954C2F}"/>
    <cellStyle name="Comma 138 6" xfId="10796" xr:uid="{B09C4A56-2D87-4D1E-A676-DED8F80D4A92}"/>
    <cellStyle name="Comma 139" xfId="361" xr:uid="{676C177C-6FFB-4D99-92EE-792B425AAA4A}"/>
    <cellStyle name="Comma 139 2" xfId="1417" xr:uid="{634C521A-73B4-4BB4-A095-158525BE4575}"/>
    <cellStyle name="Comma 139 2 2" xfId="3475" xr:uid="{8BA50F58-0AE0-4F64-A412-3BE3361FFCEA}"/>
    <cellStyle name="Comma 139 2 2 2" xfId="8708" xr:uid="{2064259E-EECE-49E9-A3C3-3A950B3EF874}"/>
    <cellStyle name="Comma 139 2 2 2 2" xfId="19060" xr:uid="{06F2C98D-FB65-414C-BE01-7CBD7C3D54BD}"/>
    <cellStyle name="Comma 139 2 2 3" xfId="13885" xr:uid="{6C8E1ABA-D4CF-42FB-8FEB-692C2ABBCE2E}"/>
    <cellStyle name="Comma 139 2 3" xfId="6650" xr:uid="{FBD666C2-57A1-4DBD-BA59-01BF5B983DB1}"/>
    <cellStyle name="Comma 139 2 3 2" xfId="17002" xr:uid="{E821D08D-DA0F-4C97-A406-4B8824804F08}"/>
    <cellStyle name="Comma 139 2 4" xfId="11827" xr:uid="{BCFFD1AF-633A-4C68-9F42-0322DF0C14BD}"/>
    <cellStyle name="Comma 139 3" xfId="2445" xr:uid="{A6EFF9F6-34FD-4B15-99FF-5DE76BBBF5A3}"/>
    <cellStyle name="Comma 139 3 2" xfId="7678" xr:uid="{703C5BE2-DB49-49F1-8DCE-78D2C8EA158C}"/>
    <cellStyle name="Comma 139 3 2 2" xfId="18030" xr:uid="{F75C7AE8-132E-4EC6-9E83-A38DD7319717}"/>
    <cellStyle name="Comma 139 3 3" xfId="12855" xr:uid="{8D1FB0D1-C211-43AF-AFFB-32928C4B1E59}"/>
    <cellStyle name="Comma 139 4" xfId="4571" xr:uid="{B5A1CD50-9B8B-48A2-985F-583185CDA79B}"/>
    <cellStyle name="Comma 139 4 2" xfId="9747" xr:uid="{54B21A19-4A58-42B6-835D-AAD7BFB832DC}"/>
    <cellStyle name="Comma 139 4 2 2" xfId="20099" xr:uid="{32C824CC-6DB6-4F71-945A-0ED39E0B8BBD}"/>
    <cellStyle name="Comma 139 4 3" xfId="14923" xr:uid="{77E6367C-03E5-47EB-90C3-B5CEF4A5FEE3}"/>
    <cellStyle name="Comma 139 5" xfId="5619" xr:uid="{8C92EC7B-871C-4822-BA1E-669477021100}"/>
    <cellStyle name="Comma 139 5 2" xfId="15971" xr:uid="{36F5FE35-D3A2-4542-8703-4AF274EB1B8D}"/>
    <cellStyle name="Comma 139 6" xfId="10797" xr:uid="{633E87B1-24EB-4CDD-A529-15CF8975AEC9}"/>
    <cellStyle name="Comma 14" xfId="206" xr:uid="{4EDB21B3-7FC9-4E44-AA46-DEEC61C3C970}"/>
    <cellStyle name="Comma 14 2" xfId="1292" xr:uid="{9E0737E1-240B-4E48-93CF-161EACCA0B1E}"/>
    <cellStyle name="Comma 14 2 2" xfId="3350" xr:uid="{F31EB82E-9272-4777-9D69-74C2704CF76D}"/>
    <cellStyle name="Comma 14 2 2 2" xfId="8583" xr:uid="{9A61F7E0-6828-47EA-91AD-A1FE7E65E5AB}"/>
    <cellStyle name="Comma 14 2 2 2 2" xfId="18935" xr:uid="{B74383F8-AC6E-4B47-BB4E-80BF756D9A14}"/>
    <cellStyle name="Comma 14 2 2 3" xfId="13760" xr:uid="{453FA5B8-90A1-47D5-A663-B9448F0AF114}"/>
    <cellStyle name="Comma 14 2 3" xfId="6525" xr:uid="{7F9F42F5-2888-4218-BD73-9E180C23FEE7}"/>
    <cellStyle name="Comma 14 2 3 2" xfId="16877" xr:uid="{75213F6A-6006-4CD2-89D1-E13B3622C297}"/>
    <cellStyle name="Comma 14 2 4" xfId="11702" xr:uid="{C42A36C9-A231-47E0-83CB-54677C9DADC4}"/>
    <cellStyle name="Comma 14 3" xfId="2320" xr:uid="{BE90FD07-EE80-41BF-9C0A-A2854307D678}"/>
    <cellStyle name="Comma 14 3 2" xfId="7553" xr:uid="{85527E4B-6F56-4F15-A4A7-AFF2BDE071E8}"/>
    <cellStyle name="Comma 14 3 2 2" xfId="17905" xr:uid="{49736185-C9A8-471D-AA73-08B06E2E7977}"/>
    <cellStyle name="Comma 14 3 3" xfId="12730" xr:uid="{3E117BF4-E486-4069-8196-D4451ACBBE17}"/>
    <cellStyle name="Comma 14 4" xfId="4446" xr:uid="{83E8FDE7-8933-475C-98DF-8D6CB42F19D8}"/>
    <cellStyle name="Comma 14 4 2" xfId="9622" xr:uid="{E9EA955D-13EF-4691-B6B6-8B93DC6B5847}"/>
    <cellStyle name="Comma 14 4 2 2" xfId="19974" xr:uid="{43978D7B-A4EB-4FC6-8117-0BF8E2F41D56}"/>
    <cellStyle name="Comma 14 4 3" xfId="14798" xr:uid="{98BE2B97-8309-43AE-8BDC-F9D5E8AEE438}"/>
    <cellStyle name="Comma 14 5" xfId="5494" xr:uid="{EE8E88E9-AD6B-4B52-9927-D12501DAF9F8}"/>
    <cellStyle name="Comma 14 5 2" xfId="15846" xr:uid="{E3656498-EB21-41F9-968D-5CC1D2F49C6D}"/>
    <cellStyle name="Comma 14 6" xfId="10672" xr:uid="{279A82DC-0282-411B-9D25-B679AF7A2718}"/>
    <cellStyle name="Comma 140" xfId="362" xr:uid="{3BCCB128-78FF-497C-81CC-C67CAAB178FD}"/>
    <cellStyle name="Comma 140 2" xfId="1418" xr:uid="{08613022-4A89-4FCD-8758-1421A06133AA}"/>
    <cellStyle name="Comma 140 2 2" xfId="3476" xr:uid="{CFB4BA9D-DDAC-4137-9635-447EDECA6DD8}"/>
    <cellStyle name="Comma 140 2 2 2" xfId="8709" xr:uid="{CC2E0A44-C1FB-4590-9867-7B115BEE0A3C}"/>
    <cellStyle name="Comma 140 2 2 2 2" xfId="19061" xr:uid="{B9230505-ED50-4E4B-9CB8-B66DBE65119C}"/>
    <cellStyle name="Comma 140 2 2 3" xfId="13886" xr:uid="{ACE12690-ED69-4AEF-ABF9-34273B34FEF4}"/>
    <cellStyle name="Comma 140 2 3" xfId="6651" xr:uid="{2E65C828-4BCC-49FC-B55C-CD8C0F1CDB85}"/>
    <cellStyle name="Comma 140 2 3 2" xfId="17003" xr:uid="{3391F7E0-424A-4391-942E-A9C30FB0E761}"/>
    <cellStyle name="Comma 140 2 4" xfId="11828" xr:uid="{0E7B8FB0-5B35-4BDD-AC5E-526037030DF6}"/>
    <cellStyle name="Comma 140 3" xfId="2446" xr:uid="{D5DD1559-351B-4738-9622-8C9EEE91F8CF}"/>
    <cellStyle name="Comma 140 3 2" xfId="7679" xr:uid="{1C17030A-F227-4837-9038-6147AAAC52EA}"/>
    <cellStyle name="Comma 140 3 2 2" xfId="18031" xr:uid="{DBACAA3D-241E-42A8-BB00-13E5AE9FF5BE}"/>
    <cellStyle name="Comma 140 3 3" xfId="12856" xr:uid="{7E53F871-1E50-4B41-A5A7-BC0846D3C1A0}"/>
    <cellStyle name="Comma 140 4" xfId="4572" xr:uid="{F0D68277-21B1-4B24-ADB3-541F92E93ADD}"/>
    <cellStyle name="Comma 140 4 2" xfId="9748" xr:uid="{15A12C42-61E8-4BF1-BB59-9802E189A6ED}"/>
    <cellStyle name="Comma 140 4 2 2" xfId="20100" xr:uid="{6DF22F26-625E-4049-909A-8E5209B00770}"/>
    <cellStyle name="Comma 140 4 3" xfId="14924" xr:uid="{6B152105-4ACA-4B04-B637-C5C15AAB7E02}"/>
    <cellStyle name="Comma 140 5" xfId="5620" xr:uid="{BEE16BF5-FF18-43DA-8523-FCAAB82ED03E}"/>
    <cellStyle name="Comma 140 5 2" xfId="15972" xr:uid="{2863FD93-8B25-4A6A-9B6E-4EDD4146F952}"/>
    <cellStyle name="Comma 140 6" xfId="10798" xr:uid="{315909EF-72DF-48DF-B833-817A11EBC4AD}"/>
    <cellStyle name="Comma 141" xfId="363" xr:uid="{4107044C-5C0C-43FA-AC64-1AC8217E23ED}"/>
    <cellStyle name="Comma 141 2" xfId="1419" xr:uid="{8333661C-AE1B-4607-8C1D-561E37FE2468}"/>
    <cellStyle name="Comma 141 2 2" xfId="3477" xr:uid="{8B9EE51F-6154-42D4-B71A-CDAA505DE69C}"/>
    <cellStyle name="Comma 141 2 2 2" xfId="8710" xr:uid="{D4591429-8BB2-4F17-A15E-FE0617984024}"/>
    <cellStyle name="Comma 141 2 2 2 2" xfId="19062" xr:uid="{2C21B379-47F0-484A-9A9C-AD6727C1B1B7}"/>
    <cellStyle name="Comma 141 2 2 3" xfId="13887" xr:uid="{87A5B0ED-0B88-4B7D-8128-A003F313E342}"/>
    <cellStyle name="Comma 141 2 3" xfId="6652" xr:uid="{F238DC59-F3AF-4594-B1F9-861FB3314BE8}"/>
    <cellStyle name="Comma 141 2 3 2" xfId="17004" xr:uid="{8CF7090D-52BE-40C8-BBF2-5A46AA7ABD53}"/>
    <cellStyle name="Comma 141 2 4" xfId="11829" xr:uid="{A7E78661-F907-4312-9A11-9333CF7532CB}"/>
    <cellStyle name="Comma 141 3" xfId="2447" xr:uid="{2267A37E-6C67-43F1-8EAD-440E6A6E593C}"/>
    <cellStyle name="Comma 141 3 2" xfId="7680" xr:uid="{94F69E4E-DBEE-4760-B2D7-4B1AEE58247F}"/>
    <cellStyle name="Comma 141 3 2 2" xfId="18032" xr:uid="{1A8DB6A0-98B1-4D2D-867E-70FA250A67EB}"/>
    <cellStyle name="Comma 141 3 3" xfId="12857" xr:uid="{F6118153-52DA-4AA9-8F65-52B419E3546C}"/>
    <cellStyle name="Comma 141 4" xfId="4573" xr:uid="{154B191E-177F-4895-B07E-E04D0E41BE64}"/>
    <cellStyle name="Comma 141 4 2" xfId="9749" xr:uid="{C896ACC5-EFE0-451D-B707-E641E8F383C3}"/>
    <cellStyle name="Comma 141 4 2 2" xfId="20101" xr:uid="{964F8691-E666-447B-9DA9-4543DD540634}"/>
    <cellStyle name="Comma 141 4 3" xfId="14925" xr:uid="{1AA1D029-D060-480C-91B3-A65B0B399A89}"/>
    <cellStyle name="Comma 141 5" xfId="5621" xr:uid="{49EC26D8-8F2A-4FCF-8126-056F70FF26F1}"/>
    <cellStyle name="Comma 141 5 2" xfId="15973" xr:uid="{8E857067-FA4B-495D-B5EB-74688ADF7CC8}"/>
    <cellStyle name="Comma 141 6" xfId="10799" xr:uid="{7EF9D3A2-10E2-4F41-AE77-1CA1AAA6F873}"/>
    <cellStyle name="Comma 142" xfId="364" xr:uid="{0D727CFB-0DEF-4D78-8EBB-3093D8CB1F70}"/>
    <cellStyle name="Comma 142 2" xfId="1420" xr:uid="{D44AC268-CFC5-4017-966D-7C0FB6DA9AF8}"/>
    <cellStyle name="Comma 142 2 2" xfId="3478" xr:uid="{4B017352-EE49-4306-A814-BB26F8654D58}"/>
    <cellStyle name="Comma 142 2 2 2" xfId="8711" xr:uid="{8C4F1EBB-96FB-40C4-932E-FB8B119931A6}"/>
    <cellStyle name="Comma 142 2 2 2 2" xfId="19063" xr:uid="{0188863A-A1EF-4775-8323-5BD478F189CF}"/>
    <cellStyle name="Comma 142 2 2 3" xfId="13888" xr:uid="{BC9EE737-7539-4B81-9998-335E82A0E636}"/>
    <cellStyle name="Comma 142 2 3" xfId="6653" xr:uid="{F9A29351-5ED8-48CD-B5BB-F9C3238D1C60}"/>
    <cellStyle name="Comma 142 2 3 2" xfId="17005" xr:uid="{0BC3DC32-CAD5-4779-BEC1-7804F2E6B1E6}"/>
    <cellStyle name="Comma 142 2 4" xfId="11830" xr:uid="{F5CABBBB-267F-4504-A10B-4416FA4FD4CE}"/>
    <cellStyle name="Comma 142 3" xfId="2448" xr:uid="{135B73A0-E240-4393-A4B6-29C1209B21D2}"/>
    <cellStyle name="Comma 142 3 2" xfId="7681" xr:uid="{582E6F66-74CA-40BA-B97D-1BD31D19E1F3}"/>
    <cellStyle name="Comma 142 3 2 2" xfId="18033" xr:uid="{9B87112A-64EE-4DBB-B74E-E509195F4A46}"/>
    <cellStyle name="Comma 142 3 3" xfId="12858" xr:uid="{CC9D8EFF-157E-4E8A-ACC8-07C4ACCA59AE}"/>
    <cellStyle name="Comma 142 4" xfId="4574" xr:uid="{0CC0989A-5C92-471F-8235-7F128E94FC2F}"/>
    <cellStyle name="Comma 142 4 2" xfId="9750" xr:uid="{B0F852F4-62F1-49BE-93E8-8BCEC185694C}"/>
    <cellStyle name="Comma 142 4 2 2" xfId="20102" xr:uid="{1C6F0062-0328-4F6F-B4D4-CD43F6C7890B}"/>
    <cellStyle name="Comma 142 4 3" xfId="14926" xr:uid="{AAC019F8-CEB4-4405-A503-C3CEE0B9893C}"/>
    <cellStyle name="Comma 142 5" xfId="5622" xr:uid="{C8152345-7F92-4761-B144-ACD0319A7169}"/>
    <cellStyle name="Comma 142 5 2" xfId="15974" xr:uid="{F5B0819D-2468-4047-B809-53399597611C}"/>
    <cellStyle name="Comma 142 6" xfId="10800" xr:uid="{C91B91FF-969F-4F65-AB23-E077EFE06518}"/>
    <cellStyle name="Comma 143" xfId="365" xr:uid="{D792C109-F5C8-4C1B-8F99-C69F22471BCC}"/>
    <cellStyle name="Comma 143 2" xfId="1421" xr:uid="{367191DA-B95C-43AA-8B73-E73EC9FD735B}"/>
    <cellStyle name="Comma 143 2 2" xfId="3479" xr:uid="{39E02C3C-7C46-4CF5-A3B2-73823D661C80}"/>
    <cellStyle name="Comma 143 2 2 2" xfId="8712" xr:uid="{1FB27C98-1DA7-4F7C-A67A-E0C334E3FCB9}"/>
    <cellStyle name="Comma 143 2 2 2 2" xfId="19064" xr:uid="{2D7804A7-E379-4607-A77F-D14726F8A876}"/>
    <cellStyle name="Comma 143 2 2 3" xfId="13889" xr:uid="{481118F1-2C37-4591-8F81-AB4D59236AA3}"/>
    <cellStyle name="Comma 143 2 3" xfId="6654" xr:uid="{3C2D428C-ADA3-4FC4-B440-D5C07B8DB067}"/>
    <cellStyle name="Comma 143 2 3 2" xfId="17006" xr:uid="{FB95FF3D-1D22-44FD-905F-E76104CE8AE7}"/>
    <cellStyle name="Comma 143 2 4" xfId="11831" xr:uid="{29353212-49EC-42A7-9D39-B3F8A9EF4E95}"/>
    <cellStyle name="Comma 143 3" xfId="2449" xr:uid="{BEE64EA3-0CF7-4FFE-87C8-EB94608E00A8}"/>
    <cellStyle name="Comma 143 3 2" xfId="7682" xr:uid="{7925DF14-E12A-465E-A260-FBD69E085036}"/>
    <cellStyle name="Comma 143 3 2 2" xfId="18034" xr:uid="{87760554-54BC-48A9-927A-C44C8BA98050}"/>
    <cellStyle name="Comma 143 3 3" xfId="12859" xr:uid="{8D0D81A1-2A63-4EE2-B1BE-51E21A9F30AC}"/>
    <cellStyle name="Comma 143 4" xfId="4575" xr:uid="{27FD36B3-A965-4792-B252-7D9A418C0DF1}"/>
    <cellStyle name="Comma 143 4 2" xfId="9751" xr:uid="{7B6807AF-8C6F-454E-BFDD-342296F848DB}"/>
    <cellStyle name="Comma 143 4 2 2" xfId="20103" xr:uid="{4FEDE451-85F0-43F7-80C0-982EDBB2CFD8}"/>
    <cellStyle name="Comma 143 4 3" xfId="14927" xr:uid="{FBE674C5-BA82-47D4-805C-787A547F786C}"/>
    <cellStyle name="Comma 143 5" xfId="5623" xr:uid="{E388688C-EB6D-473D-BE30-DC78CB93E86D}"/>
    <cellStyle name="Comma 143 5 2" xfId="15975" xr:uid="{B9DF9A66-C9C6-4647-837C-61159F63E6EE}"/>
    <cellStyle name="Comma 143 6" xfId="10801" xr:uid="{9C7793FB-38B1-4791-B061-FEEE374116BD}"/>
    <cellStyle name="Comma 144" xfId="366" xr:uid="{22E4AB0D-A9EC-41F7-80FF-49612A191AB2}"/>
    <cellStyle name="Comma 144 2" xfId="1422" xr:uid="{67B11862-722A-4D10-BED5-02D57C971549}"/>
    <cellStyle name="Comma 144 2 2" xfId="3480" xr:uid="{390475C5-EB4E-4D3B-B211-5F3808EAC4FE}"/>
    <cellStyle name="Comma 144 2 2 2" xfId="8713" xr:uid="{223E12C0-DDD6-4A0E-8C5C-3FEA21B80855}"/>
    <cellStyle name="Comma 144 2 2 2 2" xfId="19065" xr:uid="{BED9CE30-652E-493D-AB9B-1E946110D72B}"/>
    <cellStyle name="Comma 144 2 2 3" xfId="13890" xr:uid="{DBFAE198-7C1F-438F-A6D0-3B9A2A3B81A6}"/>
    <cellStyle name="Comma 144 2 3" xfId="6655" xr:uid="{43542F74-A57A-4F97-A5D3-7F5DB6B62EE9}"/>
    <cellStyle name="Comma 144 2 3 2" xfId="17007" xr:uid="{E61AC3AD-1DDE-431C-97CC-FD356746D05F}"/>
    <cellStyle name="Comma 144 2 4" xfId="11832" xr:uid="{6F42D7F4-E348-4747-8727-C11094F790D0}"/>
    <cellStyle name="Comma 144 3" xfId="2450" xr:uid="{151A92FA-0C28-4F6B-BB63-42DA4D20D83D}"/>
    <cellStyle name="Comma 144 3 2" xfId="7683" xr:uid="{3A8512E5-F967-4F16-B2AE-9D5706BEF0BC}"/>
    <cellStyle name="Comma 144 3 2 2" xfId="18035" xr:uid="{775AECE2-C1AB-4CCB-9CF0-90CDD40A037B}"/>
    <cellStyle name="Comma 144 3 3" xfId="12860" xr:uid="{BACAE60D-719D-4A46-A29C-FF4F8AE4E010}"/>
    <cellStyle name="Comma 144 4" xfId="4576" xr:uid="{88CA484E-8E7B-4A1B-A02A-64D0F921BC10}"/>
    <cellStyle name="Comma 144 4 2" xfId="9752" xr:uid="{CA73FAC1-15B9-456F-AB32-23F10EF5F692}"/>
    <cellStyle name="Comma 144 4 2 2" xfId="20104" xr:uid="{A9FC7A98-06CB-4E04-A311-FD052AD01A5E}"/>
    <cellStyle name="Comma 144 4 3" xfId="14928" xr:uid="{0E2F4FB9-03AA-4548-ABFA-1B33834069FE}"/>
    <cellStyle name="Comma 144 5" xfId="5624" xr:uid="{98D006CD-AC10-4B14-9DDC-D8A469DB83D3}"/>
    <cellStyle name="Comma 144 5 2" xfId="15976" xr:uid="{5AC89093-90CB-4696-BD09-679E10946009}"/>
    <cellStyle name="Comma 144 6" xfId="10802" xr:uid="{71F7D2E1-3B6A-4E22-B287-15A0BC1DA311}"/>
    <cellStyle name="Comma 145" xfId="367" xr:uid="{9F29C4FF-7FE3-4242-82D9-9EB4E4423AF6}"/>
    <cellStyle name="Comma 145 2" xfId="1423" xr:uid="{C4B1096C-A5D5-4F07-9353-89593D5FC386}"/>
    <cellStyle name="Comma 145 2 2" xfId="3481" xr:uid="{27854284-9D82-4839-9793-997AA17685FC}"/>
    <cellStyle name="Comma 145 2 2 2" xfId="8714" xr:uid="{97EC6A5E-F3A3-4BD4-AAC2-C8E740BD1681}"/>
    <cellStyle name="Comma 145 2 2 2 2" xfId="19066" xr:uid="{951F0F6B-9A71-4A3C-BAE8-858B331EEF74}"/>
    <cellStyle name="Comma 145 2 2 3" xfId="13891" xr:uid="{AA4BD028-0DFD-4E0E-B9B9-108CBC310033}"/>
    <cellStyle name="Comma 145 2 3" xfId="6656" xr:uid="{958920CA-81F7-4E2F-8896-A2F16980126B}"/>
    <cellStyle name="Comma 145 2 3 2" xfId="17008" xr:uid="{200E7AA2-DC74-498E-80FF-94E2BC069AC3}"/>
    <cellStyle name="Comma 145 2 4" xfId="11833" xr:uid="{A90CFA9A-3111-44AE-BB94-2CF1DB7502CE}"/>
    <cellStyle name="Comma 145 3" xfId="2451" xr:uid="{02E443B5-7554-4D3B-97DD-F0BDFF0C8829}"/>
    <cellStyle name="Comma 145 3 2" xfId="7684" xr:uid="{96164DCF-72E7-45E1-AB6C-5F323E0AF64A}"/>
    <cellStyle name="Comma 145 3 2 2" xfId="18036" xr:uid="{F95AFD68-F937-4A91-A83F-538D99ECFDFF}"/>
    <cellStyle name="Comma 145 3 3" xfId="12861" xr:uid="{A798394F-EEE9-44A5-B0E2-15588AACFDB7}"/>
    <cellStyle name="Comma 145 4" xfId="4577" xr:uid="{FC747917-8B8D-4D10-BC4C-BDBC3D59830F}"/>
    <cellStyle name="Comma 145 4 2" xfId="9753" xr:uid="{95388C8E-5C1D-45C5-9241-00DABE6C0BC9}"/>
    <cellStyle name="Comma 145 4 2 2" xfId="20105" xr:uid="{BD44427F-F0A0-4D79-BEA6-B5C6DFD48B23}"/>
    <cellStyle name="Comma 145 4 3" xfId="14929" xr:uid="{D6FD080A-F51F-405A-AB4C-40529216A67A}"/>
    <cellStyle name="Comma 145 5" xfId="5625" xr:uid="{F1626356-D425-4431-99B5-C8C3D166FEE4}"/>
    <cellStyle name="Comma 145 5 2" xfId="15977" xr:uid="{52870FCE-EF2B-4A10-B63E-8073B8B1CEE2}"/>
    <cellStyle name="Comma 145 6" xfId="10803" xr:uid="{62E26285-B7D4-45FE-B364-A7FA51EBB8F8}"/>
    <cellStyle name="Comma 146" xfId="375" xr:uid="{C75F16B9-E2C8-40E8-B0F1-2793AC398CFD}"/>
    <cellStyle name="Comma 146 2" xfId="1424" xr:uid="{850B79B5-BCA9-4A4D-B4FA-41957E935FB2}"/>
    <cellStyle name="Comma 146 2 2" xfId="3482" xr:uid="{642F7D18-9D40-434E-9352-61F9D8A2EF99}"/>
    <cellStyle name="Comma 146 2 2 2" xfId="8715" xr:uid="{AE5B2B7B-9A51-4CC8-BC1B-D5F8F2302AB8}"/>
    <cellStyle name="Comma 146 2 2 2 2" xfId="19067" xr:uid="{58BF835D-6DA5-4DA8-931F-161B7208E35F}"/>
    <cellStyle name="Comma 146 2 2 3" xfId="13892" xr:uid="{DFA6B8D1-C15F-4E09-AECE-0713337793E4}"/>
    <cellStyle name="Comma 146 2 3" xfId="6657" xr:uid="{A91ED5F8-9DD0-4C95-9896-3AD86B026A34}"/>
    <cellStyle name="Comma 146 2 3 2" xfId="17009" xr:uid="{E22A94B9-E514-4B0F-A40D-BB1278A67B46}"/>
    <cellStyle name="Comma 146 2 4" xfId="11834" xr:uid="{0374C972-2AC5-4CBD-A0B0-5DF5CA79D17C}"/>
    <cellStyle name="Comma 146 3" xfId="2452" xr:uid="{44796546-1C17-4BA1-AF21-A451098C0491}"/>
    <cellStyle name="Comma 146 3 2" xfId="7685" xr:uid="{1D680048-8EE1-4F7A-A8E5-864F9F925CAD}"/>
    <cellStyle name="Comma 146 3 2 2" xfId="18037" xr:uid="{3725079E-AEBD-4600-AA35-E4B137DAEC04}"/>
    <cellStyle name="Comma 146 3 3" xfId="12862" xr:uid="{071B88F6-6ACE-4E08-9D63-00CA93B1757E}"/>
    <cellStyle name="Comma 146 4" xfId="4578" xr:uid="{20EDE181-DA8D-4C6E-AA7E-B84395903B6E}"/>
    <cellStyle name="Comma 146 4 2" xfId="9754" xr:uid="{98A7406F-3608-4F0B-89DD-2D96D82A2AAA}"/>
    <cellStyle name="Comma 146 4 2 2" xfId="20106" xr:uid="{10A5D6B0-5B54-4581-80AB-64E47A86C65A}"/>
    <cellStyle name="Comma 146 4 3" xfId="14930" xr:uid="{A91B457C-7AC6-4BB9-BD25-029357643749}"/>
    <cellStyle name="Comma 146 5" xfId="5626" xr:uid="{06619E70-C8D4-4723-88AE-7880DB1CCAA5}"/>
    <cellStyle name="Comma 146 5 2" xfId="15978" xr:uid="{413A15E6-0AE0-46FD-929B-4D8498CC954F}"/>
    <cellStyle name="Comma 146 6" xfId="10804" xr:uid="{F7E965F4-469A-49DA-A119-2DFC39A3B514}"/>
    <cellStyle name="Comma 147" xfId="382" xr:uid="{3A31B17D-0F61-47E2-894D-C860A9273577}"/>
    <cellStyle name="Comma 147 2" xfId="1425" xr:uid="{CB661903-1EBE-43CA-B6EE-D484F6DF5856}"/>
    <cellStyle name="Comma 147 2 2" xfId="3483" xr:uid="{98EF6845-9DF7-499B-A2FC-C0C73520F8F6}"/>
    <cellStyle name="Comma 147 2 2 2" xfId="8716" xr:uid="{2EA07F41-6B37-47BE-BCA9-814689278C1B}"/>
    <cellStyle name="Comma 147 2 2 2 2" xfId="19068" xr:uid="{C9882E33-074F-4F5D-81E5-21CD524983E0}"/>
    <cellStyle name="Comma 147 2 2 3" xfId="13893" xr:uid="{2F47C3D9-2120-4145-BD07-C16535FE7B9D}"/>
    <cellStyle name="Comma 147 2 3" xfId="6658" xr:uid="{8FCCC629-67D6-47EC-8C0F-99950CDA4D6E}"/>
    <cellStyle name="Comma 147 2 3 2" xfId="17010" xr:uid="{2B4D2AF4-0C6F-4695-AEAB-0C22DED1A74F}"/>
    <cellStyle name="Comma 147 2 4" xfId="11835" xr:uid="{56CE0A51-F62F-4163-917F-E64B9488C59C}"/>
    <cellStyle name="Comma 147 3" xfId="2453" xr:uid="{0E1876A7-4658-4302-B8F0-D593CBCC72E5}"/>
    <cellStyle name="Comma 147 3 2" xfId="7686" xr:uid="{13E17077-3AF0-418A-ACCF-545F1893493A}"/>
    <cellStyle name="Comma 147 3 2 2" xfId="18038" xr:uid="{E878351D-62DD-476C-89AE-B8CB54D86622}"/>
    <cellStyle name="Comma 147 3 3" xfId="12863" xr:uid="{0EDA3BFB-B81D-4ABE-882A-3C81A876AFA4}"/>
    <cellStyle name="Comma 147 4" xfId="4579" xr:uid="{E553E86B-C1A1-46A9-8D52-62E4FB0C4159}"/>
    <cellStyle name="Comma 147 4 2" xfId="9755" xr:uid="{9D05E5E5-E30F-42C1-AF9D-D1046D1B1689}"/>
    <cellStyle name="Comma 147 4 2 2" xfId="20107" xr:uid="{1BDA256A-39B5-470E-8782-4A8A22B85DEB}"/>
    <cellStyle name="Comma 147 4 3" xfId="14931" xr:uid="{00DA29B0-957A-4384-B7BB-4B17385C3E40}"/>
    <cellStyle name="Comma 147 5" xfId="5627" xr:uid="{E9202C18-25FC-4A02-8D16-B218E7949305}"/>
    <cellStyle name="Comma 147 5 2" xfId="15979" xr:uid="{8DE7C987-3233-4936-9254-7CF9F4867AA1}"/>
    <cellStyle name="Comma 147 6" xfId="10805" xr:uid="{6CA94B3B-C58B-4D42-98DF-4BCA85CE9AB5}"/>
    <cellStyle name="Comma 148" xfId="388" xr:uid="{8BCEEFCE-670E-43CD-821E-D79FCBE823E4}"/>
    <cellStyle name="Comma 148 2" xfId="1426" xr:uid="{F25EE4BC-86E2-43EC-98CF-0DB8BE898674}"/>
    <cellStyle name="Comma 148 2 2" xfId="3484" xr:uid="{4D0335C7-B2AB-4DA6-92CA-D4CB09423535}"/>
    <cellStyle name="Comma 148 2 2 2" xfId="8717" xr:uid="{B59F9CE9-8C69-4C44-9CC2-3F736E07B776}"/>
    <cellStyle name="Comma 148 2 2 2 2" xfId="19069" xr:uid="{238F2587-227A-4353-A203-FEF9B3974267}"/>
    <cellStyle name="Comma 148 2 2 3" xfId="13894" xr:uid="{F1443A1E-0DD8-4C2B-8F48-680F9CDED604}"/>
    <cellStyle name="Comma 148 2 3" xfId="6659" xr:uid="{D1030B13-81F4-461B-BD44-ED796F4FFCF9}"/>
    <cellStyle name="Comma 148 2 3 2" xfId="17011" xr:uid="{5A381F21-DEF1-4EA3-A711-B39A8C008B32}"/>
    <cellStyle name="Comma 148 2 4" xfId="11836" xr:uid="{3052E8E0-C6AE-4B68-9DF9-F20047562860}"/>
    <cellStyle name="Comma 148 3" xfId="2454" xr:uid="{5E8BCCDA-C9AD-4EB3-A50B-92C3FEE25D32}"/>
    <cellStyle name="Comma 148 3 2" xfId="7687" xr:uid="{88EF2027-FBFC-4048-A8CB-820BD6ABE89E}"/>
    <cellStyle name="Comma 148 3 2 2" xfId="18039" xr:uid="{F1941180-B7AB-43E9-86B2-B8B289DA0D45}"/>
    <cellStyle name="Comma 148 3 3" xfId="12864" xr:uid="{3CAAA12C-8F45-48DB-B38C-F823B6ABA8F6}"/>
    <cellStyle name="Comma 148 4" xfId="4580" xr:uid="{A5AAA20F-DB43-4FFE-901B-B8212FEF7A3B}"/>
    <cellStyle name="Comma 148 4 2" xfId="9756" xr:uid="{3AE35B6A-12C2-463D-B847-78A0EB955B7C}"/>
    <cellStyle name="Comma 148 4 2 2" xfId="20108" xr:uid="{F6914055-0FC2-4F2D-91F2-1817BD6BDAFE}"/>
    <cellStyle name="Comma 148 4 3" xfId="14932" xr:uid="{952541E2-6954-4C21-89AA-294158298881}"/>
    <cellStyle name="Comma 148 5" xfId="5628" xr:uid="{B1A8C580-1EF9-4832-9819-373BB5734F8E}"/>
    <cellStyle name="Comma 148 5 2" xfId="15980" xr:uid="{8B7C9154-5C7F-457F-B265-73F44964747A}"/>
    <cellStyle name="Comma 148 6" xfId="10806" xr:uid="{69342455-778C-42C1-B5B7-CEF72368F191}"/>
    <cellStyle name="Comma 149" xfId="389" xr:uid="{3EBABFD4-61A4-4DBC-A754-76FF4AAE10AF}"/>
    <cellStyle name="Comma 149 2" xfId="1427" xr:uid="{C88BC1E2-AD0B-49D4-A8FA-8E3F9C3DD547}"/>
    <cellStyle name="Comma 149 2 2" xfId="3485" xr:uid="{BF57DD7F-C2CA-4BF5-AF2B-9B295B23D29E}"/>
    <cellStyle name="Comma 149 2 2 2" xfId="8718" xr:uid="{F83C2D4A-42E9-4AE9-97E8-C0FFB6B68768}"/>
    <cellStyle name="Comma 149 2 2 2 2" xfId="19070" xr:uid="{DD3B5538-3517-4CF3-9715-956381AF009F}"/>
    <cellStyle name="Comma 149 2 2 3" xfId="13895" xr:uid="{0845FB26-2D9F-4DF8-A0A7-9D44AC649410}"/>
    <cellStyle name="Comma 149 2 3" xfId="6660" xr:uid="{CC766A86-AD3B-4BD6-9F17-41FBFEA69A67}"/>
    <cellStyle name="Comma 149 2 3 2" xfId="17012" xr:uid="{0E2BFABC-0D4B-4688-B4E4-E4303C24B1C7}"/>
    <cellStyle name="Comma 149 2 4" xfId="11837" xr:uid="{2BC7CEB2-8D08-468B-96F8-A22066E70D36}"/>
    <cellStyle name="Comma 149 3" xfId="2455" xr:uid="{F2685AB6-BF93-4011-AA0F-4120EF117CA9}"/>
    <cellStyle name="Comma 149 3 2" xfId="7688" xr:uid="{06CB8399-0351-44FF-9C44-2DFB3B45F943}"/>
    <cellStyle name="Comma 149 3 2 2" xfId="18040" xr:uid="{E14BB93A-0604-4504-8236-1D56A1898BBA}"/>
    <cellStyle name="Comma 149 3 3" xfId="12865" xr:uid="{D2BB80C2-A604-448D-9BFF-E625911E8EF3}"/>
    <cellStyle name="Comma 149 4" xfId="4581" xr:uid="{CA595001-F9E1-4875-890A-9D00CC7EED28}"/>
    <cellStyle name="Comma 149 4 2" xfId="9757" xr:uid="{D0548F79-EED0-4E89-827E-B961ABDADD70}"/>
    <cellStyle name="Comma 149 4 2 2" xfId="20109" xr:uid="{8609882B-2AD2-4D48-A597-2A8D664D0204}"/>
    <cellStyle name="Comma 149 4 3" xfId="14933" xr:uid="{229FF62D-FF25-47C7-AA7D-E7C9D69D0C35}"/>
    <cellStyle name="Comma 149 5" xfId="5629" xr:uid="{045D3D12-AB5A-49A0-83C9-15B6B1C614F9}"/>
    <cellStyle name="Comma 149 5 2" xfId="15981" xr:uid="{3097F504-57A8-41DF-A775-6185C43FFA94}"/>
    <cellStyle name="Comma 149 6" xfId="10807" xr:uid="{37FCA3FA-368C-4D1E-998C-A105A5A2C998}"/>
    <cellStyle name="Comma 15" xfId="207" xr:uid="{4F870AAC-98B4-4566-AFFB-6CC813DF8815}"/>
    <cellStyle name="Comma 15 2" xfId="1293" xr:uid="{1C809D68-5E3B-4ABA-AF02-42CC26D1E77C}"/>
    <cellStyle name="Comma 15 2 2" xfId="3351" xr:uid="{FFA6DDF9-C937-4696-ABCF-4B652D9F9315}"/>
    <cellStyle name="Comma 15 2 2 2" xfId="8584" xr:uid="{7D799850-2DFA-4BA1-8443-A0CFCEF87D55}"/>
    <cellStyle name="Comma 15 2 2 2 2" xfId="18936" xr:uid="{6576EB0F-86F6-4C9B-A2DE-E1F81F9FB430}"/>
    <cellStyle name="Comma 15 2 2 3" xfId="13761" xr:uid="{8FA016BB-E4F1-4C13-9CF7-624C8DE8BEBF}"/>
    <cellStyle name="Comma 15 2 3" xfId="6526" xr:uid="{4919AF76-6B48-4680-A117-23DF280859BB}"/>
    <cellStyle name="Comma 15 2 3 2" xfId="16878" xr:uid="{135EBE0A-AA1C-4F92-8AFC-3DA3EC4DC3D7}"/>
    <cellStyle name="Comma 15 2 4" xfId="11703" xr:uid="{CA0CD68D-97BA-4AA0-A39B-75AFF3DC665A}"/>
    <cellStyle name="Comma 15 3" xfId="2321" xr:uid="{4414ED52-E4A3-4E93-AF41-3052D3375090}"/>
    <cellStyle name="Comma 15 3 2" xfId="7554" xr:uid="{144522B8-F028-4BF5-8C89-37D48E4C73FC}"/>
    <cellStyle name="Comma 15 3 2 2" xfId="17906" xr:uid="{4E9DAC3F-A270-41FD-9518-0BB15AB38680}"/>
    <cellStyle name="Comma 15 3 3" xfId="12731" xr:uid="{75A4A375-0166-4A47-8FEF-CA6C217D5F22}"/>
    <cellStyle name="Comma 15 4" xfId="4447" xr:uid="{4EF886F9-57B5-43FA-ABF2-38E9A339BC00}"/>
    <cellStyle name="Comma 15 4 2" xfId="9623" xr:uid="{FAFDFB9A-E106-4372-A9EA-77BBDE2E94A5}"/>
    <cellStyle name="Comma 15 4 2 2" xfId="19975" xr:uid="{89144A7F-0AD8-4989-BBF9-301F6EA125F3}"/>
    <cellStyle name="Comma 15 4 3" xfId="14799" xr:uid="{9000274A-98AA-4FEE-831A-395E9F29F787}"/>
    <cellStyle name="Comma 15 5" xfId="5495" xr:uid="{E23F4A4C-C223-48C5-B65A-8D158A885A27}"/>
    <cellStyle name="Comma 15 5 2" xfId="15847" xr:uid="{B448FF14-D709-4959-8177-2829C9823698}"/>
    <cellStyle name="Comma 15 6" xfId="10673" xr:uid="{5FCB7941-FBE4-4AD3-BF00-5EF5A3089A70}"/>
    <cellStyle name="Comma 150" xfId="390" xr:uid="{881FA580-FE97-4BBC-A548-D0DF44DBB7CA}"/>
    <cellStyle name="Comma 150 2" xfId="1428" xr:uid="{13653595-6266-4D7D-AAE6-23CE68F7BF59}"/>
    <cellStyle name="Comma 150 2 2" xfId="3486" xr:uid="{E862B1F0-92E0-48C9-AF8D-631C59400E19}"/>
    <cellStyle name="Comma 150 2 2 2" xfId="8719" xr:uid="{C9E2C042-80C9-4E6C-8F33-3E330CCF1A12}"/>
    <cellStyle name="Comma 150 2 2 2 2" xfId="19071" xr:uid="{763D30C3-DBF1-4EE3-AE9E-ABFF36D29D8C}"/>
    <cellStyle name="Comma 150 2 2 3" xfId="13896" xr:uid="{F80F1974-7B1D-4FBF-A5F8-CAA09FD48F9D}"/>
    <cellStyle name="Comma 150 2 3" xfId="6661" xr:uid="{9CF0F312-C0C8-477B-820B-53FB2E4D2DBC}"/>
    <cellStyle name="Comma 150 2 3 2" xfId="17013" xr:uid="{B55B4987-DEF0-45DA-8669-2B3A1BDD2DEA}"/>
    <cellStyle name="Comma 150 2 4" xfId="11838" xr:uid="{33AEEAB9-72EE-4B5D-8678-23B4760D307E}"/>
    <cellStyle name="Comma 150 3" xfId="2456" xr:uid="{5173EF34-D9C2-40BE-BB29-57AF5E6EA48E}"/>
    <cellStyle name="Comma 150 3 2" xfId="7689" xr:uid="{1CDFB5A8-54B9-420C-9577-610C833BB390}"/>
    <cellStyle name="Comma 150 3 2 2" xfId="18041" xr:uid="{046E9771-E2E9-4419-9ADC-111DFA483ACA}"/>
    <cellStyle name="Comma 150 3 3" xfId="12866" xr:uid="{B97B29EE-CFD0-492D-8802-DF2BA9D637E3}"/>
    <cellStyle name="Comma 150 4" xfId="4582" xr:uid="{800E47B3-3FEF-454D-AB65-24802B00B65A}"/>
    <cellStyle name="Comma 150 4 2" xfId="9758" xr:uid="{E2FE3A4F-99A3-41C9-94C9-0D2111E1DFD3}"/>
    <cellStyle name="Comma 150 4 2 2" xfId="20110" xr:uid="{7CB2864A-BD5F-41FF-A5CA-9C722467402D}"/>
    <cellStyle name="Comma 150 4 3" xfId="14934" xr:uid="{F8B0E6D8-3F56-4605-BB67-6DB37A72BB93}"/>
    <cellStyle name="Comma 150 5" xfId="5630" xr:uid="{215483F5-C60F-4487-86D0-33F603F67672}"/>
    <cellStyle name="Comma 150 5 2" xfId="15982" xr:uid="{BE2649B5-105A-403E-8B5B-FC639D971CF6}"/>
    <cellStyle name="Comma 150 6" xfId="10808" xr:uid="{643C46FD-929D-4B80-851E-21E85BACA61E}"/>
    <cellStyle name="Comma 151" xfId="391" xr:uid="{932560C3-5D19-49BB-993A-5BFC9D896772}"/>
    <cellStyle name="Comma 151 2" xfId="1429" xr:uid="{B56E3721-1018-4C6A-81CE-EEBA535126A4}"/>
    <cellStyle name="Comma 151 2 2" xfId="3487" xr:uid="{F010AC74-3857-413C-8143-DA775A13D935}"/>
    <cellStyle name="Comma 151 2 2 2" xfId="8720" xr:uid="{2A5F1376-0D6F-4DB0-BD8C-03FCABD34063}"/>
    <cellStyle name="Comma 151 2 2 2 2" xfId="19072" xr:uid="{1B3C3BC8-4B79-438F-8208-FAC266348DC1}"/>
    <cellStyle name="Comma 151 2 2 3" xfId="13897" xr:uid="{BF9FFF9F-EB65-4936-AE45-3EAEB3B90C3A}"/>
    <cellStyle name="Comma 151 2 3" xfId="6662" xr:uid="{3055199E-B950-4C1C-B446-1097F875EF8B}"/>
    <cellStyle name="Comma 151 2 3 2" xfId="17014" xr:uid="{3A7E0308-0289-41D2-8A71-0ADFBB2DBE20}"/>
    <cellStyle name="Comma 151 2 4" xfId="11839" xr:uid="{76A465D9-E599-451C-BFEA-979F00D7E13D}"/>
    <cellStyle name="Comma 151 3" xfId="2457" xr:uid="{8244DDE5-D617-4D02-9F33-C40782DFBD64}"/>
    <cellStyle name="Comma 151 3 2" xfId="7690" xr:uid="{E0BE53AB-5F34-42EE-A8CA-A2F1DF6B91B9}"/>
    <cellStyle name="Comma 151 3 2 2" xfId="18042" xr:uid="{D71CF0CB-AE0A-45E7-8FD7-DB82265E244F}"/>
    <cellStyle name="Comma 151 3 3" xfId="12867" xr:uid="{74B8BA5C-434E-4927-A77E-D7E00996EF45}"/>
    <cellStyle name="Comma 151 4" xfId="4583" xr:uid="{F0013396-D3B9-4935-8C3F-7B17BF5DE82F}"/>
    <cellStyle name="Comma 151 4 2" xfId="9759" xr:uid="{3FB2AC25-BACA-42C2-A850-A2EE511C6647}"/>
    <cellStyle name="Comma 151 4 2 2" xfId="20111" xr:uid="{BC2F738A-3CCB-4CDB-9543-90CB62E12323}"/>
    <cellStyle name="Comma 151 4 3" xfId="14935" xr:uid="{73C58DA3-71BC-4592-B5FC-3AE765DB4D37}"/>
    <cellStyle name="Comma 151 5" xfId="5631" xr:uid="{D43C146F-35CF-436E-B958-22665D2BEACF}"/>
    <cellStyle name="Comma 151 5 2" xfId="15983" xr:uid="{42909DEB-3041-4D54-A198-769D7FF46113}"/>
    <cellStyle name="Comma 151 6" xfId="10809" xr:uid="{1ECCDE79-E40F-487A-A87A-152E9502B197}"/>
    <cellStyle name="Comma 152" xfId="392" xr:uid="{8F44820D-9D71-4D58-8571-A49112C6C60C}"/>
    <cellStyle name="Comma 152 2" xfId="1430" xr:uid="{B945653C-E624-498D-A6A1-CECE1256FFBF}"/>
    <cellStyle name="Comma 152 2 2" xfId="3488" xr:uid="{89E0871C-51ED-437C-A929-40656EA73DB3}"/>
    <cellStyle name="Comma 152 2 2 2" xfId="8721" xr:uid="{B1473181-9980-44AD-941C-77CCA72BAEB7}"/>
    <cellStyle name="Comma 152 2 2 2 2" xfId="19073" xr:uid="{AFB67C17-B666-4726-A753-21918C703FB5}"/>
    <cellStyle name="Comma 152 2 2 3" xfId="13898" xr:uid="{68E49D6A-97DF-4C17-B136-251B4ED6447C}"/>
    <cellStyle name="Comma 152 2 3" xfId="6663" xr:uid="{58BD9287-F15D-468B-B89D-287308B803CA}"/>
    <cellStyle name="Comma 152 2 3 2" xfId="17015" xr:uid="{84647C62-7225-4D56-B18D-E13D6D6AE6DF}"/>
    <cellStyle name="Comma 152 2 4" xfId="11840" xr:uid="{41C09AE6-D24C-49A4-9FC7-DAAE6A936206}"/>
    <cellStyle name="Comma 152 3" xfId="2458" xr:uid="{BDE7D182-4696-49E4-8B96-99F7F6F79C79}"/>
    <cellStyle name="Comma 152 3 2" xfId="7691" xr:uid="{D8CDE090-9BC5-4309-9977-A7022E932A2E}"/>
    <cellStyle name="Comma 152 3 2 2" xfId="18043" xr:uid="{452A5F14-7453-437B-81F8-B977F397BEF0}"/>
    <cellStyle name="Comma 152 3 3" xfId="12868" xr:uid="{C34249E7-FBD1-4398-A8C3-3D17C6997D98}"/>
    <cellStyle name="Comma 152 4" xfId="4584" xr:uid="{881C96E3-DE3C-4F0A-8EB3-1AE1E04B9281}"/>
    <cellStyle name="Comma 152 4 2" xfId="9760" xr:uid="{D3898F36-4703-4C0B-87C9-2F3CA17FB63B}"/>
    <cellStyle name="Comma 152 4 2 2" xfId="20112" xr:uid="{368FBE90-641F-4B0B-9278-0C063641D721}"/>
    <cellStyle name="Comma 152 4 3" xfId="14936" xr:uid="{C3E5B9E9-B14A-4EB8-AF61-A50DD0777510}"/>
    <cellStyle name="Comma 152 5" xfId="5632" xr:uid="{7E9BE344-486D-43E3-AE63-70652509C254}"/>
    <cellStyle name="Comma 152 5 2" xfId="15984" xr:uid="{0738D11B-4905-4F8A-887C-2984B9BDA474}"/>
    <cellStyle name="Comma 152 6" xfId="10810" xr:uid="{95DB3E4A-E589-4348-A1C1-9C1BB0652D53}"/>
    <cellStyle name="Comma 153" xfId="393" xr:uid="{15C08763-ED53-4DBA-8CE3-E57746042029}"/>
    <cellStyle name="Comma 153 2" xfId="1431" xr:uid="{838D4855-E5AC-4F75-AEE0-E8E16DA83D06}"/>
    <cellStyle name="Comma 153 2 2" xfId="3489" xr:uid="{E446FFB7-226C-46B9-BD35-EDA26D638C4D}"/>
    <cellStyle name="Comma 153 2 2 2" xfId="8722" xr:uid="{46BE1240-113F-4157-92BD-8776CC26F401}"/>
    <cellStyle name="Comma 153 2 2 2 2" xfId="19074" xr:uid="{EEFFE471-F41B-456A-961B-224FF56CD3F1}"/>
    <cellStyle name="Comma 153 2 2 3" xfId="13899" xr:uid="{539DCAC1-EED4-48B3-A01D-1673D4D3F177}"/>
    <cellStyle name="Comma 153 2 3" xfId="6664" xr:uid="{C9AF9FD5-96ED-4502-9EFD-AC5D9EDE66AD}"/>
    <cellStyle name="Comma 153 2 3 2" xfId="17016" xr:uid="{387124CE-6AE2-4897-9D7C-BBD2E01C5D19}"/>
    <cellStyle name="Comma 153 2 4" xfId="11841" xr:uid="{2C11784A-A850-4FB6-8D9F-F551C2FEB5DA}"/>
    <cellStyle name="Comma 153 3" xfId="2459" xr:uid="{34D69A30-C235-43DD-84AE-CB8E5F3677AE}"/>
    <cellStyle name="Comma 153 3 2" xfId="7692" xr:uid="{6175D48D-61A8-46D0-8E38-0EBAD0DBAC03}"/>
    <cellStyle name="Comma 153 3 2 2" xfId="18044" xr:uid="{D81AF31B-FC6C-4431-8091-697A701B7C27}"/>
    <cellStyle name="Comma 153 3 3" xfId="12869" xr:uid="{8BAC558E-5DB7-49DA-97B3-A0DF9662BA56}"/>
    <cellStyle name="Comma 153 4" xfId="4585" xr:uid="{6DD4C1FB-E697-4737-A713-7264789D3DAB}"/>
    <cellStyle name="Comma 153 4 2" xfId="9761" xr:uid="{7FA9CC36-BF6D-498F-A9E0-2DCEE2BF1FC6}"/>
    <cellStyle name="Comma 153 4 2 2" xfId="20113" xr:uid="{2816F938-00CA-4E46-9AE4-1874A946BC58}"/>
    <cellStyle name="Comma 153 4 3" xfId="14937" xr:uid="{F63F46A5-AE4D-4A19-A21F-53AD85207466}"/>
    <cellStyle name="Comma 153 5" xfId="5633" xr:uid="{7C8CF185-5C0E-4598-AF1E-683C2DE04806}"/>
    <cellStyle name="Comma 153 5 2" xfId="15985" xr:uid="{5006CAE0-FE32-4534-B69F-B4FC27AF79BF}"/>
    <cellStyle name="Comma 153 6" xfId="10811" xr:uid="{F286C69E-453A-4A91-B81C-F11B4BE4C9A0}"/>
    <cellStyle name="Comma 154" xfId="394" xr:uid="{C7C24095-286D-48C0-96D8-98BC7E527EBA}"/>
    <cellStyle name="Comma 154 2" xfId="1432" xr:uid="{4570560C-6601-4107-8237-4E3DCC81A2FE}"/>
    <cellStyle name="Comma 154 2 2" xfId="3490" xr:uid="{AEAC26ED-68A7-482A-A62E-97F6C909C8B1}"/>
    <cellStyle name="Comma 154 2 2 2" xfId="8723" xr:uid="{C9A304A3-C376-443D-9B4A-67EB32036F6A}"/>
    <cellStyle name="Comma 154 2 2 2 2" xfId="19075" xr:uid="{B962388F-B22E-40ED-ADC7-335BD05155C6}"/>
    <cellStyle name="Comma 154 2 2 3" xfId="13900" xr:uid="{6D206D9C-2AFD-4E65-81FC-6C4C12CA3D7F}"/>
    <cellStyle name="Comma 154 2 3" xfId="6665" xr:uid="{0ABE84B0-BD4B-4E1D-A770-FA837D36284E}"/>
    <cellStyle name="Comma 154 2 3 2" xfId="17017" xr:uid="{323C86CE-D837-47B1-93CB-363650BA5E10}"/>
    <cellStyle name="Comma 154 2 4" xfId="11842" xr:uid="{2D212D09-2950-4618-A820-2C5DBC13D90E}"/>
    <cellStyle name="Comma 154 3" xfId="2460" xr:uid="{764A5A18-4AFD-4C1B-8444-E0082C82F9EA}"/>
    <cellStyle name="Comma 154 3 2" xfId="7693" xr:uid="{90AC5E04-C9D3-47F0-B7C0-35F391A3933A}"/>
    <cellStyle name="Comma 154 3 2 2" xfId="18045" xr:uid="{22163A26-6265-488B-B03F-18A0BA08AA76}"/>
    <cellStyle name="Comma 154 3 3" xfId="12870" xr:uid="{65F6CA4E-BCB3-41C4-A6A7-D0BDAB9C274F}"/>
    <cellStyle name="Comma 154 4" xfId="4586" xr:uid="{922FE9E8-A6CE-4A1C-B9C5-78149F25A236}"/>
    <cellStyle name="Comma 154 4 2" xfId="9762" xr:uid="{9330F0B3-FBCD-4C56-9E84-CAF40B25D7AF}"/>
    <cellStyle name="Comma 154 4 2 2" xfId="20114" xr:uid="{8C81BC85-E1A3-4CD1-959E-1C43C958ED7B}"/>
    <cellStyle name="Comma 154 4 3" xfId="14938" xr:uid="{662941B8-4A6C-4861-B8A4-55E2D654C5D3}"/>
    <cellStyle name="Comma 154 5" xfId="5634" xr:uid="{E4C738AB-5691-4502-B01F-307394F41B77}"/>
    <cellStyle name="Comma 154 5 2" xfId="15986" xr:uid="{8F87DF58-7A86-4FD4-8F56-C08D86821A85}"/>
    <cellStyle name="Comma 154 6" xfId="10812" xr:uid="{D620844D-274E-4C46-83DD-937E92F56C56}"/>
    <cellStyle name="Comma 155" xfId="395" xr:uid="{B621A099-5A24-40AF-8A85-75183EE048ED}"/>
    <cellStyle name="Comma 155 2" xfId="1433" xr:uid="{96391B8E-6716-4874-9959-DB1806020F54}"/>
    <cellStyle name="Comma 155 2 2" xfId="3491" xr:uid="{E4CF8DB8-0496-42F8-8B6F-980CB5441D97}"/>
    <cellStyle name="Comma 155 2 2 2" xfId="8724" xr:uid="{B9AEA143-0693-4B82-804D-0A3F6573A381}"/>
    <cellStyle name="Comma 155 2 2 2 2" xfId="19076" xr:uid="{F7F33A59-AE54-4CEE-B35B-C73B9C292C30}"/>
    <cellStyle name="Comma 155 2 2 3" xfId="13901" xr:uid="{BB89A695-2667-4125-8D4F-C8D80BB91C9E}"/>
    <cellStyle name="Comma 155 2 3" xfId="6666" xr:uid="{050F4679-DFD2-4AC4-AB42-E0EBE1E2F8BF}"/>
    <cellStyle name="Comma 155 2 3 2" xfId="17018" xr:uid="{EBB2D5BB-6B65-4490-B94C-8B6F049B9CBC}"/>
    <cellStyle name="Comma 155 2 4" xfId="11843" xr:uid="{CFDE14C2-7607-47E2-9186-157F08FD7394}"/>
    <cellStyle name="Comma 155 3" xfId="2461" xr:uid="{41C68FD9-D484-4B0C-8373-F1EA312A1DFD}"/>
    <cellStyle name="Comma 155 3 2" xfId="7694" xr:uid="{4A89D74A-79FF-4F56-9A07-E9301E29B7A6}"/>
    <cellStyle name="Comma 155 3 2 2" xfId="18046" xr:uid="{FE6D3F44-4086-4ECE-9F6D-A7250F1E123A}"/>
    <cellStyle name="Comma 155 3 3" xfId="12871" xr:uid="{0B109CA1-1590-4B92-ACC4-B1CCDFF54010}"/>
    <cellStyle name="Comma 155 4" xfId="4587" xr:uid="{530AC2F9-D267-4087-8A6F-C92D13928DFB}"/>
    <cellStyle name="Comma 155 4 2" xfId="9763" xr:uid="{90042DE0-A42C-4078-8340-58F30D87EE9E}"/>
    <cellStyle name="Comma 155 4 2 2" xfId="20115" xr:uid="{653265A2-7F74-46F7-91CE-4CF094B5B247}"/>
    <cellStyle name="Comma 155 4 3" xfId="14939" xr:uid="{BDEDD5EA-B378-4827-94D5-E2C485169D9B}"/>
    <cellStyle name="Comma 155 5" xfId="5635" xr:uid="{0F6B6577-1569-47E8-B443-2F64E60656C7}"/>
    <cellStyle name="Comma 155 5 2" xfId="15987" xr:uid="{1432ADF8-116B-4FBB-8CD8-FCA1C0E9A3C3}"/>
    <cellStyle name="Comma 155 6" xfId="10813" xr:uid="{A2FBEABD-BB35-428B-9D0F-F673E248D4A7}"/>
    <cellStyle name="Comma 156" xfId="396" xr:uid="{ECE4B61B-8182-407F-A0EA-AC33B480890E}"/>
    <cellStyle name="Comma 156 2" xfId="1434" xr:uid="{2F59E761-ED3C-4A5D-BCAF-A7AD7103937E}"/>
    <cellStyle name="Comma 156 2 2" xfId="3492" xr:uid="{AF4DA8F0-4F75-4486-AA9B-CA8BD6CF77A0}"/>
    <cellStyle name="Comma 156 2 2 2" xfId="8725" xr:uid="{828D4A24-8334-43C7-803E-2F31C0506F15}"/>
    <cellStyle name="Comma 156 2 2 2 2" xfId="19077" xr:uid="{8F702E77-5C9B-4AD9-AC82-975BD3AEF898}"/>
    <cellStyle name="Comma 156 2 2 3" xfId="13902" xr:uid="{7648D11D-C8F8-4A7A-BE48-97B1565D5558}"/>
    <cellStyle name="Comma 156 2 3" xfId="6667" xr:uid="{2ED81B5F-B318-4C61-A221-6F7D83E9E520}"/>
    <cellStyle name="Comma 156 2 3 2" xfId="17019" xr:uid="{94D02EE3-7F94-4A1B-9DD5-F23B119BA6A7}"/>
    <cellStyle name="Comma 156 2 4" xfId="11844" xr:uid="{6FFF4269-4EED-4AA1-B916-B20D90E1B979}"/>
    <cellStyle name="Comma 156 3" xfId="2462" xr:uid="{7828DD7F-E0B7-45AF-938C-5343F5DEA4C0}"/>
    <cellStyle name="Comma 156 3 2" xfId="7695" xr:uid="{D9559741-C1DA-4326-AD3C-49C11B9347B3}"/>
    <cellStyle name="Comma 156 3 2 2" xfId="18047" xr:uid="{469893A2-20D4-46B3-8C15-69AD0BCCE9CD}"/>
    <cellStyle name="Comma 156 3 3" xfId="12872" xr:uid="{D4F16B01-9293-46A7-9BAA-C6A5F4967D18}"/>
    <cellStyle name="Comma 156 4" xfId="4588" xr:uid="{9C031A61-6016-4F7F-A6D3-A076DBAE1A60}"/>
    <cellStyle name="Comma 156 4 2" xfId="9764" xr:uid="{B6B75B11-111B-4769-8941-627DBF3B7F2B}"/>
    <cellStyle name="Comma 156 4 2 2" xfId="20116" xr:uid="{12BF4BD2-97D7-4280-8E24-B0D426CFD953}"/>
    <cellStyle name="Comma 156 4 3" xfId="14940" xr:uid="{98C11737-F5AE-48B5-80FF-9E0F2D353822}"/>
    <cellStyle name="Comma 156 5" xfId="5636" xr:uid="{D8A9CE6F-813D-47F9-A31B-67313F256FFA}"/>
    <cellStyle name="Comma 156 5 2" xfId="15988" xr:uid="{5E23D06E-BD94-4C61-B852-6CF1A70F87E8}"/>
    <cellStyle name="Comma 156 6" xfId="10814" xr:uid="{7D3BD91F-2391-4756-844A-88A5EC7CCF09}"/>
    <cellStyle name="Comma 157" xfId="397" xr:uid="{6A451A36-6E3A-4076-9538-DA3831381D2D}"/>
    <cellStyle name="Comma 157 2" xfId="1435" xr:uid="{85F1F659-5A18-4915-9DC0-F8A86EFCA6A4}"/>
    <cellStyle name="Comma 157 2 2" xfId="3493" xr:uid="{12F494C4-C742-4F25-B121-779AC9D1FD85}"/>
    <cellStyle name="Comma 157 2 2 2" xfId="8726" xr:uid="{465089B0-0484-45F5-95FE-0E5AB6445ACB}"/>
    <cellStyle name="Comma 157 2 2 2 2" xfId="19078" xr:uid="{D52DEFD6-CE31-4FA6-A4A9-D3770BE98046}"/>
    <cellStyle name="Comma 157 2 2 3" xfId="13903" xr:uid="{A8AB8795-C285-41F3-AFAF-4BD8EFEBF1BF}"/>
    <cellStyle name="Comma 157 2 3" xfId="6668" xr:uid="{631666F6-3529-4B04-979E-C4DA438FB239}"/>
    <cellStyle name="Comma 157 2 3 2" xfId="17020" xr:uid="{9D37AC76-5187-4FBD-A08F-7B0B0878470F}"/>
    <cellStyle name="Comma 157 2 4" xfId="11845" xr:uid="{7EC5EFED-F155-4C9A-9C7B-EB1B1E66E9BE}"/>
    <cellStyle name="Comma 157 3" xfId="2463" xr:uid="{D0B6621C-8AFC-4EA5-AC9F-C55990B53791}"/>
    <cellStyle name="Comma 157 3 2" xfId="7696" xr:uid="{C5D16B79-34C1-4706-AE20-BB06A3B9B505}"/>
    <cellStyle name="Comma 157 3 2 2" xfId="18048" xr:uid="{49B201FA-0CA6-48D6-9962-4A0306A44149}"/>
    <cellStyle name="Comma 157 3 3" xfId="12873" xr:uid="{C58AB5AA-E25B-4148-B9EB-A6744569B488}"/>
    <cellStyle name="Comma 157 4" xfId="4589" xr:uid="{BDA7F7CE-BDD4-4D9C-ABAB-E7DB4201EC95}"/>
    <cellStyle name="Comma 157 4 2" xfId="9765" xr:uid="{B3E61B9A-A92A-46E1-B4E5-6F6988C871AE}"/>
    <cellStyle name="Comma 157 4 2 2" xfId="20117" xr:uid="{1DFC2D7D-808E-4892-A81E-8F339715B884}"/>
    <cellStyle name="Comma 157 4 3" xfId="14941" xr:uid="{3E4FEC3D-75DD-44F6-9E97-12EA94981B4F}"/>
    <cellStyle name="Comma 157 5" xfId="5637" xr:uid="{56A5EAEE-4E21-42EC-B9EF-47966E2EF702}"/>
    <cellStyle name="Comma 157 5 2" xfId="15989" xr:uid="{1789448F-CE1F-460E-955F-B152D098B723}"/>
    <cellStyle name="Comma 157 6" xfId="10815" xr:uid="{59D072CB-F5B8-4B7D-9309-A68E1BB3EB74}"/>
    <cellStyle name="Comma 158" xfId="398" xr:uid="{FEBB4B36-79AB-4CEA-B59B-8090DF77AFB4}"/>
    <cellStyle name="Comma 158 2" xfId="1436" xr:uid="{5D350438-45E4-40B3-91EA-2BF01772D4DC}"/>
    <cellStyle name="Comma 158 2 2" xfId="3494" xr:uid="{8D3BA3F2-E289-4F5E-89BD-0FAF17D91AC6}"/>
    <cellStyle name="Comma 158 2 2 2" xfId="8727" xr:uid="{A1C3B3CA-74BE-4B9D-827E-D4E59A58DCC2}"/>
    <cellStyle name="Comma 158 2 2 2 2" xfId="19079" xr:uid="{279FE264-6D7E-4E05-B3AF-55C50274DEAF}"/>
    <cellStyle name="Comma 158 2 2 3" xfId="13904" xr:uid="{79C13E5C-7F4D-4422-B191-65B214FA81B8}"/>
    <cellStyle name="Comma 158 2 3" xfId="6669" xr:uid="{1CF99E56-E974-49B9-B551-DFAE45836E98}"/>
    <cellStyle name="Comma 158 2 3 2" xfId="17021" xr:uid="{C1F5255D-1E50-44AB-9A72-2C221B1BD42F}"/>
    <cellStyle name="Comma 158 2 4" xfId="11846" xr:uid="{CFB57677-DC88-484E-B5AE-8307C5AFF379}"/>
    <cellStyle name="Comma 158 3" xfId="2464" xr:uid="{CF8221AD-F420-42AB-B17E-B4B8F1B571FB}"/>
    <cellStyle name="Comma 158 3 2" xfId="7697" xr:uid="{C28705FF-6BA7-476D-85EC-95682E67034D}"/>
    <cellStyle name="Comma 158 3 2 2" xfId="18049" xr:uid="{22648CEE-92EE-4204-81FC-1F7172138F7D}"/>
    <cellStyle name="Comma 158 3 3" xfId="12874" xr:uid="{CF2851F7-27B0-4439-A217-D667397BE24B}"/>
    <cellStyle name="Comma 158 4" xfId="4590" xr:uid="{499D2797-B6FB-4218-94B3-A5304D448D09}"/>
    <cellStyle name="Comma 158 4 2" xfId="9766" xr:uid="{17D4121A-31E7-43D3-9175-5351646B5257}"/>
    <cellStyle name="Comma 158 4 2 2" xfId="20118" xr:uid="{A7FFEEA8-50DE-4D67-9378-5665989D2A07}"/>
    <cellStyle name="Comma 158 4 3" xfId="14942" xr:uid="{3BC2F7C8-2733-4C98-8E4F-7DDC2890245E}"/>
    <cellStyle name="Comma 158 5" xfId="5638" xr:uid="{ADDB2D4C-6AF3-4A62-815F-9ADF4A59222C}"/>
    <cellStyle name="Comma 158 5 2" xfId="15990" xr:uid="{64DBFE17-DD1A-4004-ACD3-E2A0B475168F}"/>
    <cellStyle name="Comma 158 6" xfId="10816" xr:uid="{E812CB7C-F7B5-4C3B-A402-2C41F2D05E0E}"/>
    <cellStyle name="Comma 159" xfId="399" xr:uid="{65C0B75F-279A-4494-A0D3-E37CB7451794}"/>
    <cellStyle name="Comma 159 2" xfId="1437" xr:uid="{B2C3ED91-5B31-47BC-B3F1-D5ADAB75A35C}"/>
    <cellStyle name="Comma 159 2 2" xfId="3495" xr:uid="{F3B353A6-7B5C-490A-86A8-0DF7B9F9371F}"/>
    <cellStyle name="Comma 159 2 2 2" xfId="8728" xr:uid="{7E998AC7-601A-4FBF-A3EE-1D32817E0B82}"/>
    <cellStyle name="Comma 159 2 2 2 2" xfId="19080" xr:uid="{FBD4D2A8-7219-4E64-B46E-0F4CB04F5731}"/>
    <cellStyle name="Comma 159 2 2 3" xfId="13905" xr:uid="{BC0E3963-56BD-4FF1-A570-7B4491919441}"/>
    <cellStyle name="Comma 159 2 3" xfId="6670" xr:uid="{6FC83A47-1441-4F6A-8B38-5AEC80B0587C}"/>
    <cellStyle name="Comma 159 2 3 2" xfId="17022" xr:uid="{CC9DD2B1-71EE-4053-BC0F-D08AA8C1325D}"/>
    <cellStyle name="Comma 159 2 4" xfId="11847" xr:uid="{A14A11A8-8536-40B8-BD9D-E71CBCB39CFA}"/>
    <cellStyle name="Comma 159 3" xfId="2465" xr:uid="{5D14D5AF-B3E5-4B8C-9B16-D1B1BD34D96F}"/>
    <cellStyle name="Comma 159 3 2" xfId="7698" xr:uid="{BD363568-D681-4517-81AB-2AD894A10737}"/>
    <cellStyle name="Comma 159 3 2 2" xfId="18050" xr:uid="{5AE5F567-7989-470B-92AB-C6FA8B56F8E4}"/>
    <cellStyle name="Comma 159 3 3" xfId="12875" xr:uid="{BBC9F01D-740E-4CC3-9049-39633C9D292B}"/>
    <cellStyle name="Comma 159 4" xfId="4591" xr:uid="{23B36A4B-BF8A-4F8B-8C62-9F2B7F22417F}"/>
    <cellStyle name="Comma 159 4 2" xfId="9767" xr:uid="{2C142673-3706-4688-8C22-CC20785E2400}"/>
    <cellStyle name="Comma 159 4 2 2" xfId="20119" xr:uid="{5A561B76-8D22-46B8-9DE1-FF6276CF5495}"/>
    <cellStyle name="Comma 159 4 3" xfId="14943" xr:uid="{75A92434-3127-44B7-AE9D-6CA8C597B4D8}"/>
    <cellStyle name="Comma 159 5" xfId="5639" xr:uid="{0BD3A584-7C4F-4B42-BB20-5096875B7159}"/>
    <cellStyle name="Comma 159 5 2" xfId="15991" xr:uid="{CA48D95C-4591-45C8-B4EC-63CDA22C44D2}"/>
    <cellStyle name="Comma 159 6" xfId="10817" xr:uid="{1CE8F479-64F6-4C7A-9457-F8EE53089AE1}"/>
    <cellStyle name="Comma 16" xfId="208" xr:uid="{6A83BED1-742B-46CF-84B1-183905747827}"/>
    <cellStyle name="Comma 16 2" xfId="1294" xr:uid="{8A757DC5-DE94-4D16-8B94-A27B4443B880}"/>
    <cellStyle name="Comma 16 2 2" xfId="3352" xr:uid="{65B9D9EB-AD89-4EF8-A745-6E80DCB3A5F6}"/>
    <cellStyle name="Comma 16 2 2 2" xfId="8585" xr:uid="{3FE85BF5-5FC5-402C-AB1A-4E2A3DBE3FCC}"/>
    <cellStyle name="Comma 16 2 2 2 2" xfId="18937" xr:uid="{0C38A9BE-F517-40AE-A6EB-4F485FE386B2}"/>
    <cellStyle name="Comma 16 2 2 3" xfId="13762" xr:uid="{C8DB9BF4-3E07-4155-8FB2-EB190E268917}"/>
    <cellStyle name="Comma 16 2 3" xfId="6527" xr:uid="{8B1B4344-945E-4BD9-ACDE-EDA91608CC59}"/>
    <cellStyle name="Comma 16 2 3 2" xfId="16879" xr:uid="{64464246-FF89-4892-91B7-ECDB59F763CB}"/>
    <cellStyle name="Comma 16 2 4" xfId="11704" xr:uid="{02DA99D4-27C8-4C79-85FD-483C2983B904}"/>
    <cellStyle name="Comma 16 3" xfId="2322" xr:uid="{45730948-83FC-4210-A965-B8A19DC3819B}"/>
    <cellStyle name="Comma 16 3 2" xfId="7555" xr:uid="{2640FE43-A8DF-44B7-B63A-9DA3469B3428}"/>
    <cellStyle name="Comma 16 3 2 2" xfId="17907" xr:uid="{DB4CF42A-24DB-432F-B48A-63CE1DE99996}"/>
    <cellStyle name="Comma 16 3 3" xfId="12732" xr:uid="{3740E2A0-4186-4ED2-9636-640CD17F84D0}"/>
    <cellStyle name="Comma 16 4" xfId="4448" xr:uid="{D6536ABC-EB64-43DB-BF0C-FDFCE6F9F3A5}"/>
    <cellStyle name="Comma 16 4 2" xfId="9624" xr:uid="{0E109EF3-BBFC-468A-A933-135E99332945}"/>
    <cellStyle name="Comma 16 4 2 2" xfId="19976" xr:uid="{8187ADB8-93F8-49DA-BD45-062B83A97FB0}"/>
    <cellStyle name="Comma 16 4 3" xfId="14800" xr:uid="{1AD874E8-36FC-49DA-98B1-83A2ED012329}"/>
    <cellStyle name="Comma 16 5" xfId="5496" xr:uid="{6BEAC57F-3078-4DF8-99CD-9C5EF6F36FE0}"/>
    <cellStyle name="Comma 16 5 2" xfId="15848" xr:uid="{280BB7C8-38F1-4D31-B9E2-D91C733240D5}"/>
    <cellStyle name="Comma 16 6" xfId="10674" xr:uid="{4D87CE1D-D519-4D8C-8DAF-5F2D02D2B095}"/>
    <cellStyle name="Comma 160" xfId="400" xr:uid="{4348C1A6-482B-46D7-B74B-D7DA0E1392DB}"/>
    <cellStyle name="Comma 160 2" xfId="1438" xr:uid="{A70F46CA-F9F6-4CFD-AA75-980F50D3B002}"/>
    <cellStyle name="Comma 160 2 2" xfId="3496" xr:uid="{5CC783EB-B447-4552-9687-3781E6F1320E}"/>
    <cellStyle name="Comma 160 2 2 2" xfId="8729" xr:uid="{25A11E14-F7FA-47F2-A25D-058027FB77C1}"/>
    <cellStyle name="Comma 160 2 2 2 2" xfId="19081" xr:uid="{D7780201-98E5-49C9-BF2B-F34488694FE0}"/>
    <cellStyle name="Comma 160 2 2 3" xfId="13906" xr:uid="{E709719F-6AB4-486B-9844-FA1165E7A9E3}"/>
    <cellStyle name="Comma 160 2 3" xfId="6671" xr:uid="{0C2377D4-8A2B-4C2E-8748-4FA29183B9BA}"/>
    <cellStyle name="Comma 160 2 3 2" xfId="17023" xr:uid="{69A44C19-B93C-45A9-B488-13348C0147E0}"/>
    <cellStyle name="Comma 160 2 4" xfId="11848" xr:uid="{F371752C-DEDA-46FC-9DD9-CB03973913BC}"/>
    <cellStyle name="Comma 160 3" xfId="2466" xr:uid="{FE48D40B-1180-44D1-B6AA-607457168EF9}"/>
    <cellStyle name="Comma 160 3 2" xfId="7699" xr:uid="{B9EA5986-D71F-42DC-AF3F-CDB5789EEB0F}"/>
    <cellStyle name="Comma 160 3 2 2" xfId="18051" xr:uid="{55D926E8-41F5-49D1-B72D-75EDD99A9C00}"/>
    <cellStyle name="Comma 160 3 3" xfId="12876" xr:uid="{CBEFE194-EF0F-484D-B387-078E37A5158C}"/>
    <cellStyle name="Comma 160 4" xfId="4592" xr:uid="{33D8436B-0F01-4CFB-ADAA-73500A2DC016}"/>
    <cellStyle name="Comma 160 4 2" xfId="9768" xr:uid="{319651DB-911F-435D-9807-7B3B028E38D2}"/>
    <cellStyle name="Comma 160 4 2 2" xfId="20120" xr:uid="{89660281-A74E-418A-93D6-77228B050800}"/>
    <cellStyle name="Comma 160 4 3" xfId="14944" xr:uid="{7FDD3B64-AD7A-409C-99C2-46E322D69605}"/>
    <cellStyle name="Comma 160 5" xfId="5640" xr:uid="{2F43B816-8352-4040-901D-B2D35B869BAC}"/>
    <cellStyle name="Comma 160 5 2" xfId="15992" xr:uid="{1030ECAE-8010-41D8-9994-E19EECDA42C3}"/>
    <cellStyle name="Comma 160 6" xfId="10818" xr:uid="{0A81FB07-03D4-4C2A-9639-ACF269E327FB}"/>
    <cellStyle name="Comma 161" xfId="401" xr:uid="{26D33544-0929-4842-9084-63422A32B954}"/>
    <cellStyle name="Comma 161 2" xfId="1439" xr:uid="{FDA8DA5B-E251-4D92-9B03-375BD1C01CC2}"/>
    <cellStyle name="Comma 161 2 2" xfId="3497" xr:uid="{9D43C710-3AD5-4D18-A1EC-06D84BB71C61}"/>
    <cellStyle name="Comma 161 2 2 2" xfId="8730" xr:uid="{7838A240-6B6C-4D48-BBD2-9900BC1DAEED}"/>
    <cellStyle name="Comma 161 2 2 2 2" xfId="19082" xr:uid="{AB8E155D-785F-4870-A425-201357C3ADAA}"/>
    <cellStyle name="Comma 161 2 2 3" xfId="13907" xr:uid="{D9F0F59E-DF2B-4A84-806A-37DDE663FC17}"/>
    <cellStyle name="Comma 161 2 3" xfId="6672" xr:uid="{84B63352-18AB-4C45-9BE1-9E56691D7B8F}"/>
    <cellStyle name="Comma 161 2 3 2" xfId="17024" xr:uid="{1A83C620-A343-493F-8EB0-40725709616F}"/>
    <cellStyle name="Comma 161 2 4" xfId="11849" xr:uid="{E6F20718-7917-4B18-9E87-72286290193D}"/>
    <cellStyle name="Comma 161 3" xfId="2467" xr:uid="{7E2BBB61-6B60-42BB-B3D0-2213FFEAD307}"/>
    <cellStyle name="Comma 161 3 2" xfId="7700" xr:uid="{B5F606C5-AE59-4669-B20F-ECF80E6DC4FF}"/>
    <cellStyle name="Comma 161 3 2 2" xfId="18052" xr:uid="{F49B6E43-07A4-4120-AD1A-CB8F6B283B09}"/>
    <cellStyle name="Comma 161 3 3" xfId="12877" xr:uid="{3CDD2EC4-356D-4D13-8FFA-D9685DC935F0}"/>
    <cellStyle name="Comma 161 4" xfId="4593" xr:uid="{66DC479B-9618-496D-9CC5-A20D6EC7D38B}"/>
    <cellStyle name="Comma 161 4 2" xfId="9769" xr:uid="{73CF01D1-A7D5-482F-89DC-986BF1580EE5}"/>
    <cellStyle name="Comma 161 4 2 2" xfId="20121" xr:uid="{E288C5DA-8BC7-4FFE-9C3A-FF642F788E4F}"/>
    <cellStyle name="Comma 161 4 3" xfId="14945" xr:uid="{CD6758AF-D1ED-42BA-A947-3D285A5BC22C}"/>
    <cellStyle name="Comma 161 5" xfId="5641" xr:uid="{2C055400-8083-43FC-B551-236228DDBEF7}"/>
    <cellStyle name="Comma 161 5 2" xfId="15993" xr:uid="{422B9AF8-1EBF-46E0-86EB-5BE158B84FE9}"/>
    <cellStyle name="Comma 161 6" xfId="10819" xr:uid="{265EC218-C104-42F4-949B-C9430D7FBC68}"/>
    <cellStyle name="Comma 162" xfId="402" xr:uid="{1F0EC4C3-45C1-438C-8804-29AAD5909475}"/>
    <cellStyle name="Comma 162 2" xfId="1440" xr:uid="{CA684694-D75D-401F-B5A0-003328142BA1}"/>
    <cellStyle name="Comma 162 2 2" xfId="3498" xr:uid="{EE06DFC1-077E-4B43-A235-D1E527C198F8}"/>
    <cellStyle name="Comma 162 2 2 2" xfId="8731" xr:uid="{8E79A829-B645-40AA-AE77-65E0B26F7CEA}"/>
    <cellStyle name="Comma 162 2 2 2 2" xfId="19083" xr:uid="{F5FEB678-BB2F-4C69-A90D-FEFD8A0148AC}"/>
    <cellStyle name="Comma 162 2 2 3" xfId="13908" xr:uid="{A82BB3C1-10F2-4778-9236-6D974B22BEF9}"/>
    <cellStyle name="Comma 162 2 3" xfId="6673" xr:uid="{8036E2C1-67F2-4CCC-A958-6CC0DC840F01}"/>
    <cellStyle name="Comma 162 2 3 2" xfId="17025" xr:uid="{C28E9125-37F6-4932-9531-8DBEB23F1F2F}"/>
    <cellStyle name="Comma 162 2 4" xfId="11850" xr:uid="{68689C00-D09E-400B-B47A-9C51D800075C}"/>
    <cellStyle name="Comma 162 3" xfId="2468" xr:uid="{C15F2511-1B79-4DA9-AF16-DEAA074B994F}"/>
    <cellStyle name="Comma 162 3 2" xfId="7701" xr:uid="{60210B24-EE09-4ADB-888C-73D0567F49BC}"/>
    <cellStyle name="Comma 162 3 2 2" xfId="18053" xr:uid="{955F635B-359E-42E0-ABBE-5C393EF11584}"/>
    <cellStyle name="Comma 162 3 3" xfId="12878" xr:uid="{CAF3D954-3FC5-4430-8701-97B26E661646}"/>
    <cellStyle name="Comma 162 4" xfId="4594" xr:uid="{D4BC3E9A-CD50-4497-AFE5-EB5DFD0C814E}"/>
    <cellStyle name="Comma 162 4 2" xfId="9770" xr:uid="{E06C3584-987F-4876-B5CB-0B535D91CE1C}"/>
    <cellStyle name="Comma 162 4 2 2" xfId="20122" xr:uid="{2F02E8CE-7E22-484D-9397-02D2623B4B3C}"/>
    <cellStyle name="Comma 162 4 3" xfId="14946" xr:uid="{B8B57C60-BBD0-4850-BE6B-DB965C81E944}"/>
    <cellStyle name="Comma 162 5" xfId="5642" xr:uid="{EE0C72AE-E444-4578-8756-BFC69E02204D}"/>
    <cellStyle name="Comma 162 5 2" xfId="15994" xr:uid="{B44D63D4-5EA3-4D3D-87EF-D88F7F8195AE}"/>
    <cellStyle name="Comma 162 6" xfId="10820" xr:uid="{66EFF8CC-2B30-44A4-90ED-9DE7C522F105}"/>
    <cellStyle name="Comma 163" xfId="403" xr:uid="{AD9464A1-7048-42F8-8145-1FF63EABD42B}"/>
    <cellStyle name="Comma 163 2" xfId="1441" xr:uid="{4A8D080A-A6CC-4512-9C4F-1741048375E7}"/>
    <cellStyle name="Comma 163 2 2" xfId="3499" xr:uid="{6CB77E34-C375-46AF-8A11-40F75AB6EA0D}"/>
    <cellStyle name="Comma 163 2 2 2" xfId="8732" xr:uid="{4A6E8531-E632-444A-8351-70C4603879A0}"/>
    <cellStyle name="Comma 163 2 2 2 2" xfId="19084" xr:uid="{8978FCD2-57BB-4D38-990B-0E5DB0F69530}"/>
    <cellStyle name="Comma 163 2 2 3" xfId="13909" xr:uid="{5ECC99AC-574B-4C14-A2BF-252437ADF37B}"/>
    <cellStyle name="Comma 163 2 3" xfId="6674" xr:uid="{97D9B5D2-27A8-4F42-80CB-AA91D1E24408}"/>
    <cellStyle name="Comma 163 2 3 2" xfId="17026" xr:uid="{7C6B52E3-4E4D-45D9-8A52-DD9B7769C134}"/>
    <cellStyle name="Comma 163 2 4" xfId="11851" xr:uid="{A90A3850-0327-41F6-A9BD-EF176EF508D0}"/>
    <cellStyle name="Comma 163 3" xfId="2469" xr:uid="{18D66DEC-3C1A-4B81-9879-61178EC3F8F2}"/>
    <cellStyle name="Comma 163 3 2" xfId="7702" xr:uid="{A7A7632E-8BFF-4F76-98CC-2B0704458852}"/>
    <cellStyle name="Comma 163 3 2 2" xfId="18054" xr:uid="{D08958D1-E5D4-4FBD-B604-0C54329577D8}"/>
    <cellStyle name="Comma 163 3 3" xfId="12879" xr:uid="{FF780EFC-2461-494A-93CF-5B7C701B2441}"/>
    <cellStyle name="Comma 163 4" xfId="4595" xr:uid="{A85152FA-0ABC-4231-AAC0-5402CD0CD788}"/>
    <cellStyle name="Comma 163 4 2" xfId="9771" xr:uid="{83F354B4-8785-4E97-B46A-FBC57EA72A44}"/>
    <cellStyle name="Comma 163 4 2 2" xfId="20123" xr:uid="{0ACA280F-1009-421F-AC19-82A66F96FDC1}"/>
    <cellStyle name="Comma 163 4 3" xfId="14947" xr:uid="{6B5C5D45-EFC4-4477-B76B-17287E39B66A}"/>
    <cellStyle name="Comma 163 5" xfId="5643" xr:uid="{2983DA95-6DE4-4097-9725-9B67537CE2DA}"/>
    <cellStyle name="Comma 163 5 2" xfId="15995" xr:uid="{C0B284AC-2D60-4D2F-AE0B-6D731CF7B6E7}"/>
    <cellStyle name="Comma 163 6" xfId="10821" xr:uid="{1D957522-E481-43BE-BB09-86D41C450051}"/>
    <cellStyle name="Comma 164" xfId="404" xr:uid="{C57FCB3D-CF99-4DE6-8433-FC3618C08E24}"/>
    <cellStyle name="Comma 164 2" xfId="1442" xr:uid="{B3DB5B76-E467-4534-BBD8-736EEBF55E1E}"/>
    <cellStyle name="Comma 164 2 2" xfId="3500" xr:uid="{3FDAE604-03D4-4609-96DD-A797B7179561}"/>
    <cellStyle name="Comma 164 2 2 2" xfId="8733" xr:uid="{B959AA3E-62BA-4ED0-885E-ED1099B4A30D}"/>
    <cellStyle name="Comma 164 2 2 2 2" xfId="19085" xr:uid="{6FD6E428-C18B-4388-9C32-A5087DA13FE3}"/>
    <cellStyle name="Comma 164 2 2 3" xfId="13910" xr:uid="{54198530-AFE1-4419-B15C-88D068A8C273}"/>
    <cellStyle name="Comma 164 2 3" xfId="6675" xr:uid="{2845DD23-83DF-491B-AB87-C01044E0AD80}"/>
    <cellStyle name="Comma 164 2 3 2" xfId="17027" xr:uid="{B5322A38-FBB7-4F96-96CA-EA5E25E60C3E}"/>
    <cellStyle name="Comma 164 2 4" xfId="11852" xr:uid="{AF6D2896-F10D-4488-937F-CB548CEF6F22}"/>
    <cellStyle name="Comma 164 3" xfId="2470" xr:uid="{C364EA49-2509-4D06-BB57-CB2DC91FAA49}"/>
    <cellStyle name="Comma 164 3 2" xfId="7703" xr:uid="{1D8F8316-64F5-4631-A0E8-5111A620FEC1}"/>
    <cellStyle name="Comma 164 3 2 2" xfId="18055" xr:uid="{054E4AD8-E40F-45F9-801F-FC162023CDB2}"/>
    <cellStyle name="Comma 164 3 3" xfId="12880" xr:uid="{F1BA578C-18FE-4B82-82C7-8FF81B84E54F}"/>
    <cellStyle name="Comma 164 4" xfId="4596" xr:uid="{50917517-1BB8-4B64-B443-A10D9A3922BF}"/>
    <cellStyle name="Comma 164 4 2" xfId="9772" xr:uid="{3B8813ED-C7CD-47FB-B362-D97997F018EB}"/>
    <cellStyle name="Comma 164 4 2 2" xfId="20124" xr:uid="{ED2E5442-4E0A-4181-A8C6-7F4AF4096E84}"/>
    <cellStyle name="Comma 164 4 3" xfId="14948" xr:uid="{4ABFC196-6218-4F7E-B7F3-E1F94F8F5652}"/>
    <cellStyle name="Comma 164 5" xfId="5644" xr:uid="{0EDA02F8-E0CB-43D0-82D6-1232FFC3F6F5}"/>
    <cellStyle name="Comma 164 5 2" xfId="15996" xr:uid="{F2A8585E-F316-411C-BB09-F13B261E1347}"/>
    <cellStyle name="Comma 164 6" xfId="10822" xr:uid="{DB528E8F-E285-4C23-9BA4-86A05A3C9D7E}"/>
    <cellStyle name="Comma 165" xfId="405" xr:uid="{A16DAEB1-B310-49C5-9004-93AEEAC16A76}"/>
    <cellStyle name="Comma 165 2" xfId="1443" xr:uid="{5F4C85F0-5DF2-4506-B9F7-CF7C05AA7D37}"/>
    <cellStyle name="Comma 165 2 2" xfId="3501" xr:uid="{A59B0625-9CA8-4716-ABF7-F613245845C5}"/>
    <cellStyle name="Comma 165 2 2 2" xfId="8734" xr:uid="{90ED4AAC-00BC-480D-A9E4-62D408E14910}"/>
    <cellStyle name="Comma 165 2 2 2 2" xfId="19086" xr:uid="{DE5F88A3-DECB-4A58-8ACD-4BAA7BDDF43F}"/>
    <cellStyle name="Comma 165 2 2 3" xfId="13911" xr:uid="{52641989-BA26-410B-B695-2FC59CBA1216}"/>
    <cellStyle name="Comma 165 2 3" xfId="6676" xr:uid="{38DDA6CF-B860-481E-8930-A2294626C843}"/>
    <cellStyle name="Comma 165 2 3 2" xfId="17028" xr:uid="{82CAEBC5-F9C2-44B9-AB89-540249D42F60}"/>
    <cellStyle name="Comma 165 2 4" xfId="11853" xr:uid="{6D778927-8ACF-4D56-898B-0C5349B50A8F}"/>
    <cellStyle name="Comma 165 3" xfId="2471" xr:uid="{946161B6-7C00-4F8D-A28A-478AF56AECC6}"/>
    <cellStyle name="Comma 165 3 2" xfId="7704" xr:uid="{830BEB44-8945-4F39-8881-7407E43531B0}"/>
    <cellStyle name="Comma 165 3 2 2" xfId="18056" xr:uid="{183F0289-43FD-4FE0-8218-01CB2A06EF9A}"/>
    <cellStyle name="Comma 165 3 3" xfId="12881" xr:uid="{A17ED10E-D55E-4A5B-8239-977C295BCC36}"/>
    <cellStyle name="Comma 165 4" xfId="4597" xr:uid="{8C1F50BF-4365-441C-9F4C-A3C58383C10C}"/>
    <cellStyle name="Comma 165 4 2" xfId="9773" xr:uid="{8118BAD1-EA46-4B9C-85F6-51BDA5B520E7}"/>
    <cellStyle name="Comma 165 4 2 2" xfId="20125" xr:uid="{6EB608B8-A176-43BB-851C-886A253DB75E}"/>
    <cellStyle name="Comma 165 4 3" xfId="14949" xr:uid="{310A71AA-CFFA-42E2-B4F6-C5A882C7413A}"/>
    <cellStyle name="Comma 165 5" xfId="5645" xr:uid="{7641D949-9E72-486F-B954-F6A185859BDE}"/>
    <cellStyle name="Comma 165 5 2" xfId="15997" xr:uid="{9F4630D5-7156-4A50-8883-C6CE27045A30}"/>
    <cellStyle name="Comma 165 6" xfId="10823" xr:uid="{2F110229-ADFB-43A6-A391-5064D2DBB5E0}"/>
    <cellStyle name="Comma 166" xfId="406" xr:uid="{4A2326D8-0DC7-4A16-B1CC-6C40F3A3604F}"/>
    <cellStyle name="Comma 166 2" xfId="1444" xr:uid="{8C9B8D47-2AE0-4B25-B7E0-F587145E3AAE}"/>
    <cellStyle name="Comma 166 2 2" xfId="3502" xr:uid="{58DBABF7-85E8-4DF7-99F0-5709E3B0A204}"/>
    <cellStyle name="Comma 166 2 2 2" xfId="8735" xr:uid="{DF70FA8C-9D99-4AD0-8DDD-BA6C680E022D}"/>
    <cellStyle name="Comma 166 2 2 2 2" xfId="19087" xr:uid="{054CB544-1437-4AAA-A3F5-5C02782AA953}"/>
    <cellStyle name="Comma 166 2 2 3" xfId="13912" xr:uid="{5FD66CAA-3CD0-40BB-A23C-0528212DE1BD}"/>
    <cellStyle name="Comma 166 2 3" xfId="6677" xr:uid="{5344B004-D20A-4E3B-AAAC-EF85C838013E}"/>
    <cellStyle name="Comma 166 2 3 2" xfId="17029" xr:uid="{5C03A2D7-F136-4551-9861-457DF217EF1C}"/>
    <cellStyle name="Comma 166 2 4" xfId="11854" xr:uid="{923A90AD-A1D6-4510-A930-FB5888968DEA}"/>
    <cellStyle name="Comma 166 3" xfId="2472" xr:uid="{97FAE56E-498A-456E-B9D1-4A7D2E3A6A59}"/>
    <cellStyle name="Comma 166 3 2" xfId="7705" xr:uid="{9C661F70-DF8D-4035-8833-DE88337DE521}"/>
    <cellStyle name="Comma 166 3 2 2" xfId="18057" xr:uid="{7554771E-8681-4EF2-B127-BBC63576FC5D}"/>
    <cellStyle name="Comma 166 3 3" xfId="12882" xr:uid="{CFC998E3-34B3-4A3D-A815-0BD9A65721CE}"/>
    <cellStyle name="Comma 166 4" xfId="4598" xr:uid="{BBDE5508-1659-49D6-BC63-660DEA939A33}"/>
    <cellStyle name="Comma 166 4 2" xfId="9774" xr:uid="{6DB8E3CE-A0A2-4723-A5A4-F2E64D63F20F}"/>
    <cellStyle name="Comma 166 4 2 2" xfId="20126" xr:uid="{31AC733D-8FA0-4EFA-9C1C-62B60B460FB9}"/>
    <cellStyle name="Comma 166 4 3" xfId="14950" xr:uid="{0F0F3313-20AD-4DF6-9049-0D1EAF348FE2}"/>
    <cellStyle name="Comma 166 5" xfId="5646" xr:uid="{8BC38C0C-4FC8-4553-8687-C006436CDC60}"/>
    <cellStyle name="Comma 166 5 2" xfId="15998" xr:uid="{A4BBCE27-7ABA-4DD1-9B6E-F6CB433731CC}"/>
    <cellStyle name="Comma 166 6" xfId="10824" xr:uid="{42A7FAEC-4DD2-4ACB-956C-A4CC98AF6AFC}"/>
    <cellStyle name="Comma 167" xfId="407" xr:uid="{B44C368E-B726-4C72-8F87-B40C59ABE9A5}"/>
    <cellStyle name="Comma 167 2" xfId="1445" xr:uid="{33BE6CC2-8659-4DA4-A45C-423876508D14}"/>
    <cellStyle name="Comma 167 2 2" xfId="3503" xr:uid="{D1D39503-17F6-4749-8C9F-0A10E6E40056}"/>
    <cellStyle name="Comma 167 2 2 2" xfId="8736" xr:uid="{680E4261-EB10-405A-9BDC-5613F57C4080}"/>
    <cellStyle name="Comma 167 2 2 2 2" xfId="19088" xr:uid="{42262D87-2084-4CC2-97F6-C2E15D06F3E3}"/>
    <cellStyle name="Comma 167 2 2 3" xfId="13913" xr:uid="{42FAA3A9-C5FA-4279-89C4-2BF9336D9986}"/>
    <cellStyle name="Comma 167 2 3" xfId="6678" xr:uid="{A0549550-6CBD-4D5C-89C1-F9B024FDF8EC}"/>
    <cellStyle name="Comma 167 2 3 2" xfId="17030" xr:uid="{408FB582-5EDD-42BC-9076-08FD43ECEA54}"/>
    <cellStyle name="Comma 167 2 4" xfId="11855" xr:uid="{EA86AE36-DABE-45B8-A218-F61DCD904180}"/>
    <cellStyle name="Comma 167 3" xfId="2473" xr:uid="{72941A52-2961-407E-8621-89ED1AAC24E4}"/>
    <cellStyle name="Comma 167 3 2" xfId="7706" xr:uid="{3A0D8EB1-68B0-46FE-9F4F-2B13B41D6876}"/>
    <cellStyle name="Comma 167 3 2 2" xfId="18058" xr:uid="{3624AC4D-2495-4455-B0F3-1D4442D1E31C}"/>
    <cellStyle name="Comma 167 3 3" xfId="12883" xr:uid="{4211F403-F69B-493B-A5A1-D8B1F91C99E9}"/>
    <cellStyle name="Comma 167 4" xfId="4599" xr:uid="{C61C5E03-6C18-4D63-8AA4-3C2B95802A75}"/>
    <cellStyle name="Comma 167 4 2" xfId="9775" xr:uid="{9EA25C52-3B74-41DB-A0A5-DA9BB276575A}"/>
    <cellStyle name="Comma 167 4 2 2" xfId="20127" xr:uid="{5AD24950-2364-4010-BC46-97A225416772}"/>
    <cellStyle name="Comma 167 4 3" xfId="14951" xr:uid="{4C110B7A-9163-40F1-B08A-FD6CAAE213DB}"/>
    <cellStyle name="Comma 167 5" xfId="5647" xr:uid="{CFEEB066-68A6-47C0-B834-782476EC736A}"/>
    <cellStyle name="Comma 167 5 2" xfId="15999" xr:uid="{0A5940B2-5429-443C-8DD7-461F7E4CC10A}"/>
    <cellStyle name="Comma 167 6" xfId="10825" xr:uid="{670F74E1-F631-4C2D-8402-95929059EF68}"/>
    <cellStyle name="Comma 168" xfId="408" xr:uid="{E87BE9B8-4666-4240-8259-279FB4350B7E}"/>
    <cellStyle name="Comma 168 2" xfId="1446" xr:uid="{6A56D49D-4F10-45E1-A33D-DA09690EE5AC}"/>
    <cellStyle name="Comma 168 2 2" xfId="3504" xr:uid="{B9CB493B-9B96-408F-8031-011448D02316}"/>
    <cellStyle name="Comma 168 2 2 2" xfId="8737" xr:uid="{DB05AE5C-F4DC-4E6B-8853-6AF9CFBE0D52}"/>
    <cellStyle name="Comma 168 2 2 2 2" xfId="19089" xr:uid="{C947D90A-B921-4FEB-8061-C1146138158F}"/>
    <cellStyle name="Comma 168 2 2 3" xfId="13914" xr:uid="{8E46FD9A-6AE1-4F18-94BA-F45DE03ACBE5}"/>
    <cellStyle name="Comma 168 2 3" xfId="6679" xr:uid="{FC6B84C8-BE9F-4EA6-803C-50BFC1929E4E}"/>
    <cellStyle name="Comma 168 2 3 2" xfId="17031" xr:uid="{487BF4B8-8AE8-4F16-A848-DD75CEB633BA}"/>
    <cellStyle name="Comma 168 2 4" xfId="11856" xr:uid="{E776B555-9ED0-4280-B367-F4BCCFF3EF93}"/>
    <cellStyle name="Comma 168 3" xfId="2474" xr:uid="{A9307903-523B-4898-B4F8-FF9D8E02B2CA}"/>
    <cellStyle name="Comma 168 3 2" xfId="7707" xr:uid="{9C78E2D0-B738-465A-A94E-D22C95AECF5C}"/>
    <cellStyle name="Comma 168 3 2 2" xfId="18059" xr:uid="{DCE902D5-BE2E-4C3C-BB5F-101CFE35BD08}"/>
    <cellStyle name="Comma 168 3 3" xfId="12884" xr:uid="{D8ECF132-1FD5-4B5B-ACAB-46D74B8D2F0C}"/>
    <cellStyle name="Comma 168 4" xfId="4600" xr:uid="{89304B31-6B1B-4CEE-9997-FFB0A8705183}"/>
    <cellStyle name="Comma 168 4 2" xfId="9776" xr:uid="{7F5198FC-F043-43B1-BB51-CE3B5CDE99B8}"/>
    <cellStyle name="Comma 168 4 2 2" xfId="20128" xr:uid="{F543AF7B-0A85-4140-A07A-54A26F5E34E6}"/>
    <cellStyle name="Comma 168 4 3" xfId="14952" xr:uid="{99830A2A-E6E8-4EA5-9610-AFEBA5D046AB}"/>
    <cellStyle name="Comma 168 5" xfId="5648" xr:uid="{6FC313FD-2DA7-45A7-A2B1-12D22E5DC8EC}"/>
    <cellStyle name="Comma 168 5 2" xfId="16000" xr:uid="{D29FCC3B-0AE0-44AD-B74E-11671ED0EB82}"/>
    <cellStyle name="Comma 168 6" xfId="10826" xr:uid="{00A617DB-9044-47D8-A7F6-B07EB39C2612}"/>
    <cellStyle name="Comma 169" xfId="409" xr:uid="{41A77D2F-F94C-48D3-9F7B-5AE6F81C32D1}"/>
    <cellStyle name="Comma 169 2" xfId="1447" xr:uid="{2B1E4C23-D24E-4E7E-9821-B4602209413D}"/>
    <cellStyle name="Comma 169 2 2" xfId="3505" xr:uid="{5BA1DA55-C568-4EF1-B71E-46E2A34E3180}"/>
    <cellStyle name="Comma 169 2 2 2" xfId="8738" xr:uid="{806A912B-4046-44E7-ADA0-09D9BECEA0C8}"/>
    <cellStyle name="Comma 169 2 2 2 2" xfId="19090" xr:uid="{06CD7D91-A879-4A5D-996A-179DB01F6643}"/>
    <cellStyle name="Comma 169 2 2 3" xfId="13915" xr:uid="{D679EBFB-B31E-4738-8BD4-8E0532FC0855}"/>
    <cellStyle name="Comma 169 2 3" xfId="6680" xr:uid="{A02572EA-BF1A-4F5B-90B5-C947474EBEFE}"/>
    <cellStyle name="Comma 169 2 3 2" xfId="17032" xr:uid="{072FE774-B33E-42A1-92A5-E4DA8E7689E1}"/>
    <cellStyle name="Comma 169 2 4" xfId="11857" xr:uid="{4A152341-EBC6-46ED-93B5-5C9BA12B6530}"/>
    <cellStyle name="Comma 169 3" xfId="2475" xr:uid="{ECE35866-FA57-4C30-B12A-9310B2D88C17}"/>
    <cellStyle name="Comma 169 3 2" xfId="7708" xr:uid="{CFBA09F8-B832-457F-8B44-A2B314936CB7}"/>
    <cellStyle name="Comma 169 3 2 2" xfId="18060" xr:uid="{B45F982E-5B27-48F9-BD9D-940E27A76534}"/>
    <cellStyle name="Comma 169 3 3" xfId="12885" xr:uid="{40847F5B-970A-4424-942A-BFFBA5ED4CEB}"/>
    <cellStyle name="Comma 169 4" xfId="4601" xr:uid="{1E21516F-57FD-42F8-82C9-BCC35EE674AB}"/>
    <cellStyle name="Comma 169 4 2" xfId="9777" xr:uid="{8AEADEA9-4A02-4259-9411-701F3C3A7A65}"/>
    <cellStyle name="Comma 169 4 2 2" xfId="20129" xr:uid="{38CA86A3-0E61-4DED-8F53-DEE81BC68EE8}"/>
    <cellStyle name="Comma 169 4 3" xfId="14953" xr:uid="{6D0CFEF7-78FC-4389-BEB8-E570B2C7CE37}"/>
    <cellStyle name="Comma 169 5" xfId="5649" xr:uid="{B8A4997D-B01C-4095-979B-7CEAC49CE060}"/>
    <cellStyle name="Comma 169 5 2" xfId="16001" xr:uid="{1D6E6E42-AC78-48A3-A734-0463F50C3C89}"/>
    <cellStyle name="Comma 169 6" xfId="10827" xr:uid="{C0CA3370-C5CB-4D2E-90D5-C48756490F75}"/>
    <cellStyle name="Comma 17" xfId="209" xr:uid="{E3FF7813-7003-4BE9-BD3E-5DE8CA1A5106}"/>
    <cellStyle name="Comma 17 2" xfId="1295" xr:uid="{66D7C4A4-325C-4CE4-8E1E-D69923E40675}"/>
    <cellStyle name="Comma 17 2 2" xfId="3353" xr:uid="{0A1834AF-0DDE-4EF7-BD22-AD444128F8DE}"/>
    <cellStyle name="Comma 17 2 2 2" xfId="8586" xr:uid="{7A95A9BE-F687-4C12-98D7-2F28265DF077}"/>
    <cellStyle name="Comma 17 2 2 2 2" xfId="18938" xr:uid="{EE01B8C3-3994-4C15-B9BA-7F5AC34F7C75}"/>
    <cellStyle name="Comma 17 2 2 3" xfId="13763" xr:uid="{8516005E-AB8D-45F0-9920-B4891A60B5A5}"/>
    <cellStyle name="Comma 17 2 3" xfId="6528" xr:uid="{F473859B-CE29-4500-A559-C395A845FB57}"/>
    <cellStyle name="Comma 17 2 3 2" xfId="16880" xr:uid="{AD8C1324-B95C-407B-B47A-8B1D50DE0E7B}"/>
    <cellStyle name="Comma 17 2 4" xfId="11705" xr:uid="{0D43F678-2101-414A-A775-0070BA2F28A5}"/>
    <cellStyle name="Comma 17 3" xfId="2323" xr:uid="{B854EA55-BBF8-4E25-9005-52C935484784}"/>
    <cellStyle name="Comma 17 3 2" xfId="7556" xr:uid="{53491BF8-99F6-4EBF-9DC1-7006DAD86442}"/>
    <cellStyle name="Comma 17 3 2 2" xfId="17908" xr:uid="{4710901E-F184-4E66-A429-2DC29E5BD953}"/>
    <cellStyle name="Comma 17 3 3" xfId="12733" xr:uid="{D22DEAB3-F50E-40C2-BA40-EF2F2CEF44F6}"/>
    <cellStyle name="Comma 17 4" xfId="4449" xr:uid="{C55DDF09-8147-4925-B837-524BBB0BC4D3}"/>
    <cellStyle name="Comma 17 4 2" xfId="9625" xr:uid="{6058D052-5AC7-4459-B7EF-BD0C016918D1}"/>
    <cellStyle name="Comma 17 4 2 2" xfId="19977" xr:uid="{AB41D162-1EF1-47A7-92BE-D91E239C84BB}"/>
    <cellStyle name="Comma 17 4 3" xfId="14801" xr:uid="{7BCE06C4-6AAE-416A-800B-20A17BA7B413}"/>
    <cellStyle name="Comma 17 5" xfId="5497" xr:uid="{B89C00C7-FC6A-4DE7-9E87-42C6EBDA8AFD}"/>
    <cellStyle name="Comma 17 5 2" xfId="15849" xr:uid="{65ADCBBB-0A81-411C-B634-997D1AF06FEB}"/>
    <cellStyle name="Comma 17 6" xfId="10675" xr:uid="{36EDFB2D-6518-40FE-81B2-4047FFAABAAC}"/>
    <cellStyle name="Comma 170" xfId="410" xr:uid="{F976BF4C-7598-4835-BE0C-8BF6FDB196FC}"/>
    <cellStyle name="Comma 170 2" xfId="1448" xr:uid="{BDB111FC-B6BB-462A-B607-52528B575BF7}"/>
    <cellStyle name="Comma 170 2 2" xfId="3506" xr:uid="{528CC52D-797C-4E57-87BC-3C24FB5637DC}"/>
    <cellStyle name="Comma 170 2 2 2" xfId="8739" xr:uid="{1D3940E8-A944-43F1-B6C9-213260776B7C}"/>
    <cellStyle name="Comma 170 2 2 2 2" xfId="19091" xr:uid="{B75F4AFF-790D-4627-8F66-9EADBAAC816D}"/>
    <cellStyle name="Comma 170 2 2 3" xfId="13916" xr:uid="{3C0A1443-D64C-465D-BB9D-F37DA38C139D}"/>
    <cellStyle name="Comma 170 2 3" xfId="6681" xr:uid="{E8D422AA-BCE8-49A8-90AE-01C141008BA3}"/>
    <cellStyle name="Comma 170 2 3 2" xfId="17033" xr:uid="{486B7500-F781-428C-B9AA-10E4BA474FCD}"/>
    <cellStyle name="Comma 170 2 4" xfId="11858" xr:uid="{4B5B3835-45A3-40E4-ACF6-D6B45B43C1AC}"/>
    <cellStyle name="Comma 170 3" xfId="2476" xr:uid="{8A9150D6-97DA-46E6-B21D-BBFFB616F2EF}"/>
    <cellStyle name="Comma 170 3 2" xfId="7709" xr:uid="{B5512790-8D41-468D-AE85-90A5D9CEB472}"/>
    <cellStyle name="Comma 170 3 2 2" xfId="18061" xr:uid="{56DB9903-3B15-4EA3-AFF0-969B526EC623}"/>
    <cellStyle name="Comma 170 3 3" xfId="12886" xr:uid="{C4188EB5-028D-45A5-B395-6D2CA1702268}"/>
    <cellStyle name="Comma 170 4" xfId="4602" xr:uid="{B971D1B6-07F4-4862-B011-1A64B0E374A3}"/>
    <cellStyle name="Comma 170 4 2" xfId="9778" xr:uid="{BC096762-0895-467D-A0ED-EEBD34C76F6B}"/>
    <cellStyle name="Comma 170 4 2 2" xfId="20130" xr:uid="{3EB2570A-A945-48A8-9C36-1A2DC90D1D0D}"/>
    <cellStyle name="Comma 170 4 3" xfId="14954" xr:uid="{E2D9277F-B0CB-4A8E-8560-7605EC5F317C}"/>
    <cellStyle name="Comma 170 5" xfId="5650" xr:uid="{709E85AD-E1B7-44CF-B11A-AFEF31F6E325}"/>
    <cellStyle name="Comma 170 5 2" xfId="16002" xr:uid="{63244E1A-059C-4FA8-9918-E0E218F4A5B2}"/>
    <cellStyle name="Comma 170 6" xfId="10828" xr:uid="{B0E814D1-959F-4CA8-82D7-00584816629E}"/>
    <cellStyle name="Comma 171" xfId="411" xr:uid="{95951440-B75C-4077-A009-37ED552AC853}"/>
    <cellStyle name="Comma 171 2" xfId="1449" xr:uid="{5078F5C5-249E-41D3-A23F-1C72AAB8260E}"/>
    <cellStyle name="Comma 171 2 2" xfId="3507" xr:uid="{7CF15402-C8D4-4B25-9F28-67DBC4FB1A0C}"/>
    <cellStyle name="Comma 171 2 2 2" xfId="8740" xr:uid="{BFC1DDF8-BAD7-4EB8-A8E8-C22E3985DAE2}"/>
    <cellStyle name="Comma 171 2 2 2 2" xfId="19092" xr:uid="{B103D1F6-2C72-4D28-ACD1-0285CD241022}"/>
    <cellStyle name="Comma 171 2 2 3" xfId="13917" xr:uid="{3F7544FB-3485-4731-8BC3-286FEE514988}"/>
    <cellStyle name="Comma 171 2 3" xfId="6682" xr:uid="{F32C3DBE-1623-4594-9442-BFA8F3E500BB}"/>
    <cellStyle name="Comma 171 2 3 2" xfId="17034" xr:uid="{0BD849DC-69F8-4E00-9911-76A8C0B8CC1C}"/>
    <cellStyle name="Comma 171 2 4" xfId="11859" xr:uid="{BC0861FF-AC0D-4C61-99AD-A3DE1ED1ABD6}"/>
    <cellStyle name="Comma 171 3" xfId="2477" xr:uid="{11C14C3B-F9CC-44D8-BFA1-E0B81FC81A9C}"/>
    <cellStyle name="Comma 171 3 2" xfId="7710" xr:uid="{D52A1BF3-1B50-4F72-93F2-09518D60D79F}"/>
    <cellStyle name="Comma 171 3 2 2" xfId="18062" xr:uid="{28D642F3-FAA0-4DDA-B961-85478FE9B0BE}"/>
    <cellStyle name="Comma 171 3 3" xfId="12887" xr:uid="{6F3C726B-7232-405D-822C-363B20089505}"/>
    <cellStyle name="Comma 171 4" xfId="4603" xr:uid="{BA5479FA-5FAA-4CBD-9365-2CA397BB33E9}"/>
    <cellStyle name="Comma 171 4 2" xfId="9779" xr:uid="{2A8FAFB4-19FE-4387-A80F-B89CF3499B85}"/>
    <cellStyle name="Comma 171 4 2 2" xfId="20131" xr:uid="{EEACF715-32D4-4607-8097-9F58691A759D}"/>
    <cellStyle name="Comma 171 4 3" xfId="14955" xr:uid="{01129688-835C-4F63-88FF-BACA9C6E3C8F}"/>
    <cellStyle name="Comma 171 5" xfId="5651" xr:uid="{962E1469-1DF8-408D-917E-1BEB5E6466A1}"/>
    <cellStyle name="Comma 171 5 2" xfId="16003" xr:uid="{E49DF7EF-93E9-44AC-920F-D449BD1B568F}"/>
    <cellStyle name="Comma 171 6" xfId="10829" xr:uid="{E0EBE228-EADC-40BA-B7AB-2DE5A2681EA8}"/>
    <cellStyle name="Comma 172" xfId="412" xr:uid="{0F038FFF-E45E-436B-9F93-AAA8304BA5C6}"/>
    <cellStyle name="Comma 172 2" xfId="1450" xr:uid="{2C10EADA-E6B7-4220-A477-94CC881E627B}"/>
    <cellStyle name="Comma 172 2 2" xfId="3508" xr:uid="{2940AD4B-1831-42D8-9614-9874E1F5BB30}"/>
    <cellStyle name="Comma 172 2 2 2" xfId="8741" xr:uid="{63E29EA8-8058-4CAB-BD12-317945A162ED}"/>
    <cellStyle name="Comma 172 2 2 2 2" xfId="19093" xr:uid="{8A68BBE4-81A9-48BF-BD03-41A4FA9247F1}"/>
    <cellStyle name="Comma 172 2 2 3" xfId="13918" xr:uid="{4F617FA1-31B3-4B58-8F29-6D014048F8E9}"/>
    <cellStyle name="Comma 172 2 3" xfId="6683" xr:uid="{2C4C7008-EA90-4DFB-84B6-BBDC77072D50}"/>
    <cellStyle name="Comma 172 2 3 2" xfId="17035" xr:uid="{23BC8313-BCA8-483A-875D-C45676B7B8A4}"/>
    <cellStyle name="Comma 172 2 4" xfId="11860" xr:uid="{1FA5C578-122F-49E8-B607-00D05C134BB0}"/>
    <cellStyle name="Comma 172 3" xfId="2478" xr:uid="{CB06391A-9B59-4070-93C8-A0BAB6BE60B3}"/>
    <cellStyle name="Comma 172 3 2" xfId="7711" xr:uid="{03DA707A-A64F-4117-8431-E175D99FDACA}"/>
    <cellStyle name="Comma 172 3 2 2" xfId="18063" xr:uid="{EA3B0A52-5697-4EC4-9267-16239F91758C}"/>
    <cellStyle name="Comma 172 3 3" xfId="12888" xr:uid="{7FC680A1-F943-42B0-B336-688CBBC76E82}"/>
    <cellStyle name="Comma 172 4" xfId="4604" xr:uid="{581E630E-59C1-4C1F-8B82-2B89B2AC4324}"/>
    <cellStyle name="Comma 172 4 2" xfId="9780" xr:uid="{D1CB7961-6DD0-42A5-AABE-5711FD884158}"/>
    <cellStyle name="Comma 172 4 2 2" xfId="20132" xr:uid="{90AC285A-C27C-4455-A966-432EBABFB204}"/>
    <cellStyle name="Comma 172 4 3" xfId="14956" xr:uid="{74B71FEE-83B3-42A9-8F6C-6D0312391043}"/>
    <cellStyle name="Comma 172 5" xfId="5652" xr:uid="{5659695C-C577-4EC6-ACFD-947D517010ED}"/>
    <cellStyle name="Comma 172 5 2" xfId="16004" xr:uid="{FA38765B-11F5-4DAE-8FAB-74543BD66852}"/>
    <cellStyle name="Comma 172 6" xfId="10830" xr:uid="{90D3FD33-4B82-484A-A386-DD9DB03B1AD2}"/>
    <cellStyle name="Comma 173" xfId="413" xr:uid="{4B73108A-7699-4B09-9FB6-57EEF8097FFD}"/>
    <cellStyle name="Comma 173 2" xfId="1451" xr:uid="{A7E011C8-0A05-4066-B645-71A3366CCAD0}"/>
    <cellStyle name="Comma 173 2 2" xfId="3509" xr:uid="{34FDF874-CAA5-45D6-8DAD-B0616DE67D21}"/>
    <cellStyle name="Comma 173 2 2 2" xfId="8742" xr:uid="{917CEBE2-6BB8-4DFA-A7DF-60690076810B}"/>
    <cellStyle name="Comma 173 2 2 2 2" xfId="19094" xr:uid="{52537470-C415-44B8-AD4D-D224AC595CCA}"/>
    <cellStyle name="Comma 173 2 2 3" xfId="13919" xr:uid="{F9BB7AA9-2953-4D97-A547-E1DCFE211697}"/>
    <cellStyle name="Comma 173 2 3" xfId="6684" xr:uid="{9A77EC4C-CCEB-4F09-99B8-E8573C58B55B}"/>
    <cellStyle name="Comma 173 2 3 2" xfId="17036" xr:uid="{8BF8B7E8-62A7-42ED-830D-7276B5A9E117}"/>
    <cellStyle name="Comma 173 2 4" xfId="11861" xr:uid="{2CA8CE52-0492-4ADA-B959-0359FFDBA895}"/>
    <cellStyle name="Comma 173 3" xfId="2479" xr:uid="{9366028F-EEB6-4264-85DF-EFBC834CC3D3}"/>
    <cellStyle name="Comma 173 3 2" xfId="7712" xr:uid="{6D0DBF8B-F041-47CE-A9A1-7B9F1EE40061}"/>
    <cellStyle name="Comma 173 3 2 2" xfId="18064" xr:uid="{25A16296-A617-4597-B3C6-BFD672A957B9}"/>
    <cellStyle name="Comma 173 3 3" xfId="12889" xr:uid="{544D6278-88D5-418C-B7BC-67814769C1F6}"/>
    <cellStyle name="Comma 173 4" xfId="4605" xr:uid="{9E02DA1A-C81F-411B-AE5B-3F679077674E}"/>
    <cellStyle name="Comma 173 4 2" xfId="9781" xr:uid="{3C679C3E-0A2F-429F-B849-537570BC971A}"/>
    <cellStyle name="Comma 173 4 2 2" xfId="20133" xr:uid="{2BD8E51A-A5DD-4B78-B3D5-AAB52EC1FC44}"/>
    <cellStyle name="Comma 173 4 3" xfId="14957" xr:uid="{50223DA5-4F75-40DA-9330-65B542B6AB04}"/>
    <cellStyle name="Comma 173 5" xfId="5653" xr:uid="{7F021514-AA6E-4309-B5F9-9E01E0E90FA3}"/>
    <cellStyle name="Comma 173 5 2" xfId="16005" xr:uid="{566BAC73-C03F-4513-BA1B-DB179EE793B8}"/>
    <cellStyle name="Comma 173 6" xfId="10831" xr:uid="{66420BBB-34E8-4A4A-A7DB-875F6CACF319}"/>
    <cellStyle name="Comma 174" xfId="414" xr:uid="{9DEE1AE3-2B34-4A14-A60F-DC312AFA5907}"/>
    <cellStyle name="Comma 174 2" xfId="1452" xr:uid="{A9D481A6-CECB-4340-AE63-5AA67F180424}"/>
    <cellStyle name="Comma 174 2 2" xfId="3510" xr:uid="{D30DA948-D130-4344-B7A2-69A9BDC09D19}"/>
    <cellStyle name="Comma 174 2 2 2" xfId="8743" xr:uid="{F2F5A60A-6712-483D-8C6D-7432F38202C8}"/>
    <cellStyle name="Comma 174 2 2 2 2" xfId="19095" xr:uid="{85091EE3-9FAE-4951-95A4-516F95512FD3}"/>
    <cellStyle name="Comma 174 2 2 3" xfId="13920" xr:uid="{5AECC3B7-27D2-46E3-98D4-976BFB32DBEC}"/>
    <cellStyle name="Comma 174 2 3" xfId="6685" xr:uid="{A123C126-FAD1-4007-91DD-FB13028B4CA7}"/>
    <cellStyle name="Comma 174 2 3 2" xfId="17037" xr:uid="{C2915271-B52A-42F0-99A5-5373718FC7D5}"/>
    <cellStyle name="Comma 174 2 4" xfId="11862" xr:uid="{D2D51E22-DE91-4497-8F33-88E7074A0DCC}"/>
    <cellStyle name="Comma 174 3" xfId="2480" xr:uid="{BB69AA3E-7B11-45AE-90E3-4F0B4E90E612}"/>
    <cellStyle name="Comma 174 3 2" xfId="7713" xr:uid="{40ADC103-E092-4A99-8405-AFE862B18F55}"/>
    <cellStyle name="Comma 174 3 2 2" xfId="18065" xr:uid="{350E7E62-ECBD-4174-A4E9-121AED5FAD2C}"/>
    <cellStyle name="Comma 174 3 3" xfId="12890" xr:uid="{1AE86C29-B054-4BFB-A7C5-0920EA7B0E93}"/>
    <cellStyle name="Comma 174 4" xfId="4606" xr:uid="{541E998C-C5EE-483B-A62D-BA517EBF7C5D}"/>
    <cellStyle name="Comma 174 4 2" xfId="9782" xr:uid="{68AABBC2-AE4E-42E6-9FEA-3A608BFDE051}"/>
    <cellStyle name="Comma 174 4 2 2" xfId="20134" xr:uid="{132355DD-2683-41F9-98FF-2222C789C0C0}"/>
    <cellStyle name="Comma 174 4 3" xfId="14958" xr:uid="{FAD92599-36FF-43EC-96FE-0981B6873DCA}"/>
    <cellStyle name="Comma 174 5" xfId="5654" xr:uid="{D8A6FF13-48FB-4A66-AD82-866D2AE0B526}"/>
    <cellStyle name="Comma 174 5 2" xfId="16006" xr:uid="{8443DDF0-0B79-46D0-9B87-7C5758E4192B}"/>
    <cellStyle name="Comma 174 6" xfId="10832" xr:uid="{510B3F09-CCF9-4097-BD0F-14E477D6FD54}"/>
    <cellStyle name="Comma 175" xfId="415" xr:uid="{EB707AFF-C99A-4869-B056-FEF7AB7987F2}"/>
    <cellStyle name="Comma 175 2" xfId="1453" xr:uid="{222BF792-5EB3-48E7-AB08-3598256AF106}"/>
    <cellStyle name="Comma 175 2 2" xfId="3511" xr:uid="{C8A689D2-BC0A-4193-87A0-4CFF496DE34E}"/>
    <cellStyle name="Comma 175 2 2 2" xfId="8744" xr:uid="{FFE7EFAC-7228-4E6C-8B06-5B06E219D964}"/>
    <cellStyle name="Comma 175 2 2 2 2" xfId="19096" xr:uid="{64CC2FAC-3450-49FF-B3F7-F3A3F6F8ED93}"/>
    <cellStyle name="Comma 175 2 2 3" xfId="13921" xr:uid="{82B77179-2190-4ACF-819E-EAAF03ED8FE8}"/>
    <cellStyle name="Comma 175 2 3" xfId="6686" xr:uid="{83739AB0-22AE-4C9B-868C-44DE3D900CF0}"/>
    <cellStyle name="Comma 175 2 3 2" xfId="17038" xr:uid="{577BB67D-02B6-4C20-9160-7527D4E54AFC}"/>
    <cellStyle name="Comma 175 2 4" xfId="11863" xr:uid="{C5B5D74F-5F84-4493-A660-149E786CFDE8}"/>
    <cellStyle name="Comma 175 3" xfId="2481" xr:uid="{8B40AC14-3B5A-4163-B5BC-B65C233E9042}"/>
    <cellStyle name="Comma 175 3 2" xfId="7714" xr:uid="{C9E8D8D9-4E67-4422-A846-2E9E7652BC8E}"/>
    <cellStyle name="Comma 175 3 2 2" xfId="18066" xr:uid="{C1BB4A9C-9783-419C-B41D-0B68021D3A37}"/>
    <cellStyle name="Comma 175 3 3" xfId="12891" xr:uid="{D02117B8-CD7B-48BB-A5DD-90A04E0D667B}"/>
    <cellStyle name="Comma 175 4" xfId="4607" xr:uid="{3BD4FFEF-EA33-40FB-B529-1E6313743DC5}"/>
    <cellStyle name="Comma 175 4 2" xfId="9783" xr:uid="{5CFCC8E4-2AD9-47D0-A73F-6E9B61466D28}"/>
    <cellStyle name="Comma 175 4 2 2" xfId="20135" xr:uid="{6A72CD23-AC11-42D9-AADB-C8E68062F0C9}"/>
    <cellStyle name="Comma 175 4 3" xfId="14959" xr:uid="{E4EDE440-42DD-477D-9EA8-92CCF5454D99}"/>
    <cellStyle name="Comma 175 5" xfId="5655" xr:uid="{97843A4D-EADD-473A-8D4F-E43D07712EEA}"/>
    <cellStyle name="Comma 175 5 2" xfId="16007" xr:uid="{AA458546-C0BC-4C0A-9367-DEB278379DDB}"/>
    <cellStyle name="Comma 175 6" xfId="10833" xr:uid="{DFBABB9E-E747-4840-84E0-F906B06DA29C}"/>
    <cellStyle name="Comma 176" xfId="416" xr:uid="{A2A5FF94-62B1-4382-A4A8-8A1A9419B437}"/>
    <cellStyle name="Comma 176 2" xfId="1454" xr:uid="{5BE811E8-5549-4BF3-AC35-8C233C7E23E4}"/>
    <cellStyle name="Comma 176 2 2" xfId="3512" xr:uid="{FB5A55BE-4C73-4C61-83C6-F992C77B0F70}"/>
    <cellStyle name="Comma 176 2 2 2" xfId="8745" xr:uid="{FF5BD4F8-97F0-4536-852A-6268ADA3C212}"/>
    <cellStyle name="Comma 176 2 2 2 2" xfId="19097" xr:uid="{2431B747-8B3C-465E-A5CB-28D1E8F8AB21}"/>
    <cellStyle name="Comma 176 2 2 3" xfId="13922" xr:uid="{0E91DB08-6643-4085-B251-B6629B81A99E}"/>
    <cellStyle name="Comma 176 2 3" xfId="6687" xr:uid="{417CEF4A-E5FC-402E-87F4-62FA50E69016}"/>
    <cellStyle name="Comma 176 2 3 2" xfId="17039" xr:uid="{7D341EE7-C4FE-48D6-8AC8-499BFAB3B2A5}"/>
    <cellStyle name="Comma 176 2 4" xfId="11864" xr:uid="{DFD20A02-1D0E-4806-9E82-FC0BA25C7C3E}"/>
    <cellStyle name="Comma 176 3" xfId="2482" xr:uid="{D272BD9A-60C3-424C-B167-F57F27151B90}"/>
    <cellStyle name="Comma 176 3 2" xfId="7715" xr:uid="{59F1A289-FD6A-4E60-B3F9-3A61BAEE0F11}"/>
    <cellStyle name="Comma 176 3 2 2" xfId="18067" xr:uid="{ED489F0D-8C7C-49E5-AD9D-C1594EDA65F2}"/>
    <cellStyle name="Comma 176 3 3" xfId="12892" xr:uid="{AFDCA143-A22B-4C29-BE69-0781A5985541}"/>
    <cellStyle name="Comma 176 4" xfId="4608" xr:uid="{9C5882EC-29F6-4405-9332-65E83D2EA0B7}"/>
    <cellStyle name="Comma 176 4 2" xfId="9784" xr:uid="{A5FAC90B-1007-4C82-AA58-4A74ACB75C5E}"/>
    <cellStyle name="Comma 176 4 2 2" xfId="20136" xr:uid="{4805BC54-D3D7-4666-BD45-8E0E05E2D1A4}"/>
    <cellStyle name="Comma 176 4 3" xfId="14960" xr:uid="{0603DD3C-F484-4DF2-A8F1-F28E5CC197C4}"/>
    <cellStyle name="Comma 176 5" xfId="5656" xr:uid="{D6A62346-38C2-4D08-A6B3-6F7B50659016}"/>
    <cellStyle name="Comma 176 5 2" xfId="16008" xr:uid="{29822D8A-5B46-42D5-8CB0-5F66AE98554F}"/>
    <cellStyle name="Comma 176 6" xfId="10834" xr:uid="{B8EBD892-D823-4567-A7FF-108CCF7E4911}"/>
    <cellStyle name="Comma 177" xfId="417" xr:uid="{EFA81E2D-5603-472A-8437-720FF4D7CEEA}"/>
    <cellStyle name="Comma 177 2" xfId="1455" xr:uid="{8266E65D-DADC-412A-8907-FFF7C83C8808}"/>
    <cellStyle name="Comma 177 2 2" xfId="3513" xr:uid="{1FE0CF9F-16B9-4C0D-8950-28A0DB46A62F}"/>
    <cellStyle name="Comma 177 2 2 2" xfId="8746" xr:uid="{AC635FE1-CED2-45B0-94FF-6A7CADB9FD90}"/>
    <cellStyle name="Comma 177 2 2 2 2" xfId="19098" xr:uid="{4223DCFA-C3C5-46D5-897B-1FA1DA5EAEC5}"/>
    <cellStyle name="Comma 177 2 2 3" xfId="13923" xr:uid="{F30F131C-E12C-4C97-8DE8-5E4810E63E42}"/>
    <cellStyle name="Comma 177 2 3" xfId="6688" xr:uid="{F3F89B8B-3D51-435A-9C2B-7A97BE582CDB}"/>
    <cellStyle name="Comma 177 2 3 2" xfId="17040" xr:uid="{9AE677DD-CD42-4B8B-99EF-9846E47DC7D8}"/>
    <cellStyle name="Comma 177 2 4" xfId="11865" xr:uid="{CDB2FA18-73B5-46BF-AA17-FAA3755E60E3}"/>
    <cellStyle name="Comma 177 3" xfId="2483" xr:uid="{89B117C5-4AF8-4C32-8CCD-3EBE846847D6}"/>
    <cellStyle name="Comma 177 3 2" xfId="7716" xr:uid="{84E3256A-7710-4445-BC2D-DB8281D399C8}"/>
    <cellStyle name="Comma 177 3 2 2" xfId="18068" xr:uid="{FE6789D7-7E72-40E0-98DA-80E32C28B015}"/>
    <cellStyle name="Comma 177 3 3" xfId="12893" xr:uid="{51253955-9FCF-4C2A-AADA-0CDA906F1187}"/>
    <cellStyle name="Comma 177 4" xfId="4609" xr:uid="{C2066BA9-2C69-4CC7-BF65-04C696E41EA3}"/>
    <cellStyle name="Comma 177 4 2" xfId="9785" xr:uid="{2F07929E-7E13-4C76-9E58-77DEBCFDE2FF}"/>
    <cellStyle name="Comma 177 4 2 2" xfId="20137" xr:uid="{D7CB4CF7-6549-4ACA-9DF7-36263E4A5B24}"/>
    <cellStyle name="Comma 177 4 3" xfId="14961" xr:uid="{3849922A-FFBD-4251-9264-3DF52988BB6F}"/>
    <cellStyle name="Comma 177 5" xfId="5657" xr:uid="{BB4525FE-E57E-47E2-B174-5E42D8432DAF}"/>
    <cellStyle name="Comma 177 5 2" xfId="16009" xr:uid="{4C60CEB9-BB9F-44A8-A712-847677D4800F}"/>
    <cellStyle name="Comma 177 6" xfId="10835" xr:uid="{CD79E891-AD54-41B1-AE2D-159201C941B9}"/>
    <cellStyle name="Comma 178" xfId="418" xr:uid="{74B14D12-3560-402F-BF58-AD5EB98CAB93}"/>
    <cellStyle name="Comma 178 2" xfId="1456" xr:uid="{AE837ABD-E0BC-4E30-AEE2-10D65A7B4FED}"/>
    <cellStyle name="Comma 178 2 2" xfId="3514" xr:uid="{3C1B4284-7841-42EC-9B4B-2F77FC1B4F68}"/>
    <cellStyle name="Comma 178 2 2 2" xfId="8747" xr:uid="{D96FC234-D470-42FB-A08B-F926789E4D45}"/>
    <cellStyle name="Comma 178 2 2 2 2" xfId="19099" xr:uid="{99D05E52-2559-45DA-B5E6-CE84C9F0457E}"/>
    <cellStyle name="Comma 178 2 2 3" xfId="13924" xr:uid="{0D9D6C25-A3C1-4CD6-8AB2-3ECE6CF927D1}"/>
    <cellStyle name="Comma 178 2 3" xfId="6689" xr:uid="{3A396073-1CEB-4108-8753-973094ED427E}"/>
    <cellStyle name="Comma 178 2 3 2" xfId="17041" xr:uid="{022B7089-446D-4198-8757-F8F10DFB8A53}"/>
    <cellStyle name="Comma 178 2 4" xfId="11866" xr:uid="{0F8C0729-89F9-4C6A-BA48-C9E237D85A18}"/>
    <cellStyle name="Comma 178 3" xfId="2484" xr:uid="{E2BA9FFB-550D-4D7A-B501-97AC1DB8DD23}"/>
    <cellStyle name="Comma 178 3 2" xfId="7717" xr:uid="{411029D2-948E-47DA-9B1F-D9813F573F55}"/>
    <cellStyle name="Comma 178 3 2 2" xfId="18069" xr:uid="{0ED6A09A-6DD4-4F90-B75C-730CB0A5D8C4}"/>
    <cellStyle name="Comma 178 3 3" xfId="12894" xr:uid="{EA976C8B-18DF-4821-A44A-F1889FA587BB}"/>
    <cellStyle name="Comma 178 4" xfId="4610" xr:uid="{FC208EF0-6397-4F11-B5D8-71D016307A5A}"/>
    <cellStyle name="Comma 178 4 2" xfId="9786" xr:uid="{DDE69D9F-CA12-43E5-8727-7B6CDC4F342F}"/>
    <cellStyle name="Comma 178 4 2 2" xfId="20138" xr:uid="{84A5D415-DC47-4ED7-9D60-67BD57EADB5C}"/>
    <cellStyle name="Comma 178 4 3" xfId="14962" xr:uid="{C3C1D990-78CA-456A-A6AF-4809ACE24C2C}"/>
    <cellStyle name="Comma 178 5" xfId="5658" xr:uid="{B02A28E6-9810-4AFE-AEF1-7084E51FCDC9}"/>
    <cellStyle name="Comma 178 5 2" xfId="16010" xr:uid="{7384CC21-A9DE-4FFA-88A2-3248EEE6F3F0}"/>
    <cellStyle name="Comma 178 6" xfId="10836" xr:uid="{0833D405-D5E5-4950-BB53-86730672BFEB}"/>
    <cellStyle name="Comma 179" xfId="419" xr:uid="{8385A881-5469-4914-9A87-4F928406DB8E}"/>
    <cellStyle name="Comma 179 2" xfId="1457" xr:uid="{DE3650B4-DF14-4AA1-9E1E-5BDEF3E933E8}"/>
    <cellStyle name="Comma 179 2 2" xfId="3515" xr:uid="{290490AC-9C5D-4119-8D21-B973FF69CE4B}"/>
    <cellStyle name="Comma 179 2 2 2" xfId="8748" xr:uid="{7C2EFAB7-5805-4457-8CA1-DF5889052381}"/>
    <cellStyle name="Comma 179 2 2 2 2" xfId="19100" xr:uid="{056E65F2-1989-4A35-9775-13CB462461E0}"/>
    <cellStyle name="Comma 179 2 2 3" xfId="13925" xr:uid="{8C6C1722-525F-4B59-9769-4FBDFCBFCFD6}"/>
    <cellStyle name="Comma 179 2 3" xfId="6690" xr:uid="{B7D2E6D8-D187-46F8-8045-9A2125277A25}"/>
    <cellStyle name="Comma 179 2 3 2" xfId="17042" xr:uid="{A8B4C665-8DAD-4310-8A07-98DC140803BE}"/>
    <cellStyle name="Comma 179 2 4" xfId="11867" xr:uid="{680DC2BF-FD37-44A3-A3C9-997048D34028}"/>
    <cellStyle name="Comma 179 3" xfId="2485" xr:uid="{D5B04826-7970-415F-B32E-1B4102EC9CB0}"/>
    <cellStyle name="Comma 179 3 2" xfId="7718" xr:uid="{3A37EFBA-0478-4C3A-BAFE-D4EF17A6F61F}"/>
    <cellStyle name="Comma 179 3 2 2" xfId="18070" xr:uid="{AEB5E85F-DD93-45F1-B7D5-6448003B2179}"/>
    <cellStyle name="Comma 179 3 3" xfId="12895" xr:uid="{1CBEEEC4-4C2F-45D5-AC03-551565829A03}"/>
    <cellStyle name="Comma 179 4" xfId="4611" xr:uid="{FFB45626-8196-4D5B-AFD4-EDB0734AFCDD}"/>
    <cellStyle name="Comma 179 4 2" xfId="9787" xr:uid="{FA01CE83-DA53-4840-8F5B-E1F0AFA6CC60}"/>
    <cellStyle name="Comma 179 4 2 2" xfId="20139" xr:uid="{E4C832C2-644D-4B64-84B5-99552E9FFCA5}"/>
    <cellStyle name="Comma 179 4 3" xfId="14963" xr:uid="{47401E62-A028-4A4C-9286-4F3D2A8AC45D}"/>
    <cellStyle name="Comma 179 5" xfId="5659" xr:uid="{18591212-9A8B-4AE5-9F02-E12E26BA793D}"/>
    <cellStyle name="Comma 179 5 2" xfId="16011" xr:uid="{B7ABF82D-4A08-407D-947B-C7969C496BEB}"/>
    <cellStyle name="Comma 179 6" xfId="10837" xr:uid="{3D9894D3-09B8-49F5-AC69-8A57B3F82648}"/>
    <cellStyle name="Comma 18" xfId="210" xr:uid="{81EDDB98-3374-450B-8D76-434C4FC5CF70}"/>
    <cellStyle name="Comma 18 2" xfId="1296" xr:uid="{1E6A4308-B0BD-46E5-AFB5-5233466BD99E}"/>
    <cellStyle name="Comma 18 2 2" xfId="3354" xr:uid="{66632A5F-BA96-4FB8-9252-C729926AD292}"/>
    <cellStyle name="Comma 18 2 2 2" xfId="8587" xr:uid="{9D7E7902-E1C6-4B1D-8F4D-A23D3B482B66}"/>
    <cellStyle name="Comma 18 2 2 2 2" xfId="18939" xr:uid="{70996BFE-E8B9-4BFF-8465-179193B43313}"/>
    <cellStyle name="Comma 18 2 2 3" xfId="13764" xr:uid="{9EC5C60E-1C77-4DCA-B654-47E3F8F95BBE}"/>
    <cellStyle name="Comma 18 2 3" xfId="6529" xr:uid="{3F40BECB-4501-4CAE-A243-AE7FF4C14C3A}"/>
    <cellStyle name="Comma 18 2 3 2" xfId="16881" xr:uid="{1A87677F-2B8B-42EF-BB61-BA725A1D659D}"/>
    <cellStyle name="Comma 18 2 4" xfId="11706" xr:uid="{8127EC10-F876-4182-9DC1-AF1412C69738}"/>
    <cellStyle name="Comma 18 3" xfId="2324" xr:uid="{6A9933D7-56E6-4290-9D35-63DFAF2773B3}"/>
    <cellStyle name="Comma 18 3 2" xfId="7557" xr:uid="{38F80CE6-CF95-4B2F-ADA3-AFCFC98DAB4C}"/>
    <cellStyle name="Comma 18 3 2 2" xfId="17909" xr:uid="{4882658B-5505-468E-A0C9-86D75E4CAEE3}"/>
    <cellStyle name="Comma 18 3 3" xfId="12734" xr:uid="{A4542ECC-1F8B-4BE9-9AAA-67C00892DD97}"/>
    <cellStyle name="Comma 18 4" xfId="4450" xr:uid="{579BB79F-DAEA-4795-8245-02D1F4CBD044}"/>
    <cellStyle name="Comma 18 4 2" xfId="9626" xr:uid="{28C06557-A372-43E3-82B1-4D6D5666D73B}"/>
    <cellStyle name="Comma 18 4 2 2" xfId="19978" xr:uid="{FB7F2F32-79E8-415C-AEFA-38CCFBEB1275}"/>
    <cellStyle name="Comma 18 4 3" xfId="14802" xr:uid="{1E683E8A-A408-4880-83FD-3C6E6EA374E3}"/>
    <cellStyle name="Comma 18 5" xfId="5498" xr:uid="{16BF37F6-7201-4A05-B16D-906874AF9A99}"/>
    <cellStyle name="Comma 18 5 2" xfId="15850" xr:uid="{0D430F28-5512-4815-B85D-1CD588CB6C52}"/>
    <cellStyle name="Comma 18 6" xfId="10676" xr:uid="{6A4D5191-CC5D-4CF5-971F-AE6D0C3D43A7}"/>
    <cellStyle name="Comma 180" xfId="420" xr:uid="{11724BD0-49B2-492A-A364-41B66D2E7A8D}"/>
    <cellStyle name="Comma 180 2" xfId="1458" xr:uid="{57D8DC4A-2672-4286-A1CF-537B069EA596}"/>
    <cellStyle name="Comma 180 2 2" xfId="3516" xr:uid="{16B82EEF-7B99-4CA4-9B31-DA659D036286}"/>
    <cellStyle name="Comma 180 2 2 2" xfId="8749" xr:uid="{EB04B6AB-13FC-4E35-BA5C-26497D38AFAE}"/>
    <cellStyle name="Comma 180 2 2 2 2" xfId="19101" xr:uid="{ACF14264-B0C5-428C-BE1D-0B03F60D14C6}"/>
    <cellStyle name="Comma 180 2 2 3" xfId="13926" xr:uid="{2A5F2056-602D-48F1-95D0-B712540BCF8C}"/>
    <cellStyle name="Comma 180 2 3" xfId="6691" xr:uid="{096ED483-5167-4C08-A4F3-586348761A60}"/>
    <cellStyle name="Comma 180 2 3 2" xfId="17043" xr:uid="{1DCD2C5E-0F80-47D5-81C6-4506ECDF88E9}"/>
    <cellStyle name="Comma 180 2 4" xfId="11868" xr:uid="{375D98EB-6AA3-45BB-BF4D-68C5260BAAA4}"/>
    <cellStyle name="Comma 180 3" xfId="2486" xr:uid="{A35F250B-FE74-4A69-9C0B-338BEDAEE099}"/>
    <cellStyle name="Comma 180 3 2" xfId="7719" xr:uid="{2058CDD6-ADC3-4F00-8D8F-A8A0C358143D}"/>
    <cellStyle name="Comma 180 3 2 2" xfId="18071" xr:uid="{986D727D-29E2-41CA-9085-D2A25AA562F7}"/>
    <cellStyle name="Comma 180 3 3" xfId="12896" xr:uid="{021CA493-5747-4322-8588-FC7B0CEE0445}"/>
    <cellStyle name="Comma 180 4" xfId="4612" xr:uid="{8B2AA3AC-1EF0-438E-AB00-7FC80A0B023C}"/>
    <cellStyle name="Comma 180 4 2" xfId="9788" xr:uid="{40108DC6-3A83-4CC8-8110-D0E97B1FDE6E}"/>
    <cellStyle name="Comma 180 4 2 2" xfId="20140" xr:uid="{4D2F3BFD-184D-4E07-9CCB-C9C2533F285E}"/>
    <cellStyle name="Comma 180 4 3" xfId="14964" xr:uid="{70893BA9-C3C0-471E-8927-0AE8FD68F661}"/>
    <cellStyle name="Comma 180 5" xfId="5660" xr:uid="{D94EEF26-FA27-4A31-B5AE-E9013D32D81A}"/>
    <cellStyle name="Comma 180 5 2" xfId="16012" xr:uid="{6D3496A9-A293-4640-BD9D-FFBD4D264AE4}"/>
    <cellStyle name="Comma 180 6" xfId="10838" xr:uid="{FD745F4A-0EF7-4158-885E-D3FC9BD46B05}"/>
    <cellStyle name="Comma 181" xfId="421" xr:uid="{B56D70AE-4415-45CC-A873-56922C09A5A7}"/>
    <cellStyle name="Comma 181 2" xfId="1459" xr:uid="{E2783EA3-26C3-4BD9-9802-19B1E0FF6239}"/>
    <cellStyle name="Comma 181 2 2" xfId="3517" xr:uid="{6F671F5C-4415-42EF-B87C-2FC8D5847880}"/>
    <cellStyle name="Comma 181 2 2 2" xfId="8750" xr:uid="{AD7D2A1D-29C2-4962-9664-C3822ADDC112}"/>
    <cellStyle name="Comma 181 2 2 2 2" xfId="19102" xr:uid="{2DE8E649-6AA1-4A84-9B56-2714238124B8}"/>
    <cellStyle name="Comma 181 2 2 3" xfId="13927" xr:uid="{55FAFBA2-8167-4269-8A7B-62C00ABBC302}"/>
    <cellStyle name="Comma 181 2 3" xfId="6692" xr:uid="{BA59CCE9-4694-4F03-82AA-079178BC1ECC}"/>
    <cellStyle name="Comma 181 2 3 2" xfId="17044" xr:uid="{7F41A005-F5D0-4A0D-BDC0-2392E6E276FD}"/>
    <cellStyle name="Comma 181 2 4" xfId="11869" xr:uid="{50D8626E-934F-4FCF-AE0F-B38E1B9573E3}"/>
    <cellStyle name="Comma 181 3" xfId="2487" xr:uid="{336E4A7B-A061-4DBB-9989-44EF38EBC9F8}"/>
    <cellStyle name="Comma 181 3 2" xfId="7720" xr:uid="{5713BADA-F5F8-47FA-B21C-554B972D58BB}"/>
    <cellStyle name="Comma 181 3 2 2" xfId="18072" xr:uid="{A5DABE26-8310-4EE0-BEBE-5E0F5052E1B8}"/>
    <cellStyle name="Comma 181 3 3" xfId="12897" xr:uid="{AEA6AB06-5860-4090-B728-997FB62240A2}"/>
    <cellStyle name="Comma 181 4" xfId="4613" xr:uid="{F9455903-D626-4656-A116-B75289091E75}"/>
    <cellStyle name="Comma 181 4 2" xfId="9789" xr:uid="{FB6570B3-8275-4CEE-AABE-45A653A2E1FC}"/>
    <cellStyle name="Comma 181 4 2 2" xfId="20141" xr:uid="{D32FEE11-2F18-49F9-9497-CC6C1088587C}"/>
    <cellStyle name="Comma 181 4 3" xfId="14965" xr:uid="{C0E08BE9-7FD6-48ED-8481-6A99FE8AB00F}"/>
    <cellStyle name="Comma 181 5" xfId="5661" xr:uid="{6658C589-4E9A-4CB3-B6A1-E0D73A2FA2E7}"/>
    <cellStyle name="Comma 181 5 2" xfId="16013" xr:uid="{66E73D0E-F070-4971-B01D-3DE5289AD031}"/>
    <cellStyle name="Comma 181 6" xfId="10839" xr:uid="{1DBC1C0F-5F87-4F25-85D3-85F3E8E97C8D}"/>
    <cellStyle name="Comma 182" xfId="422" xr:uid="{371248B9-E3D5-4A4D-9550-9C8B22FCB5BD}"/>
    <cellStyle name="Comma 182 2" xfId="1460" xr:uid="{0CF4036B-EAEB-4532-B7DD-6FBC0E9184C4}"/>
    <cellStyle name="Comma 182 2 2" xfId="3518" xr:uid="{47B5D031-5CF1-4F0A-99E8-5CD8F45F112A}"/>
    <cellStyle name="Comma 182 2 2 2" xfId="8751" xr:uid="{D3478E26-131C-4640-8D2B-149A2AA381EC}"/>
    <cellStyle name="Comma 182 2 2 2 2" xfId="19103" xr:uid="{70925FF6-02E6-4C37-952D-02DCCDF49CC1}"/>
    <cellStyle name="Comma 182 2 2 3" xfId="13928" xr:uid="{5F38F9E7-8650-40AB-898B-31A58E538123}"/>
    <cellStyle name="Comma 182 2 3" xfId="6693" xr:uid="{CA9263D7-5677-4178-B6EA-62924489AC78}"/>
    <cellStyle name="Comma 182 2 3 2" xfId="17045" xr:uid="{491EEDD3-8745-4BA3-BBAD-C692DFDA95E0}"/>
    <cellStyle name="Comma 182 2 4" xfId="11870" xr:uid="{6B488CB6-B111-4CE6-AB71-089FBD7AF704}"/>
    <cellStyle name="Comma 182 3" xfId="2488" xr:uid="{B4EF5407-B2E1-4151-BC5A-A271BBDB6C0B}"/>
    <cellStyle name="Comma 182 3 2" xfId="7721" xr:uid="{1CBBD4DB-35B1-4B23-9BE8-896704638B79}"/>
    <cellStyle name="Comma 182 3 2 2" xfId="18073" xr:uid="{F72AFB05-8EC9-4572-8ABB-6996433C66FF}"/>
    <cellStyle name="Comma 182 3 3" xfId="12898" xr:uid="{37EDEA72-4709-4389-8372-5CAE752A17B5}"/>
    <cellStyle name="Comma 182 4" xfId="4614" xr:uid="{FB9AA4E8-DE34-46BE-AB45-C9C9ADF01F89}"/>
    <cellStyle name="Comma 182 4 2" xfId="9790" xr:uid="{403E92D9-CCA5-41B8-B03D-FAE2DB62AFEA}"/>
    <cellStyle name="Comma 182 4 2 2" xfId="20142" xr:uid="{A8A1B58E-DC23-40FC-A87F-523EB677B1A9}"/>
    <cellStyle name="Comma 182 4 3" xfId="14966" xr:uid="{B5E9A721-9BDD-4DFD-A623-07F52A6C1FFD}"/>
    <cellStyle name="Comma 182 5" xfId="5662" xr:uid="{7AED25D9-8A0D-46B7-A921-11C9D55FF30D}"/>
    <cellStyle name="Comma 182 5 2" xfId="16014" xr:uid="{680A4FBC-6BC0-49A4-822C-AE3EB4B51C37}"/>
    <cellStyle name="Comma 182 6" xfId="10840" xr:uid="{DFB852B8-0A72-4A66-8BB3-2E32C93DE08B}"/>
    <cellStyle name="Comma 183" xfId="423" xr:uid="{EEC33546-F4D4-47FF-896F-78127DC54C4F}"/>
    <cellStyle name="Comma 183 2" xfId="1461" xr:uid="{EC33FC84-FCD5-4E6A-83AF-9540EA10B81E}"/>
    <cellStyle name="Comma 183 2 2" xfId="3519" xr:uid="{557BE5D5-B13E-441A-84D2-1B1C13065EC0}"/>
    <cellStyle name="Comma 183 2 2 2" xfId="8752" xr:uid="{2FD61E83-A432-4AF8-989B-DFDDE133AE20}"/>
    <cellStyle name="Comma 183 2 2 2 2" xfId="19104" xr:uid="{880D3EB3-A743-4AFD-8750-0F986AE2E2D5}"/>
    <cellStyle name="Comma 183 2 2 3" xfId="13929" xr:uid="{D12BC461-0B1D-4676-85FF-619A01B052B4}"/>
    <cellStyle name="Comma 183 2 3" xfId="6694" xr:uid="{4E29A1DD-13D3-45CE-A929-F10240190B78}"/>
    <cellStyle name="Comma 183 2 3 2" xfId="17046" xr:uid="{35ECEDBD-AC65-4B53-86F4-9B369252E3AC}"/>
    <cellStyle name="Comma 183 2 4" xfId="11871" xr:uid="{27D1DD16-FAF1-4322-BB3C-05AE0DEC5314}"/>
    <cellStyle name="Comma 183 3" xfId="2489" xr:uid="{AD374C99-CBA0-4C3F-A918-92356387153E}"/>
    <cellStyle name="Comma 183 3 2" xfId="7722" xr:uid="{63668FE7-39D1-4226-AC32-80B1D70EF7C6}"/>
    <cellStyle name="Comma 183 3 2 2" xfId="18074" xr:uid="{0A9E4410-5F6D-41F9-844D-72D9756ABD61}"/>
    <cellStyle name="Comma 183 3 3" xfId="12899" xr:uid="{B2F531F6-5026-47D1-95D8-88D99DFCEDB5}"/>
    <cellStyle name="Comma 183 4" xfId="4615" xr:uid="{97029EA2-9829-4CA5-AF9F-49994E835FFA}"/>
    <cellStyle name="Comma 183 4 2" xfId="9791" xr:uid="{2D859B4A-A08F-44CB-9F7F-8C802F75DE43}"/>
    <cellStyle name="Comma 183 4 2 2" xfId="20143" xr:uid="{953536FB-D110-4D98-8118-438603C6C1AC}"/>
    <cellStyle name="Comma 183 4 3" xfId="14967" xr:uid="{E54BBCEB-0D82-4469-A782-9C4F64F18623}"/>
    <cellStyle name="Comma 183 5" xfId="5663" xr:uid="{E34427DB-E957-448F-BD92-78F2BC9153F7}"/>
    <cellStyle name="Comma 183 5 2" xfId="16015" xr:uid="{A09BE527-11AD-4351-8802-0C0A704732D1}"/>
    <cellStyle name="Comma 183 6" xfId="10841" xr:uid="{554D0B43-EF5D-413D-8C59-545E48BD82CE}"/>
    <cellStyle name="Comma 184" xfId="424" xr:uid="{D051CD07-92CE-47B2-B6D9-98F68062D7B6}"/>
    <cellStyle name="Comma 184 2" xfId="1462" xr:uid="{56E009D9-2F7E-4588-9B9E-393C3A533D25}"/>
    <cellStyle name="Comma 184 2 2" xfId="3520" xr:uid="{A0F309EE-26FB-42FA-8002-B20C32AF9E82}"/>
    <cellStyle name="Comma 184 2 2 2" xfId="8753" xr:uid="{9632BF6E-F802-4E44-A021-1D161AF02D64}"/>
    <cellStyle name="Comma 184 2 2 2 2" xfId="19105" xr:uid="{3242D070-5400-4C6E-804C-E0BCC75178A1}"/>
    <cellStyle name="Comma 184 2 2 3" xfId="13930" xr:uid="{82D7D21A-AF5D-4091-9722-1632EA541517}"/>
    <cellStyle name="Comma 184 2 3" xfId="6695" xr:uid="{A9964FC4-8D1B-42E1-9D05-ED5C5341D852}"/>
    <cellStyle name="Comma 184 2 3 2" xfId="17047" xr:uid="{2B559159-FEC5-40BA-B0A1-0D500FD1151E}"/>
    <cellStyle name="Comma 184 2 4" xfId="11872" xr:uid="{BA211B31-B40B-4CFE-BD39-3A828CE1E35B}"/>
    <cellStyle name="Comma 184 3" xfId="2490" xr:uid="{4177D4F4-2A01-40A0-9956-0EE65A06837F}"/>
    <cellStyle name="Comma 184 3 2" xfId="7723" xr:uid="{183BD545-3983-41E3-8256-20F25962743D}"/>
    <cellStyle name="Comma 184 3 2 2" xfId="18075" xr:uid="{94AB3895-AE76-416E-8FD2-0D9F6FBE880C}"/>
    <cellStyle name="Comma 184 3 3" xfId="12900" xr:uid="{F887D9D3-82FC-48DB-A6D7-AD4CA054D070}"/>
    <cellStyle name="Comma 184 4" xfId="4616" xr:uid="{895AAF70-AF1D-4035-B32B-B11E66265C82}"/>
    <cellStyle name="Comma 184 4 2" xfId="9792" xr:uid="{D65378FD-3013-446C-92F7-4C8F8D8803CE}"/>
    <cellStyle name="Comma 184 4 2 2" xfId="20144" xr:uid="{6FAE6424-7055-437F-BF88-7B7C28441138}"/>
    <cellStyle name="Comma 184 4 3" xfId="14968" xr:uid="{8D0EF2E1-32BB-4D02-8399-27715755C7D1}"/>
    <cellStyle name="Comma 184 5" xfId="5664" xr:uid="{3CFEB33E-1C07-4F7B-BC21-BA4D3DB3AFEA}"/>
    <cellStyle name="Comma 184 5 2" xfId="16016" xr:uid="{FE9E31E2-20AA-4467-9C81-534B1C353AB7}"/>
    <cellStyle name="Comma 184 6" xfId="10842" xr:uid="{84330F49-C42F-45FE-9EB0-FB326F9E574F}"/>
    <cellStyle name="Comma 185" xfId="425" xr:uid="{40753A40-6C57-4AD4-A5E9-607D28466F79}"/>
    <cellStyle name="Comma 185 2" xfId="1463" xr:uid="{0306FCF1-CDBD-4AD9-AC78-29634C8C7C7A}"/>
    <cellStyle name="Comma 185 2 2" xfId="3521" xr:uid="{E366778C-310C-4502-8D14-3CAD398E3F86}"/>
    <cellStyle name="Comma 185 2 2 2" xfId="8754" xr:uid="{05CA458A-1D29-4118-9176-F6BC07210884}"/>
    <cellStyle name="Comma 185 2 2 2 2" xfId="19106" xr:uid="{C0A040F7-6D56-407E-90D3-78A3E4B8DE9A}"/>
    <cellStyle name="Comma 185 2 2 3" xfId="13931" xr:uid="{BA9A5D80-565C-4BD9-AB01-17E8DF3C0469}"/>
    <cellStyle name="Comma 185 2 3" xfId="6696" xr:uid="{15685577-CB2B-4701-B478-9D640245B82E}"/>
    <cellStyle name="Comma 185 2 3 2" xfId="17048" xr:uid="{0424DAA7-54B8-41C6-A5A5-FA157243C86C}"/>
    <cellStyle name="Comma 185 2 4" xfId="11873" xr:uid="{3E65556A-0BB2-47AB-ACB1-173011856480}"/>
    <cellStyle name="Comma 185 3" xfId="2491" xr:uid="{AA0DD689-75AA-4E5B-8613-D98A3CD1CCC7}"/>
    <cellStyle name="Comma 185 3 2" xfId="7724" xr:uid="{A5F8A893-4BDB-4820-A1EC-CFA4907E3414}"/>
    <cellStyle name="Comma 185 3 2 2" xfId="18076" xr:uid="{0A5A8D9A-B598-4EBA-8EA3-545352260D9A}"/>
    <cellStyle name="Comma 185 3 3" xfId="12901" xr:uid="{2198BD77-C253-4791-B633-F82EC6B90ECF}"/>
    <cellStyle name="Comma 185 4" xfId="4617" xr:uid="{EC009C31-40A6-4776-BAD6-693ACC9F6B18}"/>
    <cellStyle name="Comma 185 4 2" xfId="9793" xr:uid="{50856C6E-C35D-41BC-AA01-3EC50514C538}"/>
    <cellStyle name="Comma 185 4 2 2" xfId="20145" xr:uid="{453FA7F1-222F-44F5-8762-F59D624C5D0D}"/>
    <cellStyle name="Comma 185 4 3" xfId="14969" xr:uid="{43AF17B0-FCBA-4ED4-B531-F094850DAF4D}"/>
    <cellStyle name="Comma 185 5" xfId="5665" xr:uid="{34CCE0CE-152C-43A3-9025-5985ED01AA11}"/>
    <cellStyle name="Comma 185 5 2" xfId="16017" xr:uid="{721D4EAC-8528-4BB3-B64E-977F165BAD83}"/>
    <cellStyle name="Comma 185 6" xfId="10843" xr:uid="{FD0EC1E9-B8EA-4749-A4D1-5ABE2CE99E4C}"/>
    <cellStyle name="Comma 186" xfId="426" xr:uid="{C7BCD7AD-CDD2-43C5-BB2D-3F356E57DA85}"/>
    <cellStyle name="Comma 186 2" xfId="1464" xr:uid="{1CE2D1BE-3791-4E2C-B8B7-EDA2B9BC9E13}"/>
    <cellStyle name="Comma 186 2 2" xfId="3522" xr:uid="{8D4B6745-B32C-4917-8974-75C728B0ED42}"/>
    <cellStyle name="Comma 186 2 2 2" xfId="8755" xr:uid="{2614A030-0302-4733-9BA3-CFCB77E74CA1}"/>
    <cellStyle name="Comma 186 2 2 2 2" xfId="19107" xr:uid="{E13EA855-34EC-4708-A505-738E845B1702}"/>
    <cellStyle name="Comma 186 2 2 3" xfId="13932" xr:uid="{E1D03AF7-84FC-468B-B036-0C1E84B5C5AA}"/>
    <cellStyle name="Comma 186 2 3" xfId="6697" xr:uid="{1419844A-A1F9-485F-A95C-492364F9E869}"/>
    <cellStyle name="Comma 186 2 3 2" xfId="17049" xr:uid="{152A1AEF-6C73-437A-BB22-F3025D448D37}"/>
    <cellStyle name="Comma 186 2 4" xfId="11874" xr:uid="{A7EB18C9-70B0-4475-98A6-0BD211500435}"/>
    <cellStyle name="Comma 186 3" xfId="2492" xr:uid="{DBB74DF8-D762-4468-A6E2-C8D205549629}"/>
    <cellStyle name="Comma 186 3 2" xfId="7725" xr:uid="{3937B1F1-A600-4E9F-B3E9-D01E6930D3C2}"/>
    <cellStyle name="Comma 186 3 2 2" xfId="18077" xr:uid="{405765D4-E067-4F94-A186-E5C814E7D3A9}"/>
    <cellStyle name="Comma 186 3 3" xfId="12902" xr:uid="{670578E2-0AEE-4A56-998F-E4DA2AA17864}"/>
    <cellStyle name="Comma 186 4" xfId="4618" xr:uid="{8D87266A-2304-42F5-A3D5-BC73A440E3DC}"/>
    <cellStyle name="Comma 186 4 2" xfId="9794" xr:uid="{050038F9-6280-459C-85B8-95734D1D039B}"/>
    <cellStyle name="Comma 186 4 2 2" xfId="20146" xr:uid="{2937F678-69CF-4989-AEED-5E5F52F15C15}"/>
    <cellStyle name="Comma 186 4 3" xfId="14970" xr:uid="{F136282F-7A50-4A6C-9111-015B92DBC306}"/>
    <cellStyle name="Comma 186 5" xfId="5666" xr:uid="{990B59DC-85C2-491B-A2DB-3DBDE0FB862C}"/>
    <cellStyle name="Comma 186 5 2" xfId="16018" xr:uid="{0EC95A9A-A76F-4906-8D13-18FE132CA3E8}"/>
    <cellStyle name="Comma 186 6" xfId="10844" xr:uid="{3BAAA019-20E5-41EE-B04E-630B03285ECC}"/>
    <cellStyle name="Comma 187" xfId="427" xr:uid="{0798A3BD-E58C-42C8-BC46-F0D57369D0C5}"/>
    <cellStyle name="Comma 187 2" xfId="1465" xr:uid="{730A79CB-DDDF-4D3F-9F10-8C7ACDEA7A56}"/>
    <cellStyle name="Comma 187 2 2" xfId="3523" xr:uid="{435A154D-32A5-4644-A139-AB6A0FF1F6AB}"/>
    <cellStyle name="Comma 187 2 2 2" xfId="8756" xr:uid="{380A765A-6102-441C-94AE-44DB066725F0}"/>
    <cellStyle name="Comma 187 2 2 2 2" xfId="19108" xr:uid="{B76C3240-36FA-4810-AA8F-53B21D7FC906}"/>
    <cellStyle name="Comma 187 2 2 3" xfId="13933" xr:uid="{2AA7A1A2-2F43-4608-8A31-5DB1B8CCB3BF}"/>
    <cellStyle name="Comma 187 2 3" xfId="6698" xr:uid="{18F64DCB-A978-41C1-BA23-878E3C6AD595}"/>
    <cellStyle name="Comma 187 2 3 2" xfId="17050" xr:uid="{46A6DAAA-94FE-4337-BA40-A8103CD5A32A}"/>
    <cellStyle name="Comma 187 2 4" xfId="11875" xr:uid="{B75EE1D7-7E4F-4231-AAC2-82A4448088D0}"/>
    <cellStyle name="Comma 187 3" xfId="2493" xr:uid="{3218E3AE-EAED-4357-9094-50D0F881F38C}"/>
    <cellStyle name="Comma 187 3 2" xfId="7726" xr:uid="{8BA68E9E-531F-434F-9580-981392B1B1C6}"/>
    <cellStyle name="Comma 187 3 2 2" xfId="18078" xr:uid="{9FA1F9E5-525E-4127-AF69-17E2B9E155F9}"/>
    <cellStyle name="Comma 187 3 3" xfId="12903" xr:uid="{8EFDE1B7-3E69-46BA-8AE5-C299F0C3B02E}"/>
    <cellStyle name="Comma 187 4" xfId="4619" xr:uid="{96416DC3-5491-4F4D-9686-2D471600C826}"/>
    <cellStyle name="Comma 187 4 2" xfId="9795" xr:uid="{B5D81E3E-FD6C-4CE9-B89D-9A04073F9679}"/>
    <cellStyle name="Comma 187 4 2 2" xfId="20147" xr:uid="{3F3387AA-BEF7-4959-93F5-61194AC8AFEC}"/>
    <cellStyle name="Comma 187 4 3" xfId="14971" xr:uid="{B96D4AD5-B04C-4A28-9843-B07982D50F07}"/>
    <cellStyle name="Comma 187 5" xfId="5667" xr:uid="{974DBC26-7DCE-42C8-AE4C-A5F3A885A278}"/>
    <cellStyle name="Comma 187 5 2" xfId="16019" xr:uid="{364F8AF3-309F-4225-83EF-42A545DCB6C3}"/>
    <cellStyle name="Comma 187 6" xfId="10845" xr:uid="{6E510180-6866-4D7B-A108-9BBC1A4D6F4D}"/>
    <cellStyle name="Comma 188" xfId="428" xr:uid="{E706EA9B-FF0B-4900-B823-959F2BA35BA1}"/>
    <cellStyle name="Comma 188 2" xfId="1466" xr:uid="{A5E3D42C-D780-44CC-B647-232A0A5297EF}"/>
    <cellStyle name="Comma 188 2 2" xfId="3524" xr:uid="{B3128F83-D6D0-489F-AA53-17A5FADA4D60}"/>
    <cellStyle name="Comma 188 2 2 2" xfId="8757" xr:uid="{D1D53F75-DCF6-4A4D-91E1-2217650D8383}"/>
    <cellStyle name="Comma 188 2 2 2 2" xfId="19109" xr:uid="{0C56215D-654D-437E-96EC-88EC1A72D7C0}"/>
    <cellStyle name="Comma 188 2 2 3" xfId="13934" xr:uid="{7BAD4B3E-DCAD-45EF-B103-A37444ACF46D}"/>
    <cellStyle name="Comma 188 2 3" xfId="6699" xr:uid="{910961BB-A334-46DE-BFB2-FE58B3D3FABA}"/>
    <cellStyle name="Comma 188 2 3 2" xfId="17051" xr:uid="{02CA7C9E-F38D-4A64-9CFB-C953D9859A1B}"/>
    <cellStyle name="Comma 188 2 4" xfId="11876" xr:uid="{B9772E59-E8FE-4EBF-A1ED-64CAF9AD9C7D}"/>
    <cellStyle name="Comma 188 3" xfId="2494" xr:uid="{9C47B1D1-7B77-4934-98B4-C1575FF5479C}"/>
    <cellStyle name="Comma 188 3 2" xfId="7727" xr:uid="{43D35D2C-F717-4EB2-A28C-09395E94FB04}"/>
    <cellStyle name="Comma 188 3 2 2" xfId="18079" xr:uid="{7EBECFAA-9557-4978-9DD0-4206744C17F9}"/>
    <cellStyle name="Comma 188 3 3" xfId="12904" xr:uid="{8F4B5AAA-76F3-42CB-9136-12AE5B6B3802}"/>
    <cellStyle name="Comma 188 4" xfId="4620" xr:uid="{FBF2DF9B-E229-437C-AB9E-1FF3FECB7D6F}"/>
    <cellStyle name="Comma 188 4 2" xfId="9796" xr:uid="{DF5BF033-2412-4F77-BDA3-308F24388B5E}"/>
    <cellStyle name="Comma 188 4 2 2" xfId="20148" xr:uid="{CC6B1462-11CF-4B70-BFA2-DE9D300D3109}"/>
    <cellStyle name="Comma 188 4 3" xfId="14972" xr:uid="{7F97F399-83ED-4614-8AC9-30B72350FB30}"/>
    <cellStyle name="Comma 188 5" xfId="5668" xr:uid="{40C26A1F-5B0C-4132-AC9F-B0D8A1CC4B63}"/>
    <cellStyle name="Comma 188 5 2" xfId="16020" xr:uid="{28711FF6-09DF-41D5-8E9C-A3E519CE44A7}"/>
    <cellStyle name="Comma 188 6" xfId="10846" xr:uid="{AB7F2723-C50C-4C35-A5BA-AA63BA2849DA}"/>
    <cellStyle name="Comma 189" xfId="429" xr:uid="{D268E2F0-3025-403D-93A6-D205026292AA}"/>
    <cellStyle name="Comma 189 2" xfId="1467" xr:uid="{2E526209-8E81-4858-9A07-7156FEE8A34E}"/>
    <cellStyle name="Comma 189 2 2" xfId="3525" xr:uid="{1295D6D1-E556-4184-AA31-2A07C8B82451}"/>
    <cellStyle name="Comma 189 2 2 2" xfId="8758" xr:uid="{2B406E6D-BA69-4D9C-8C56-8500CA5CCA28}"/>
    <cellStyle name="Comma 189 2 2 2 2" xfId="19110" xr:uid="{CAE5DEDF-5843-43C0-831A-67ECF27108D3}"/>
    <cellStyle name="Comma 189 2 2 3" xfId="13935" xr:uid="{46097A4F-33D3-4D7F-954E-7F51B916B7EB}"/>
    <cellStyle name="Comma 189 2 3" xfId="6700" xr:uid="{A4CE9222-8B6F-4920-86DC-CBCD397F2899}"/>
    <cellStyle name="Comma 189 2 3 2" xfId="17052" xr:uid="{1A0CADB9-4946-4DF4-BFCC-8E0D1432D6F0}"/>
    <cellStyle name="Comma 189 2 4" xfId="11877" xr:uid="{C297BF6E-629E-4F94-99CE-570EE3DC8C45}"/>
    <cellStyle name="Comma 189 3" xfId="2495" xr:uid="{42C8DD62-3A26-4767-A3A9-2FDEE2B5FFC8}"/>
    <cellStyle name="Comma 189 3 2" xfId="7728" xr:uid="{90F95DD8-D640-4682-8F1E-6C978DC7FE3E}"/>
    <cellStyle name="Comma 189 3 2 2" xfId="18080" xr:uid="{8C801824-30A9-436C-B380-F2A997E717CF}"/>
    <cellStyle name="Comma 189 3 3" xfId="12905" xr:uid="{B7565C28-5FCE-41E6-A2DF-F05329B7909D}"/>
    <cellStyle name="Comma 189 4" xfId="4621" xr:uid="{9B0507EC-FBBA-43B7-8D7D-B2C6C922850B}"/>
    <cellStyle name="Comma 189 4 2" xfId="9797" xr:uid="{D9540A31-B142-4C70-A38F-DAA3F0FB386D}"/>
    <cellStyle name="Comma 189 4 2 2" xfId="20149" xr:uid="{0E5E0083-24D4-43C2-A679-9D28BEEE5943}"/>
    <cellStyle name="Comma 189 4 3" xfId="14973" xr:uid="{01A6D42D-17CA-4542-9657-45FA181D7670}"/>
    <cellStyle name="Comma 189 5" xfId="5669" xr:uid="{26636BAD-36AF-4F32-AB7C-7FCEE1AA2170}"/>
    <cellStyle name="Comma 189 5 2" xfId="16021" xr:uid="{F3B554E1-1288-4791-AE4E-AF41111A0FFC}"/>
    <cellStyle name="Comma 189 6" xfId="10847" xr:uid="{F643EBAC-BC49-4BB1-825C-6BF72D0EC224}"/>
    <cellStyle name="Comma 19" xfId="195" xr:uid="{DA3A5941-C1ED-4026-A380-AC9BCEDEBFCB}"/>
    <cellStyle name="Comma 19 2" xfId="1283" xr:uid="{231B11CA-DA39-4FD2-9D00-2987BF1706B8}"/>
    <cellStyle name="Comma 19 2 2" xfId="3341" xr:uid="{6589568B-2B3E-44B7-8CBB-FF32499A821B}"/>
    <cellStyle name="Comma 19 2 2 2" xfId="8574" xr:uid="{03DA1214-7B16-47A6-9EE4-F1E9CBF05179}"/>
    <cellStyle name="Comma 19 2 2 2 2" xfId="18926" xr:uid="{8931BB06-6E18-4525-8AA3-0B187D846154}"/>
    <cellStyle name="Comma 19 2 2 3" xfId="13751" xr:uid="{59FE3033-33D7-4CBB-AC7C-D3C5E97B694D}"/>
    <cellStyle name="Comma 19 2 3" xfId="6516" xr:uid="{0AD74A0F-E08A-49F6-AFAA-DBAED2A44B23}"/>
    <cellStyle name="Comma 19 2 3 2" xfId="16868" xr:uid="{52075BF0-B9C2-44A0-80E5-4D2ACD7E68F3}"/>
    <cellStyle name="Comma 19 2 4" xfId="11693" xr:uid="{2167F951-6B95-41A6-8D62-6D01C39E862C}"/>
    <cellStyle name="Comma 19 3" xfId="2311" xr:uid="{040405BE-5084-4DA6-BD7D-B755CA895155}"/>
    <cellStyle name="Comma 19 3 2" xfId="7544" xr:uid="{929E89D1-5920-47BC-A2F6-675DC5A88A29}"/>
    <cellStyle name="Comma 19 3 2 2" xfId="17896" xr:uid="{D9D852E5-B65D-40F3-BC12-8AC0E67D2C83}"/>
    <cellStyle name="Comma 19 3 3" xfId="12721" xr:uid="{F5CB81B5-9480-4436-B02E-1AD734407926}"/>
    <cellStyle name="Comma 19 4" xfId="4437" xr:uid="{3A2A4807-2569-43DE-BC68-DD26B82C2CA9}"/>
    <cellStyle name="Comma 19 4 2" xfId="9613" xr:uid="{FA3FE08D-4015-41E5-9166-4AF5AC6D33FF}"/>
    <cellStyle name="Comma 19 4 2 2" xfId="19965" xr:uid="{C10C7AD3-A353-4227-9DA4-1D7B4D0B6CB0}"/>
    <cellStyle name="Comma 19 4 3" xfId="14789" xr:uid="{BDBA746A-1C27-4481-83C4-728B4E175449}"/>
    <cellStyle name="Comma 19 5" xfId="5485" xr:uid="{2C68C04C-BDFC-41D1-BA02-49FDFD7CEEE0}"/>
    <cellStyle name="Comma 19 5 2" xfId="15837" xr:uid="{8515EA6D-874E-4403-A64E-F9DDA7FCC845}"/>
    <cellStyle name="Comma 19 6" xfId="10663" xr:uid="{B70450A0-BCCA-4F53-A892-796606059C69}"/>
    <cellStyle name="Comma 190" xfId="430" xr:uid="{D58FA00C-299C-448B-9C21-AB00018D5A53}"/>
    <cellStyle name="Comma 190 2" xfId="1468" xr:uid="{22E7ED27-A985-47F8-9774-B1C85258EF99}"/>
    <cellStyle name="Comma 190 2 2" xfId="3526" xr:uid="{59A5F5B2-36D2-4CCF-90B3-A4F9CAB93DC3}"/>
    <cellStyle name="Comma 190 2 2 2" xfId="8759" xr:uid="{C02B2010-AE91-4C96-ADEA-D0020FAB8179}"/>
    <cellStyle name="Comma 190 2 2 2 2" xfId="19111" xr:uid="{E6588FAC-0624-4AF7-A087-378313C07F28}"/>
    <cellStyle name="Comma 190 2 2 3" xfId="13936" xr:uid="{3818296A-7810-4F72-A816-3953E3BF60FB}"/>
    <cellStyle name="Comma 190 2 3" xfId="6701" xr:uid="{4F32F023-5578-4D3C-A5D8-E4576BC76B7D}"/>
    <cellStyle name="Comma 190 2 3 2" xfId="17053" xr:uid="{1895F738-E880-412D-A1FD-380CC5485CD2}"/>
    <cellStyle name="Comma 190 2 4" xfId="11878" xr:uid="{B51406E0-0236-4785-8002-0FB1D9347B7D}"/>
    <cellStyle name="Comma 190 3" xfId="2496" xr:uid="{091EDC3E-636A-47D2-9C8B-7A20D5FA6E0D}"/>
    <cellStyle name="Comma 190 3 2" xfId="7729" xr:uid="{6A1CC737-ED78-4F3B-879B-CAD25270F474}"/>
    <cellStyle name="Comma 190 3 2 2" xfId="18081" xr:uid="{5546AA93-65C5-4948-81AB-DE421FCB3063}"/>
    <cellStyle name="Comma 190 3 3" xfId="12906" xr:uid="{7F6409A6-3013-42D1-AC9B-A1EDED16F7C1}"/>
    <cellStyle name="Comma 190 4" xfId="4622" xr:uid="{979F0257-402D-4419-8FB2-072235BAC9DD}"/>
    <cellStyle name="Comma 190 4 2" xfId="9798" xr:uid="{5BFAB996-7594-4B7A-A696-544CBC78F9BC}"/>
    <cellStyle name="Comma 190 4 2 2" xfId="20150" xr:uid="{F3E52459-5293-451E-8A7B-E4034EC56264}"/>
    <cellStyle name="Comma 190 4 3" xfId="14974" xr:uid="{AC7BB671-3FA6-44B1-A6F7-28FB35C93292}"/>
    <cellStyle name="Comma 190 5" xfId="5670" xr:uid="{BE5F8B74-8E27-449E-8AF4-DB5B6C97000F}"/>
    <cellStyle name="Comma 190 5 2" xfId="16022" xr:uid="{2EA0D299-555A-48D0-A48C-7D09B406F27B}"/>
    <cellStyle name="Comma 190 6" xfId="10848" xr:uid="{9AA67374-2C4F-4872-8306-F840FFEC362D}"/>
    <cellStyle name="Comma 191" xfId="431" xr:uid="{239B4E08-ECEF-43F1-B107-E2CD55D897BC}"/>
    <cellStyle name="Comma 191 2" xfId="1469" xr:uid="{D3FC6FD1-5249-49D1-B35E-22C95DFA900D}"/>
    <cellStyle name="Comma 191 2 2" xfId="3527" xr:uid="{A0E4E52C-7FA2-45A4-BCC5-815936C3651C}"/>
    <cellStyle name="Comma 191 2 2 2" xfId="8760" xr:uid="{1E152BBE-F15B-4BAC-96F3-A0BB358450FA}"/>
    <cellStyle name="Comma 191 2 2 2 2" xfId="19112" xr:uid="{2F728DF0-7B6A-4EAC-8213-8EC78EB098F4}"/>
    <cellStyle name="Comma 191 2 2 3" xfId="13937" xr:uid="{B17741D9-5CE3-44EE-8AEE-5DBE1C372AAE}"/>
    <cellStyle name="Comma 191 2 3" xfId="6702" xr:uid="{4A767174-0D49-455B-A725-E7D5F0D7B138}"/>
    <cellStyle name="Comma 191 2 3 2" xfId="17054" xr:uid="{E681B964-FC7A-40C2-BC83-550ADF59C8A0}"/>
    <cellStyle name="Comma 191 2 4" xfId="11879" xr:uid="{ECF1C2B6-EE08-4458-9F75-7825626F3AC6}"/>
    <cellStyle name="Comma 191 3" xfId="2497" xr:uid="{BF00ED4C-8589-46C9-A172-A487FB9C15A7}"/>
    <cellStyle name="Comma 191 3 2" xfId="7730" xr:uid="{91ACC52B-6278-4E69-AC7E-39BB9851C8B6}"/>
    <cellStyle name="Comma 191 3 2 2" xfId="18082" xr:uid="{25CB7608-CA5B-4CD1-BC58-2551F866AF0D}"/>
    <cellStyle name="Comma 191 3 3" xfId="12907" xr:uid="{875FEF86-104B-47B5-A052-AF763C52D5E1}"/>
    <cellStyle name="Comma 191 4" xfId="4623" xr:uid="{0F455D8A-46B5-461A-B9DE-CA89FD2CD36B}"/>
    <cellStyle name="Comma 191 4 2" xfId="9799" xr:uid="{8A1A6156-2741-45F7-8417-5E80CFA0DD43}"/>
    <cellStyle name="Comma 191 4 2 2" xfId="20151" xr:uid="{77751127-C3B1-4AC7-987C-B589A15C92DA}"/>
    <cellStyle name="Comma 191 4 3" xfId="14975" xr:uid="{84D44F59-F928-479F-9296-01F04497C3E6}"/>
    <cellStyle name="Comma 191 5" xfId="5671" xr:uid="{45A4C899-887E-4372-8C03-37B6E5613C4A}"/>
    <cellStyle name="Comma 191 5 2" xfId="16023" xr:uid="{6DBC7FAE-DDB8-438E-B647-188CB8A23FD5}"/>
    <cellStyle name="Comma 191 6" xfId="10849" xr:uid="{0F57628D-58B6-48AD-8BDB-B576BC559A3E}"/>
    <cellStyle name="Comma 192" xfId="432" xr:uid="{5E1EEC11-B172-4C31-AE15-F1BF7B20D772}"/>
    <cellStyle name="Comma 192 2" xfId="1470" xr:uid="{93DCE233-1E74-4326-90CD-56747B29EA58}"/>
    <cellStyle name="Comma 192 2 2" xfId="3528" xr:uid="{351748F5-2FD7-4364-8228-DA106F582BFE}"/>
    <cellStyle name="Comma 192 2 2 2" xfId="8761" xr:uid="{03EB965E-D6CE-4518-9FE0-58CDAC2B9609}"/>
    <cellStyle name="Comma 192 2 2 2 2" xfId="19113" xr:uid="{08FF192B-C227-45FA-80AA-2360BB415E3B}"/>
    <cellStyle name="Comma 192 2 2 3" xfId="13938" xr:uid="{3DF1F406-ECAD-46F0-AA54-A51198487E79}"/>
    <cellStyle name="Comma 192 2 3" xfId="6703" xr:uid="{0C272DA8-03D8-47E1-88BE-C535E738EEF0}"/>
    <cellStyle name="Comma 192 2 3 2" xfId="17055" xr:uid="{E234F376-2819-4A50-BD95-5F0D45D2E3F9}"/>
    <cellStyle name="Comma 192 2 4" xfId="11880" xr:uid="{5E5602AA-1D76-452C-9E75-54177FA61153}"/>
    <cellStyle name="Comma 192 3" xfId="2498" xr:uid="{F6BEC317-96AE-47D2-9067-09D0F0830E98}"/>
    <cellStyle name="Comma 192 3 2" xfId="7731" xr:uid="{E92BBCAC-B2E1-4EDE-8D35-C4C8469E2B10}"/>
    <cellStyle name="Comma 192 3 2 2" xfId="18083" xr:uid="{5C7F1BFB-9234-4298-9169-CB577A1EB424}"/>
    <cellStyle name="Comma 192 3 3" xfId="12908" xr:uid="{A4DC150A-7E36-4C56-8E0A-CDF3CF758A99}"/>
    <cellStyle name="Comma 192 4" xfId="4624" xr:uid="{F4D11563-A43E-4E88-BFD7-C6CE5A09E484}"/>
    <cellStyle name="Comma 192 4 2" xfId="9800" xr:uid="{132F1859-6F5F-4AA2-AA8A-89540598E949}"/>
    <cellStyle name="Comma 192 4 2 2" xfId="20152" xr:uid="{F8160D51-B249-44F4-AB68-A166A9D5731A}"/>
    <cellStyle name="Comma 192 4 3" xfId="14976" xr:uid="{F07AFF07-9F3A-416D-B344-3FD3047F975F}"/>
    <cellStyle name="Comma 192 5" xfId="5672" xr:uid="{0966D8CC-6D36-42E3-BFF7-1EBA2963EE1C}"/>
    <cellStyle name="Comma 192 5 2" xfId="16024" xr:uid="{7002A2C0-9C18-4409-B738-CB1B433A82DE}"/>
    <cellStyle name="Comma 192 6" xfId="10850" xr:uid="{0DFAD7EA-A139-4D51-8BC9-48E4918BA6DC}"/>
    <cellStyle name="Comma 193" xfId="433" xr:uid="{4507FB94-1179-434E-893E-F624EC25CD6F}"/>
    <cellStyle name="Comma 193 2" xfId="1471" xr:uid="{3A2E7900-6002-4C16-958B-D1A7A65E3609}"/>
    <cellStyle name="Comma 193 2 2" xfId="3529" xr:uid="{0AE3FC32-7FCA-4454-9193-927D595B8580}"/>
    <cellStyle name="Comma 193 2 2 2" xfId="8762" xr:uid="{5E94F265-7DEA-4CA1-915C-36AE06F42ED9}"/>
    <cellStyle name="Comma 193 2 2 2 2" xfId="19114" xr:uid="{9014A0F4-213E-43A7-992D-E7BB590FE0CA}"/>
    <cellStyle name="Comma 193 2 2 3" xfId="13939" xr:uid="{EBEFC309-CD36-4DA1-82E6-64CCC7AB673B}"/>
    <cellStyle name="Comma 193 2 3" xfId="6704" xr:uid="{50D6F085-B72E-4911-99DE-2C01B8DF0EC3}"/>
    <cellStyle name="Comma 193 2 3 2" xfId="17056" xr:uid="{A85E617D-AE53-4955-A36A-E28463BFF161}"/>
    <cellStyle name="Comma 193 2 4" xfId="11881" xr:uid="{9AE5CFC9-FB53-44BB-8B5C-7E38623BAE3C}"/>
    <cellStyle name="Comma 193 3" xfId="2499" xr:uid="{B821F9C4-C4F0-4BF8-9D69-F7B0AECFCB35}"/>
    <cellStyle name="Comma 193 3 2" xfId="7732" xr:uid="{33003F43-C717-4CD5-A1AD-C778C6C9C161}"/>
    <cellStyle name="Comma 193 3 2 2" xfId="18084" xr:uid="{BA85496B-8A23-46FC-86FD-CFA3E66C479C}"/>
    <cellStyle name="Comma 193 3 3" xfId="12909" xr:uid="{9D081B43-88FC-49FE-9F35-0E2907AC9DFB}"/>
    <cellStyle name="Comma 193 4" xfId="4625" xr:uid="{722CB254-FA30-4506-BD91-020501DE5094}"/>
    <cellStyle name="Comma 193 4 2" xfId="9801" xr:uid="{70899142-4E16-4DA2-B110-317C7DC2726A}"/>
    <cellStyle name="Comma 193 4 2 2" xfId="20153" xr:uid="{B03DCDEA-15C9-4B42-B9AE-D69B6083A707}"/>
    <cellStyle name="Comma 193 4 3" xfId="14977" xr:uid="{111EF8B2-6FC5-4BA0-A30E-968D5DC262B3}"/>
    <cellStyle name="Comma 193 5" xfId="5673" xr:uid="{44D63E5D-071F-455A-B0CF-6CD3CA1FC82B}"/>
    <cellStyle name="Comma 193 5 2" xfId="16025" xr:uid="{CA5E52C9-493D-4916-B76C-9B4E001E7C15}"/>
    <cellStyle name="Comma 193 6" xfId="10851" xr:uid="{69079A63-861F-4A7F-93A2-983476126870}"/>
    <cellStyle name="Comma 194" xfId="434" xr:uid="{BB8085E7-E2C9-4E77-A064-C0C498840E7F}"/>
    <cellStyle name="Comma 194 2" xfId="1472" xr:uid="{725A0AAD-38A0-4209-88CF-275101F60ACD}"/>
    <cellStyle name="Comma 194 2 2" xfId="3530" xr:uid="{7B1ABDDB-FB28-4033-85FC-FA3F539AC144}"/>
    <cellStyle name="Comma 194 2 2 2" xfId="8763" xr:uid="{84200D62-7EDA-4979-AF98-6422933C3D6D}"/>
    <cellStyle name="Comma 194 2 2 2 2" xfId="19115" xr:uid="{146CDC89-BBDB-4674-8054-89AC6DFD4CD9}"/>
    <cellStyle name="Comma 194 2 2 3" xfId="13940" xr:uid="{83542250-EF90-48A5-A016-F02CB91771F4}"/>
    <cellStyle name="Comma 194 2 3" xfId="6705" xr:uid="{33031736-8EA7-44A8-8923-D27C15675A19}"/>
    <cellStyle name="Comma 194 2 3 2" xfId="17057" xr:uid="{C6B5C55C-1A00-4C23-B047-CF2E0A7DBB76}"/>
    <cellStyle name="Comma 194 2 4" xfId="11882" xr:uid="{B989AE86-B3CE-474F-806F-F9D6F8D95964}"/>
    <cellStyle name="Comma 194 3" xfId="2500" xr:uid="{9BB210BB-F252-4998-95B9-855CAB415A96}"/>
    <cellStyle name="Comma 194 3 2" xfId="7733" xr:uid="{79152379-D0E8-46E8-A357-37B1E637E2E8}"/>
    <cellStyle name="Comma 194 3 2 2" xfId="18085" xr:uid="{208FED3E-A94C-4905-AA2F-C84658BCDE85}"/>
    <cellStyle name="Comma 194 3 3" xfId="12910" xr:uid="{800E8523-0A90-4DFB-8E6C-405ADD739D85}"/>
    <cellStyle name="Comma 194 4" xfId="4626" xr:uid="{8F702A3A-B6F9-423E-BBBF-704D6D8F17CE}"/>
    <cellStyle name="Comma 194 4 2" xfId="9802" xr:uid="{CB34BB12-90B4-4F2E-8E20-548E13169D10}"/>
    <cellStyle name="Comma 194 4 2 2" xfId="20154" xr:uid="{27184964-8719-46F0-BC57-2E371B3EEDE1}"/>
    <cellStyle name="Comma 194 4 3" xfId="14978" xr:uid="{72EC63E6-AF0A-42C9-88BC-1060881E2AB1}"/>
    <cellStyle name="Comma 194 5" xfId="5674" xr:uid="{6176CC6D-E0B1-498A-A5FC-DF35614EA33F}"/>
    <cellStyle name="Comma 194 5 2" xfId="16026" xr:uid="{BA46765B-4741-4324-BBBF-B1C2618DEEEF}"/>
    <cellStyle name="Comma 194 6" xfId="10852" xr:uid="{767023E9-C5B6-4264-84A3-670B46261967}"/>
    <cellStyle name="Comma 195" xfId="435" xr:uid="{83F6A0FF-39CB-40D2-923C-63FB58324AFA}"/>
    <cellStyle name="Comma 195 2" xfId="1473" xr:uid="{D6F83574-8C82-40B8-AA73-C03EE590AE96}"/>
    <cellStyle name="Comma 195 2 2" xfId="3531" xr:uid="{1290BD57-4FC3-4F63-8691-62265EE19A2D}"/>
    <cellStyle name="Comma 195 2 2 2" xfId="8764" xr:uid="{DD90C7D7-A3CE-48BC-BBB5-3EA23933F9CC}"/>
    <cellStyle name="Comma 195 2 2 2 2" xfId="19116" xr:uid="{17E07753-BE27-4600-8C76-871DE1B462DA}"/>
    <cellStyle name="Comma 195 2 2 3" xfId="13941" xr:uid="{995351AC-B407-4051-ABCB-18EB98624540}"/>
    <cellStyle name="Comma 195 2 3" xfId="6706" xr:uid="{644CA523-72D5-47AF-BC18-CD40257E5189}"/>
    <cellStyle name="Comma 195 2 3 2" xfId="17058" xr:uid="{6712E609-1CE3-4ED5-9528-7968839BAEFB}"/>
    <cellStyle name="Comma 195 2 4" xfId="11883" xr:uid="{C6978F7B-4841-44DA-B85C-96E86B203A77}"/>
    <cellStyle name="Comma 195 3" xfId="2501" xr:uid="{133A2D5E-F0D4-416D-BAE0-46E07D16A478}"/>
    <cellStyle name="Comma 195 3 2" xfId="7734" xr:uid="{A450FC82-F788-49DF-B19F-C6A6F4DC9073}"/>
    <cellStyle name="Comma 195 3 2 2" xfId="18086" xr:uid="{17B6C8AA-AEF4-4E6B-933B-3D6FF709DC33}"/>
    <cellStyle name="Comma 195 3 3" xfId="12911" xr:uid="{160D786F-FE0C-49ED-8BA6-6584017E678B}"/>
    <cellStyle name="Comma 195 4" xfId="4627" xr:uid="{BEC4865F-7469-4AE0-9F28-3D8ECD108ACD}"/>
    <cellStyle name="Comma 195 4 2" xfId="9803" xr:uid="{01445903-5FEE-4E53-A1F0-13D6A8EDD698}"/>
    <cellStyle name="Comma 195 4 2 2" xfId="20155" xr:uid="{C2539B28-5739-4C50-9CB0-C72756A5984A}"/>
    <cellStyle name="Comma 195 4 3" xfId="14979" xr:uid="{39EC16C1-B9F8-4D19-A9B4-5C431E1BB24A}"/>
    <cellStyle name="Comma 195 5" xfId="5675" xr:uid="{695AAE71-C896-4DAA-99E9-6FE32E068A09}"/>
    <cellStyle name="Comma 195 5 2" xfId="16027" xr:uid="{B3CA6F83-F1BF-414A-905C-D5F753D211DF}"/>
    <cellStyle name="Comma 195 6" xfId="10853" xr:uid="{20937225-8F48-45E8-8473-E8D2DF6C7162}"/>
    <cellStyle name="Comma 196" xfId="436" xr:uid="{40F0ACB6-13D2-4DC7-B69D-BD5E8FFFF6DA}"/>
    <cellStyle name="Comma 196 2" xfId="1474" xr:uid="{E59BBD0B-8242-4F91-AA45-DE45DD1E83A3}"/>
    <cellStyle name="Comma 196 2 2" xfId="3532" xr:uid="{3798935D-EAE2-4946-801A-89E911CE7E3F}"/>
    <cellStyle name="Comma 196 2 2 2" xfId="8765" xr:uid="{352CDDCC-F5ED-4176-89F1-010A6234ABA6}"/>
    <cellStyle name="Comma 196 2 2 2 2" xfId="19117" xr:uid="{06B28902-7C8B-4837-A14B-8BECD19487A7}"/>
    <cellStyle name="Comma 196 2 2 3" xfId="13942" xr:uid="{5B0A3170-E7D0-45C0-BD41-D3C0B7E74E7F}"/>
    <cellStyle name="Comma 196 2 3" xfId="6707" xr:uid="{78FAEDC0-A3F6-4C1C-8969-65B070A0EA22}"/>
    <cellStyle name="Comma 196 2 3 2" xfId="17059" xr:uid="{88AAB663-75B7-4713-886C-527B1ECAA989}"/>
    <cellStyle name="Comma 196 2 4" xfId="11884" xr:uid="{914A1BF2-707E-49B3-B3D2-B69E6C3D6DC3}"/>
    <cellStyle name="Comma 196 3" xfId="2502" xr:uid="{41EDAD26-0627-438C-80B8-518886DF108A}"/>
    <cellStyle name="Comma 196 3 2" xfId="7735" xr:uid="{59A04EDD-93AF-4040-BE2D-CAE4E38091A3}"/>
    <cellStyle name="Comma 196 3 2 2" xfId="18087" xr:uid="{9277B37E-3728-40E5-AB2A-8C9D727A058D}"/>
    <cellStyle name="Comma 196 3 3" xfId="12912" xr:uid="{9F948BD2-C578-48CD-9F57-CADAD1FCB81A}"/>
    <cellStyle name="Comma 196 4" xfId="4628" xr:uid="{1993FC3E-FB65-4983-A948-4D233DD06C23}"/>
    <cellStyle name="Comma 196 4 2" xfId="9804" xr:uid="{029DFE25-16FA-4700-9889-E7D45141B585}"/>
    <cellStyle name="Comma 196 4 2 2" xfId="20156" xr:uid="{92952416-B895-4BFC-9CE5-018A397CD3A4}"/>
    <cellStyle name="Comma 196 4 3" xfId="14980" xr:uid="{9055A03C-59F8-4992-8971-B7B4E0047FBF}"/>
    <cellStyle name="Comma 196 5" xfId="5676" xr:uid="{7B447CAA-ACE2-43C9-A568-715CA312C64E}"/>
    <cellStyle name="Comma 196 5 2" xfId="16028" xr:uid="{E2303E71-1766-4248-A151-BADBBB03C9C6}"/>
    <cellStyle name="Comma 196 6" xfId="10854" xr:uid="{E16D77B0-BC9B-4FAE-8882-9543EAD66725}"/>
    <cellStyle name="Comma 197" xfId="437" xr:uid="{0FA028ED-518C-4878-8B3C-AD74FCBBF157}"/>
    <cellStyle name="Comma 197 2" xfId="1475" xr:uid="{30A3B41E-2811-4907-AA20-F43ED5763C4B}"/>
    <cellStyle name="Comma 197 2 2" xfId="3533" xr:uid="{AE0E4F4C-A1C8-4EF8-AC30-3473311C884E}"/>
    <cellStyle name="Comma 197 2 2 2" xfId="8766" xr:uid="{C257B18E-0FE0-4112-85BF-099CDAA7C4E1}"/>
    <cellStyle name="Comma 197 2 2 2 2" xfId="19118" xr:uid="{E41B03EE-D2AF-4040-8620-FAFD44C8017E}"/>
    <cellStyle name="Comma 197 2 2 3" xfId="13943" xr:uid="{D308DEC8-2CFC-428E-82DB-9563D3BD5F34}"/>
    <cellStyle name="Comma 197 2 3" xfId="6708" xr:uid="{285EA16E-89A3-4A75-9531-AFBB52A62FC8}"/>
    <cellStyle name="Comma 197 2 3 2" xfId="17060" xr:uid="{0A6F274F-FD95-4D27-A5B5-38BDABEAE250}"/>
    <cellStyle name="Comma 197 2 4" xfId="11885" xr:uid="{888A146E-713E-463C-84FB-3AF21C77A091}"/>
    <cellStyle name="Comma 197 3" xfId="2503" xr:uid="{AF2AFF93-6A69-437A-B9DF-61E72CBFE9FB}"/>
    <cellStyle name="Comma 197 3 2" xfId="7736" xr:uid="{77C55D60-D1EF-44D7-BC83-0B720187DECD}"/>
    <cellStyle name="Comma 197 3 2 2" xfId="18088" xr:uid="{4AFE5B34-27D2-446B-8D6A-6C4EEFBB129F}"/>
    <cellStyle name="Comma 197 3 3" xfId="12913" xr:uid="{DAE0E085-1762-4B4B-946B-D9B95F1936ED}"/>
    <cellStyle name="Comma 197 4" xfId="4629" xr:uid="{B1FEDCDC-A479-4DEA-8475-2351A96CF4D2}"/>
    <cellStyle name="Comma 197 4 2" xfId="9805" xr:uid="{E7B192C6-6C71-4231-BDC2-D39FA4F98CA2}"/>
    <cellStyle name="Comma 197 4 2 2" xfId="20157" xr:uid="{644AA6DE-587F-4DB7-BFBC-98B39715C80F}"/>
    <cellStyle name="Comma 197 4 3" xfId="14981" xr:uid="{54900652-EAE8-4931-B26A-95EA5A57A05F}"/>
    <cellStyle name="Comma 197 5" xfId="5677" xr:uid="{95A3EA9E-B974-4973-94AB-259352771CC3}"/>
    <cellStyle name="Comma 197 5 2" xfId="16029" xr:uid="{431BB763-CC1F-4481-BBB7-1286D6BCD0FC}"/>
    <cellStyle name="Comma 197 6" xfId="10855" xr:uid="{80059745-0F88-459D-9595-FFBF050A8810}"/>
    <cellStyle name="Comma 198" xfId="438" xr:uid="{218AA4D9-0F36-4FC0-B437-8F4311594B66}"/>
    <cellStyle name="Comma 198 2" xfId="1476" xr:uid="{2748DBD1-4920-4EB6-BC11-D428AD8E0A0D}"/>
    <cellStyle name="Comma 198 2 2" xfId="3534" xr:uid="{1748EE6D-326A-4ABD-BADE-B56D607A4F3D}"/>
    <cellStyle name="Comma 198 2 2 2" xfId="8767" xr:uid="{12EDB7EE-8775-428D-BD67-986FDD583004}"/>
    <cellStyle name="Comma 198 2 2 2 2" xfId="19119" xr:uid="{506BB37B-613B-4377-90F2-3858282A5E07}"/>
    <cellStyle name="Comma 198 2 2 3" xfId="13944" xr:uid="{EB3FAA72-95D3-496C-8084-0D5C6C63167E}"/>
    <cellStyle name="Comma 198 2 3" xfId="6709" xr:uid="{DF70106E-0A3D-440A-8AED-23B76D4A5A8B}"/>
    <cellStyle name="Comma 198 2 3 2" xfId="17061" xr:uid="{0EE1FC4E-DCDD-4543-9872-78E81C8B0A30}"/>
    <cellStyle name="Comma 198 2 4" xfId="11886" xr:uid="{DAC43BF7-46F9-4A32-8BA3-D47DD34997CC}"/>
    <cellStyle name="Comma 198 3" xfId="2504" xr:uid="{895F5124-044C-40C1-87CD-BE39AAAAB6AD}"/>
    <cellStyle name="Comma 198 3 2" xfId="7737" xr:uid="{7CE6A291-320B-4201-ADDB-75AF04A9D005}"/>
    <cellStyle name="Comma 198 3 2 2" xfId="18089" xr:uid="{9B836780-39B5-4439-ACB3-2D6C01C50B0D}"/>
    <cellStyle name="Comma 198 3 3" xfId="12914" xr:uid="{5F496E70-12BA-4F34-BC03-616E3E417682}"/>
    <cellStyle name="Comma 198 4" xfId="4630" xr:uid="{3790E9E0-1962-4A33-B08B-BD25EE55E35E}"/>
    <cellStyle name="Comma 198 4 2" xfId="9806" xr:uid="{80C6273D-6C94-443E-AE91-4231EE1A4222}"/>
    <cellStyle name="Comma 198 4 2 2" xfId="20158" xr:uid="{2D3ECD81-1F16-4644-AD8B-5592B6A187DF}"/>
    <cellStyle name="Comma 198 4 3" xfId="14982" xr:uid="{949D45E3-B03F-44ED-AE29-911FDFAFC074}"/>
    <cellStyle name="Comma 198 5" xfId="5678" xr:uid="{1758CC9A-DE48-4951-A904-80BB69788203}"/>
    <cellStyle name="Comma 198 5 2" xfId="16030" xr:uid="{0284B6ED-0D69-4DE6-8649-D095A249A97C}"/>
    <cellStyle name="Comma 198 6" xfId="10856" xr:uid="{8B09F1CB-FB18-4349-A1B5-F700284A8F47}"/>
    <cellStyle name="Comma 199" xfId="439" xr:uid="{618F26B1-EDEF-45C8-8CAD-AFEF2601AF37}"/>
    <cellStyle name="Comma 199 2" xfId="1477" xr:uid="{6AEC8C06-9531-4E21-A164-D16712A73824}"/>
    <cellStyle name="Comma 199 2 2" xfId="3535" xr:uid="{D929AF8B-1E44-4FCC-8EB9-72C5DBE0FCC3}"/>
    <cellStyle name="Comma 199 2 2 2" xfId="8768" xr:uid="{239BDF9F-EC16-4259-AF5C-B58C9ADCFF91}"/>
    <cellStyle name="Comma 199 2 2 2 2" xfId="19120" xr:uid="{1C6466C2-470B-4B25-9669-06AE4952D348}"/>
    <cellStyle name="Comma 199 2 2 3" xfId="13945" xr:uid="{1717F2A2-7EFA-4EE9-973C-43312F09A76A}"/>
    <cellStyle name="Comma 199 2 3" xfId="6710" xr:uid="{83245D60-B608-4A62-86EE-C574D853785C}"/>
    <cellStyle name="Comma 199 2 3 2" xfId="17062" xr:uid="{4BAC536B-F4C9-4AD6-90D8-AC96B8E32914}"/>
    <cellStyle name="Comma 199 2 4" xfId="11887" xr:uid="{3CE49665-F048-44DE-ABA8-FCB9F86AE360}"/>
    <cellStyle name="Comma 199 3" xfId="2505" xr:uid="{FD395FD6-25C0-4247-AEDB-799E40043443}"/>
    <cellStyle name="Comma 199 3 2" xfId="7738" xr:uid="{EAADFFB5-167F-46FA-B81D-6149951DC3D5}"/>
    <cellStyle name="Comma 199 3 2 2" xfId="18090" xr:uid="{22A37D92-DD68-485F-BA1A-00C3F187E354}"/>
    <cellStyle name="Comma 199 3 3" xfId="12915" xr:uid="{828CF2A3-E581-4A2D-99C1-0FD54CDA3735}"/>
    <cellStyle name="Comma 199 4" xfId="4631" xr:uid="{0684BFCC-775C-4B5A-A8F9-B5C3D944B4D0}"/>
    <cellStyle name="Comma 199 4 2" xfId="9807" xr:uid="{C4CE7ABE-2378-4340-B6F5-4227A1CF15AB}"/>
    <cellStyle name="Comma 199 4 2 2" xfId="20159" xr:uid="{E4085C5A-9228-4DAB-BF69-C3462954DC4A}"/>
    <cellStyle name="Comma 199 4 3" xfId="14983" xr:uid="{D4E38B25-6CC7-4A13-90AE-400EF4A698D1}"/>
    <cellStyle name="Comma 199 5" xfId="5679" xr:uid="{B8B872AE-02A2-49E3-8C5D-25866957FB7F}"/>
    <cellStyle name="Comma 199 5 2" xfId="16031" xr:uid="{62B09B31-C834-4BC6-A026-09C4A78AA9F8}"/>
    <cellStyle name="Comma 199 6" xfId="10857" xr:uid="{24EDF762-540E-4764-BF41-11250193F2E0}"/>
    <cellStyle name="Comma 2" xfId="2" xr:uid="{510FB9FF-FC62-4AA0-B878-3ECF24345BDA}"/>
    <cellStyle name="Comma 2 2" xfId="3" xr:uid="{AE4D5939-DEA3-4D1D-8C16-39A3B9C0075A}"/>
    <cellStyle name="Comma 2 2 2" xfId="68" xr:uid="{60325F37-C8BA-4FB7-8AEA-C3AC9787B8AB}"/>
    <cellStyle name="Comma 2 2 2 2" xfId="1274" xr:uid="{B3085304-7EB5-4322-8E26-BDAE85CB0975}"/>
    <cellStyle name="Comma 2 2 2 2 2" xfId="3332" xr:uid="{0D66AA1B-596C-4A3D-ADCB-59ACEAE4766E}"/>
    <cellStyle name="Comma 2 2 2 2 2 2" xfId="8565" xr:uid="{0243B667-1588-40C3-AAD3-1DB6DEDF7836}"/>
    <cellStyle name="Comma 2 2 2 2 2 2 2" xfId="18917" xr:uid="{31096510-C3F8-4766-8E7E-864C79761DF2}"/>
    <cellStyle name="Comma 2 2 2 2 2 3" xfId="13742" xr:uid="{F8285EAB-2720-4FA9-902A-963BF7629525}"/>
    <cellStyle name="Comma 2 2 2 2 3" xfId="6507" xr:uid="{F48913F2-BC83-4CD1-A41D-21073100A79D}"/>
    <cellStyle name="Comma 2 2 2 2 3 2" xfId="16859" xr:uid="{336A4E96-22AC-4693-9BAC-988D40E7DBE2}"/>
    <cellStyle name="Comma 2 2 2 2 4" xfId="11684" xr:uid="{9B825AA8-C12A-4EE9-99DC-A93615B96120}"/>
    <cellStyle name="Comma 2 2 2 3" xfId="2302" xr:uid="{62CB2D3C-7452-4440-B3EB-988E7CA5449B}"/>
    <cellStyle name="Comma 2 2 2 3 2" xfId="7535" xr:uid="{4D14650F-F645-4974-9BEB-5A74E05D8CAB}"/>
    <cellStyle name="Comma 2 2 2 3 2 2" xfId="17887" xr:uid="{8C4938CA-EEBA-437C-BF03-C63951EA46AD}"/>
    <cellStyle name="Comma 2 2 2 3 3" xfId="12712" xr:uid="{1BBFE592-2D71-4C97-952E-15AE0DC81484}"/>
    <cellStyle name="Comma 2 2 2 4" xfId="5483" xr:uid="{577E8095-912D-4E0A-81AA-77F49C507940}"/>
    <cellStyle name="Comma 2 2 2 4 2" xfId="15835" xr:uid="{BE9FC8EE-0187-410C-93FE-A02D27C9B0BF}"/>
    <cellStyle name="Comma 2 2 2 5" xfId="10654" xr:uid="{25DED5DD-F9F8-4D34-8097-61E33620584A}"/>
    <cellStyle name="Comma 2 2 3" xfId="1272" xr:uid="{EBF0FBDB-96C1-4551-8A18-0A3B69F9076A}"/>
    <cellStyle name="Comma 2 2 3 2" xfId="3330" xr:uid="{6819694F-C917-45FA-ADEE-D79A34B7417C}"/>
    <cellStyle name="Comma 2 2 3 2 2" xfId="8563" xr:uid="{6865411A-3354-4FFB-BDD5-FAD516D72563}"/>
    <cellStyle name="Comma 2 2 3 2 2 2" xfId="18915" xr:uid="{961AE4AB-22C1-4815-90F3-2BD2B2D66C2C}"/>
    <cellStyle name="Comma 2 2 3 2 3" xfId="13740" xr:uid="{223EF9BA-97A7-480A-85FF-C7344AC82CBF}"/>
    <cellStyle name="Comma 2 2 3 3" xfId="6505" xr:uid="{21FBC253-2F69-4E78-B667-4D61E5604EA9}"/>
    <cellStyle name="Comma 2 2 3 3 2" xfId="16857" xr:uid="{59FC7F55-C66F-4770-82D8-53B66A9B3E1E}"/>
    <cellStyle name="Comma 2 2 3 4" xfId="11682" xr:uid="{E6EB0724-4B08-49B7-BE63-E22CF2364B80}"/>
    <cellStyle name="Comma 2 2 4" xfId="4428" xr:uid="{FC58734D-9DFF-4F25-BED8-C87BAB02817A}"/>
    <cellStyle name="Comma 2 2 4 2" xfId="9604" xr:uid="{C84BC28B-E44B-4EA4-B0D2-FCD93B421962}"/>
    <cellStyle name="Comma 2 2 4 2 2" xfId="19956" xr:uid="{D4350D3B-DEA8-4D27-9C87-CF7A91BFA048}"/>
    <cellStyle name="Comma 2 2 4 3" xfId="14780" xr:uid="{4B800ADA-DBAF-4506-AE88-35A8489BD003}"/>
    <cellStyle name="Comma 2 2 5" xfId="5475" xr:uid="{A0B759A2-624A-4E86-833E-DA13EAB3B2D6}"/>
    <cellStyle name="Comma 2 2 5 2" xfId="15827" xr:uid="{8E56DA84-EC2E-4331-9DD5-2115AE4DD881}"/>
    <cellStyle name="Comma 2 3" xfId="69" xr:uid="{76BF0A9C-6723-4505-B165-93EEC94D6FFE}"/>
    <cellStyle name="Comma 2 3 2" xfId="1275" xr:uid="{53ABD945-B884-46AC-ABFE-7B2813FBA38E}"/>
    <cellStyle name="Comma 2 3 2 2" xfId="3333" xr:uid="{BCCA0CAC-5F2C-4ED6-AE96-212CC8C73CAF}"/>
    <cellStyle name="Comma 2 3 2 2 2" xfId="8566" xr:uid="{A61C5550-56EF-4C5A-9781-8661F0FE9E70}"/>
    <cellStyle name="Comma 2 3 2 2 2 2" xfId="18918" xr:uid="{2710ECC2-1CC5-433D-9241-F51328C9B770}"/>
    <cellStyle name="Comma 2 3 2 2 3" xfId="13743" xr:uid="{14CDB475-A435-4B29-960F-79786F677E03}"/>
    <cellStyle name="Comma 2 3 2 3" xfId="6508" xr:uid="{B31C27DA-2F55-4C49-9EFA-C40C2457261D}"/>
    <cellStyle name="Comma 2 3 2 3 2" xfId="16860" xr:uid="{9AAA43FB-CDD1-4415-A467-F4B080096551}"/>
    <cellStyle name="Comma 2 3 2 4" xfId="11685" xr:uid="{60D5F3B0-E08B-40EC-8C2B-374D43965594}"/>
    <cellStyle name="Comma 2 3 3" xfId="2303" xr:uid="{49120134-9BF1-418D-8F96-3DF05EE86A7F}"/>
    <cellStyle name="Comma 2 3 3 2" xfId="7536" xr:uid="{07A2E8F8-6E92-4413-8D4D-08F8B325A810}"/>
    <cellStyle name="Comma 2 3 3 2 2" xfId="17888" xr:uid="{02BD198A-4636-4378-BCAE-012FFE65EAB9}"/>
    <cellStyle name="Comma 2 3 3 3" xfId="12713" xr:uid="{2CB221C6-5C47-4B49-B1FE-4D44E6F0FCCA}"/>
    <cellStyle name="Comma 2 3 4" xfId="4429" xr:uid="{EF995341-F963-4597-A2BD-2B3DAA809E32}"/>
    <cellStyle name="Comma 2 3 4 2" xfId="9605" xr:uid="{65E5D7C7-6785-4FAD-ADAA-59026BBFB45E}"/>
    <cellStyle name="Comma 2 3 4 2 2" xfId="19957" xr:uid="{3F001FAE-A7CA-4CCB-ABC4-760367CA5A5A}"/>
    <cellStyle name="Comma 2 3 4 3" xfId="14781" xr:uid="{CA917821-63BE-4485-B88B-40E0A42AD687}"/>
    <cellStyle name="Comma 2 3 5" xfId="5476" xr:uid="{30FBBA3B-E58C-4A24-B1CF-F0D2D16958BD}"/>
    <cellStyle name="Comma 2 3 5 2" xfId="15828" xr:uid="{A431A68D-3920-4EC1-9A20-0D277A5D4785}"/>
    <cellStyle name="Comma 2 3 6" xfId="10655" xr:uid="{18701DBC-5418-43B9-A380-896BA8A25275}"/>
    <cellStyle name="Comma 2 4" xfId="1271" xr:uid="{E8663470-9EB7-4970-8629-FA68DA739EB6}"/>
    <cellStyle name="Comma 2 4 2" xfId="3329" xr:uid="{59DD76C9-B54C-4F72-8948-FA75965F2908}"/>
    <cellStyle name="Comma 2 4 2 2" xfId="8562" xr:uid="{7025B288-8B08-4459-8436-D753D486CCD8}"/>
    <cellStyle name="Comma 2 4 2 2 2" xfId="18914" xr:uid="{BF40C971-B911-4A3B-8F32-C72B75D51C87}"/>
    <cellStyle name="Comma 2 4 2 3" xfId="13739" xr:uid="{5A1F1188-AEB1-48DF-87DB-47ADD0BE40C6}"/>
    <cellStyle name="Comma 2 4 3" xfId="6504" xr:uid="{CFD991D5-C82A-41C9-9214-1CF87FAB19C4}"/>
    <cellStyle name="Comma 2 4 3 2" xfId="16856" xr:uid="{62F8602A-DF00-46D7-AA69-581FCAEF392C}"/>
    <cellStyle name="Comma 2 4 4" xfId="11681" xr:uid="{C62C4B60-85ED-4D9E-A9D9-F955A38421DD}"/>
    <cellStyle name="Comma 2 5" xfId="2300" xr:uid="{FCA36F7F-441F-4210-AB24-FAAEEB9373D7}"/>
    <cellStyle name="Comma 2 5 2" xfId="7533" xr:uid="{0090B5DE-2102-4275-944E-9001F860DE8D}"/>
    <cellStyle name="Comma 2 5 2 2" xfId="17885" xr:uid="{EAB8B77B-D0E9-4F1E-9834-2E7F2E28916A}"/>
    <cellStyle name="Comma 2 5 3" xfId="12710" xr:uid="{8C8A3FBF-55D8-4A41-9AA5-4A60489D77E6}"/>
    <cellStyle name="Comma 2 6" xfId="4427" xr:uid="{AB2A339E-E2CB-4948-992D-392FCA696AFE}"/>
    <cellStyle name="Comma 2 6 2" xfId="9603" xr:uid="{19DD0564-910C-4DB2-B770-E19DC7BE0B8C}"/>
    <cellStyle name="Comma 2 6 2 2" xfId="19955" xr:uid="{8634CEC3-C9BA-49AE-AE51-390816971C56}"/>
    <cellStyle name="Comma 2 6 3" xfId="14779" xr:uid="{073BE11F-25E0-4FA4-9B79-D26CF6244214}"/>
    <cellStyle name="Comma 2 7" xfId="5474" xr:uid="{3317CD20-76FB-41C9-B7EB-1A89646A0B02}"/>
    <cellStyle name="Comma 2 7 2" xfId="15826" xr:uid="{D1885E2C-087C-4230-9A68-2E26BECEE315}"/>
    <cellStyle name="Comma 2 8" xfId="10652" xr:uid="{120BEEAF-6886-4A98-B88B-C37164A7A87C}"/>
    <cellStyle name="Comma 20" xfId="211" xr:uid="{42A48B3B-093F-4629-9EB0-1BDCFF0CAD4B}"/>
    <cellStyle name="Comma 20 2" xfId="1297" xr:uid="{A65D0E3B-BDB8-41E3-97B9-AF62CADF3275}"/>
    <cellStyle name="Comma 20 2 2" xfId="3355" xr:uid="{8A40789D-7B49-442B-A8E4-671A9AF7EB13}"/>
    <cellStyle name="Comma 20 2 2 2" xfId="8588" xr:uid="{0EFA4786-1D95-46EB-A62A-F102774EDC8A}"/>
    <cellStyle name="Comma 20 2 2 2 2" xfId="18940" xr:uid="{089D1583-739E-4954-81A3-07E9CADBD7CA}"/>
    <cellStyle name="Comma 20 2 2 3" xfId="13765" xr:uid="{B6B91E86-3DE2-4C80-AF7B-EF4294806FCA}"/>
    <cellStyle name="Comma 20 2 3" xfId="6530" xr:uid="{08A72588-2B8B-43C9-98DE-24356C6AB77E}"/>
    <cellStyle name="Comma 20 2 3 2" xfId="16882" xr:uid="{988DD731-7EA8-4444-9FD3-FC64BA3981E6}"/>
    <cellStyle name="Comma 20 2 4" xfId="11707" xr:uid="{0D4E20A5-2108-4261-97C5-78AC23284599}"/>
    <cellStyle name="Comma 20 3" xfId="2325" xr:uid="{135F72FA-2760-4506-8190-6B49F0C35624}"/>
    <cellStyle name="Comma 20 3 2" xfId="7558" xr:uid="{24111116-710F-4939-8FFE-019CE43CDA45}"/>
    <cellStyle name="Comma 20 3 2 2" xfId="17910" xr:uid="{6EFB81FC-7725-4F24-9055-EC6E5EB5046C}"/>
    <cellStyle name="Comma 20 3 3" xfId="12735" xr:uid="{B35A0AF0-3F3D-4CC2-83A2-7CA4594F700F}"/>
    <cellStyle name="Comma 20 4" xfId="4451" xr:uid="{02553C98-189E-40A5-8B2E-9A5AC3688401}"/>
    <cellStyle name="Comma 20 4 2" xfId="9627" xr:uid="{55705A9C-EA17-4135-8254-660AA4F9504C}"/>
    <cellStyle name="Comma 20 4 2 2" xfId="19979" xr:uid="{D6C6B06D-E784-4F76-AE21-C3D3EEF5F95B}"/>
    <cellStyle name="Comma 20 4 3" xfId="14803" xr:uid="{8E348F0D-BEF5-4F09-A7CF-69B64CE0DA40}"/>
    <cellStyle name="Comma 20 5" xfId="5499" xr:uid="{79202F0D-A1C9-44BF-9D0B-F99E5F9A107E}"/>
    <cellStyle name="Comma 20 5 2" xfId="15851" xr:uid="{A4411F9A-EEB8-46CB-AEDC-35E60CB69D1F}"/>
    <cellStyle name="Comma 20 6" xfId="10677" xr:uid="{BEE93A57-1EEB-4D68-A8B7-8482105DD78D}"/>
    <cellStyle name="Comma 200" xfId="440" xr:uid="{372821C1-E972-4198-8E81-7954C6C89682}"/>
    <cellStyle name="Comma 200 2" xfId="1478" xr:uid="{9202F4D9-E525-429C-A5BE-412B50C16959}"/>
    <cellStyle name="Comma 200 2 2" xfId="3536" xr:uid="{981CAD13-0128-4D6B-89E7-7AC8287A557F}"/>
    <cellStyle name="Comma 200 2 2 2" xfId="8769" xr:uid="{F727B756-7740-4F02-989C-D93D4BA233F4}"/>
    <cellStyle name="Comma 200 2 2 2 2" xfId="19121" xr:uid="{0B35A4A1-1A1A-492A-875B-490E6EED7BE4}"/>
    <cellStyle name="Comma 200 2 2 3" xfId="13946" xr:uid="{48CA020C-DC7C-46B8-825F-1AD975D4E18D}"/>
    <cellStyle name="Comma 200 2 3" xfId="6711" xr:uid="{3488163A-C285-4A7F-AE6E-9925C64D981D}"/>
    <cellStyle name="Comma 200 2 3 2" xfId="17063" xr:uid="{31222022-2E9F-4C31-AAC7-381C2D3B7120}"/>
    <cellStyle name="Comma 200 2 4" xfId="11888" xr:uid="{DA1DA6C7-9B90-4C0D-AE4C-D3C4C2265A5A}"/>
    <cellStyle name="Comma 200 3" xfId="2506" xr:uid="{CA7B40EB-9882-48E4-B76F-A386AC41DE9E}"/>
    <cellStyle name="Comma 200 3 2" xfId="7739" xr:uid="{3126BB02-A787-4013-890D-E96D34DFCA4E}"/>
    <cellStyle name="Comma 200 3 2 2" xfId="18091" xr:uid="{12DD4541-9726-4F36-B913-5F93C6A57D93}"/>
    <cellStyle name="Comma 200 3 3" xfId="12916" xr:uid="{30A817DF-F808-4560-9A6D-E46802626637}"/>
    <cellStyle name="Comma 200 4" xfId="4632" xr:uid="{C5A7A69D-2829-43FF-BAB8-0DC91BE4D79E}"/>
    <cellStyle name="Comma 200 4 2" xfId="9808" xr:uid="{802D4C7D-963D-4558-81EB-60502BBB6E28}"/>
    <cellStyle name="Comma 200 4 2 2" xfId="20160" xr:uid="{88C940EF-32FC-4286-9C91-4D31389CBE81}"/>
    <cellStyle name="Comma 200 4 3" xfId="14984" xr:uid="{DFAE58F8-4290-4B68-A02F-ABC7BA27FC2A}"/>
    <cellStyle name="Comma 200 5" xfId="5680" xr:uid="{AF62FCC6-F2ED-459C-84BB-596FC18AD705}"/>
    <cellStyle name="Comma 200 5 2" xfId="16032" xr:uid="{741B0936-9C0F-4B73-A023-F4517679EE71}"/>
    <cellStyle name="Comma 200 6" xfId="10858" xr:uid="{D48F217B-B477-4FF0-90A3-BA7F7AD322D8}"/>
    <cellStyle name="Comma 201" xfId="441" xr:uid="{4E2FA905-933D-4B1C-9445-147C7ADA23D5}"/>
    <cellStyle name="Comma 201 2" xfId="1479" xr:uid="{B68309AB-AAB5-4F22-BE49-B03FC4249E86}"/>
    <cellStyle name="Comma 201 2 2" xfId="3537" xr:uid="{8AF35B09-1238-4919-9C22-887300A79E39}"/>
    <cellStyle name="Comma 201 2 2 2" xfId="8770" xr:uid="{B19C3AF5-FA2F-4275-9674-CD93C9D7B6EF}"/>
    <cellStyle name="Comma 201 2 2 2 2" xfId="19122" xr:uid="{EECE24F2-5EEA-4D18-86FB-102B2C00181F}"/>
    <cellStyle name="Comma 201 2 2 3" xfId="13947" xr:uid="{EEF65282-55C9-45C3-826F-2DC1B782B019}"/>
    <cellStyle name="Comma 201 2 3" xfId="6712" xr:uid="{F4D1EB9B-F0C3-4F1A-A4FE-A23D6DDDE9AB}"/>
    <cellStyle name="Comma 201 2 3 2" xfId="17064" xr:uid="{AE10DD71-92D0-47F5-AEFD-6697F62F5D0E}"/>
    <cellStyle name="Comma 201 2 4" xfId="11889" xr:uid="{917149CB-77CC-46A1-82C3-BF13C0ABD1E6}"/>
    <cellStyle name="Comma 201 3" xfId="2507" xr:uid="{DB0B5905-835A-4C9D-B1BB-384FE168820D}"/>
    <cellStyle name="Comma 201 3 2" xfId="7740" xr:uid="{D5C56046-2BA9-4FF9-BF2D-3908F76D72ED}"/>
    <cellStyle name="Comma 201 3 2 2" xfId="18092" xr:uid="{969DC11F-D30E-4F55-9893-C296A119637C}"/>
    <cellStyle name="Comma 201 3 3" xfId="12917" xr:uid="{766926FA-A237-4CD5-BDA7-C21E5AD27604}"/>
    <cellStyle name="Comma 201 4" xfId="4633" xr:uid="{D8323C13-2F07-46B7-B03A-E47CC744D5FD}"/>
    <cellStyle name="Comma 201 4 2" xfId="9809" xr:uid="{6A463057-ED97-4D27-A447-4865FBA0E86E}"/>
    <cellStyle name="Comma 201 4 2 2" xfId="20161" xr:uid="{AC9BF8AD-AE81-497B-B6C3-13FF6B9F66C7}"/>
    <cellStyle name="Comma 201 4 3" xfId="14985" xr:uid="{E1B3529B-3E27-4885-8741-E770F57F76E1}"/>
    <cellStyle name="Comma 201 5" xfId="5681" xr:uid="{F0332C26-6347-4D5C-A7CF-10CC4BB59F52}"/>
    <cellStyle name="Comma 201 5 2" xfId="16033" xr:uid="{98B72E24-8090-4763-885A-258D16DBEA4B}"/>
    <cellStyle name="Comma 201 6" xfId="10859" xr:uid="{143CA2BA-EAE6-484A-BD25-8D8CD67E4BB3}"/>
    <cellStyle name="Comma 202" xfId="442" xr:uid="{FFCA9E9C-0DF9-4DBA-A9C0-24B2F0BC7900}"/>
    <cellStyle name="Comma 202 2" xfId="1480" xr:uid="{DD11F76D-B5E1-414E-9BD3-3DC482ADB1D1}"/>
    <cellStyle name="Comma 202 2 2" xfId="3538" xr:uid="{D6EF54FB-9F87-4953-8391-2BB05AA6680C}"/>
    <cellStyle name="Comma 202 2 2 2" xfId="8771" xr:uid="{671D3F20-A2AA-40CC-9AC3-C517563BEC03}"/>
    <cellStyle name="Comma 202 2 2 2 2" xfId="19123" xr:uid="{2FAB4C1D-02CC-4600-8B51-4B71DFA5F713}"/>
    <cellStyle name="Comma 202 2 2 3" xfId="13948" xr:uid="{758427DC-7A7C-4664-8458-5A1EA9B8DB89}"/>
    <cellStyle name="Comma 202 2 3" xfId="6713" xr:uid="{6C85F42F-4E94-45FF-9A10-1BD3E08310DF}"/>
    <cellStyle name="Comma 202 2 3 2" xfId="17065" xr:uid="{40CC63C1-AEF2-46EC-91BA-CC28B467E6C1}"/>
    <cellStyle name="Comma 202 2 4" xfId="11890" xr:uid="{A441D98D-1B94-4425-8CAB-DAAFB862EF6D}"/>
    <cellStyle name="Comma 202 3" xfId="2508" xr:uid="{EFE76EBB-31FA-42ED-B9A4-097A1989AE32}"/>
    <cellStyle name="Comma 202 3 2" xfId="7741" xr:uid="{097EB277-BA1D-4E8A-94AC-BE4EEE1246AB}"/>
    <cellStyle name="Comma 202 3 2 2" xfId="18093" xr:uid="{807FB69D-6CC2-41B4-B665-3A842B08C757}"/>
    <cellStyle name="Comma 202 3 3" xfId="12918" xr:uid="{40D671C6-33FD-4090-AD60-24699FF0AB08}"/>
    <cellStyle name="Comma 202 4" xfId="4634" xr:uid="{7E0B16A3-BE45-40DF-AE24-501193847D01}"/>
    <cellStyle name="Comma 202 4 2" xfId="9810" xr:uid="{AA02B30C-D493-410C-86E9-A29F6934B483}"/>
    <cellStyle name="Comma 202 4 2 2" xfId="20162" xr:uid="{D8EB2629-FA01-4CB6-8830-43B7D7C31142}"/>
    <cellStyle name="Comma 202 4 3" xfId="14986" xr:uid="{3A57FF00-B2E8-478D-A93E-60E53879772B}"/>
    <cellStyle name="Comma 202 5" xfId="5682" xr:uid="{83B54B1F-3231-4EBE-A69B-39E1E9C1F167}"/>
    <cellStyle name="Comma 202 5 2" xfId="16034" xr:uid="{8671CF18-B5B8-4119-9E56-6A04E6478A62}"/>
    <cellStyle name="Comma 202 6" xfId="10860" xr:uid="{35574AC2-5C52-4DEF-A27B-D92AD55B7FDB}"/>
    <cellStyle name="Comma 203" xfId="443" xr:uid="{64B283ED-9F77-4115-A26D-C0F9CA4B11BC}"/>
    <cellStyle name="Comma 203 2" xfId="1481" xr:uid="{04426601-2535-45A1-9285-D6AB45942476}"/>
    <cellStyle name="Comma 203 2 2" xfId="3539" xr:uid="{ADD634DE-F8F2-4648-8893-7A0BEC4F83A7}"/>
    <cellStyle name="Comma 203 2 2 2" xfId="8772" xr:uid="{C8ADBF0B-FDE5-4EF9-9799-78A73107022E}"/>
    <cellStyle name="Comma 203 2 2 2 2" xfId="19124" xr:uid="{491FE481-8565-408E-8F6A-4DAC0605533C}"/>
    <cellStyle name="Comma 203 2 2 3" xfId="13949" xr:uid="{897BBACF-8FB5-4361-A845-D268F4F5BD51}"/>
    <cellStyle name="Comma 203 2 3" xfId="6714" xr:uid="{115D7E00-5232-436C-93C3-71AFA98ED2CC}"/>
    <cellStyle name="Comma 203 2 3 2" xfId="17066" xr:uid="{A49D7E46-18E4-481D-A37C-AE436813AA85}"/>
    <cellStyle name="Comma 203 2 4" xfId="11891" xr:uid="{ADE42A82-5489-45B7-B8BE-278DB7B4CDE4}"/>
    <cellStyle name="Comma 203 3" xfId="2509" xr:uid="{EAE28C1D-F5CE-4B64-B3A9-B356933C304D}"/>
    <cellStyle name="Comma 203 3 2" xfId="7742" xr:uid="{0E822A17-0010-4373-8EF1-B8A29AD0657C}"/>
    <cellStyle name="Comma 203 3 2 2" xfId="18094" xr:uid="{A67B118D-4EBE-4181-B2EC-A0C08F41A8AF}"/>
    <cellStyle name="Comma 203 3 3" xfId="12919" xr:uid="{6ADC6803-79E5-4D3D-B2CE-20EA8A2ED802}"/>
    <cellStyle name="Comma 203 4" xfId="4635" xr:uid="{06CD425E-05EB-4B75-A57D-FE47F0BBFC12}"/>
    <cellStyle name="Comma 203 4 2" xfId="9811" xr:uid="{E1650655-ADA5-44F8-8327-4CF82C3D70D5}"/>
    <cellStyle name="Comma 203 4 2 2" xfId="20163" xr:uid="{F91C3EB2-EC18-476C-8D9F-089898C78066}"/>
    <cellStyle name="Comma 203 4 3" xfId="14987" xr:uid="{0400B597-C6BE-4889-8097-FDF9A79BF7ED}"/>
    <cellStyle name="Comma 203 5" xfId="5683" xr:uid="{E0ABD844-642A-45A9-8BBA-D8B503D55B6C}"/>
    <cellStyle name="Comma 203 5 2" xfId="16035" xr:uid="{DECDFCDD-D1DE-48F9-BA9A-BC74F259FEDD}"/>
    <cellStyle name="Comma 203 6" xfId="10861" xr:uid="{E1E01857-5842-49ED-8D86-0F7B6DC54DA7}"/>
    <cellStyle name="Comma 204" xfId="444" xr:uid="{7C86A98C-3C36-41AB-994F-9A1AF6F12B63}"/>
    <cellStyle name="Comma 204 2" xfId="1482" xr:uid="{A2450FC2-87F8-48A3-8610-A3C967714F81}"/>
    <cellStyle name="Comma 204 2 2" xfId="3540" xr:uid="{7C2BF7DD-A5E1-4991-904F-C2AF6EF3744E}"/>
    <cellStyle name="Comma 204 2 2 2" xfId="8773" xr:uid="{06C651D7-79D1-48B1-9DEC-E13760F8449F}"/>
    <cellStyle name="Comma 204 2 2 2 2" xfId="19125" xr:uid="{BA7B3122-8614-4DD0-80C9-4D85672973E1}"/>
    <cellStyle name="Comma 204 2 2 3" xfId="13950" xr:uid="{6654D68B-1AF1-441A-9EA3-830794FCE3AF}"/>
    <cellStyle name="Comma 204 2 3" xfId="6715" xr:uid="{1F9A93C0-ACEF-4813-BBA8-67C9680917F3}"/>
    <cellStyle name="Comma 204 2 3 2" xfId="17067" xr:uid="{816528E9-204D-4D87-B9BA-B99C52331EDE}"/>
    <cellStyle name="Comma 204 2 4" xfId="11892" xr:uid="{DAD78411-891D-40FC-8E3D-14B66502D86B}"/>
    <cellStyle name="Comma 204 3" xfId="2510" xr:uid="{8EB58067-8F9A-494E-9134-DF15C2BFBAAC}"/>
    <cellStyle name="Comma 204 3 2" xfId="7743" xr:uid="{BBB402D4-7B77-43DB-8356-5D03A031F88F}"/>
    <cellStyle name="Comma 204 3 2 2" xfId="18095" xr:uid="{59DF73DD-914D-480E-AA5F-672AEF1C37EA}"/>
    <cellStyle name="Comma 204 3 3" xfId="12920" xr:uid="{19A177A2-849D-489C-BFE4-A4D754D938D6}"/>
    <cellStyle name="Comma 204 4" xfId="4636" xr:uid="{418392C5-F500-41D0-A85C-9D3065253A61}"/>
    <cellStyle name="Comma 204 4 2" xfId="9812" xr:uid="{FC158486-7530-44EA-ABBA-77934DDEAD37}"/>
    <cellStyle name="Comma 204 4 2 2" xfId="20164" xr:uid="{687741D0-D430-4A2C-9D43-E1D7AE2FD198}"/>
    <cellStyle name="Comma 204 4 3" xfId="14988" xr:uid="{E1481EFD-247E-4450-805D-FE849AD84352}"/>
    <cellStyle name="Comma 204 5" xfId="5684" xr:uid="{D98E4F48-8CD5-4ECF-BDAA-068D1E84A57B}"/>
    <cellStyle name="Comma 204 5 2" xfId="16036" xr:uid="{689A4505-2D3C-42EF-B3AD-FF8488AD315A}"/>
    <cellStyle name="Comma 204 6" xfId="10862" xr:uid="{4514BF3D-B7CA-4579-B7EC-F0F6AF98834F}"/>
    <cellStyle name="Comma 205" xfId="445" xr:uid="{351C1800-97F6-4115-A561-CE1E5A7C9059}"/>
    <cellStyle name="Comma 205 2" xfId="1483" xr:uid="{65BDAAB6-5BC3-4394-A2D7-80182ACB9911}"/>
    <cellStyle name="Comma 205 2 2" xfId="3541" xr:uid="{F4D0DD53-F740-44A4-904E-3F62376B7989}"/>
    <cellStyle name="Comma 205 2 2 2" xfId="8774" xr:uid="{14700A87-7B08-40A0-B6F9-8E45F35213E5}"/>
    <cellStyle name="Comma 205 2 2 2 2" xfId="19126" xr:uid="{A1B51610-28DE-41B5-ADC8-310E23EF5A9A}"/>
    <cellStyle name="Comma 205 2 2 3" xfId="13951" xr:uid="{9642156D-7B0B-43B3-993B-AEEDD056A91F}"/>
    <cellStyle name="Comma 205 2 3" xfId="6716" xr:uid="{882F2574-8D1B-4DE3-9F10-F3A7DA51E4A3}"/>
    <cellStyle name="Comma 205 2 3 2" xfId="17068" xr:uid="{E956490B-8E55-42B9-8B98-EF9489EDB4A6}"/>
    <cellStyle name="Comma 205 2 4" xfId="11893" xr:uid="{BD11D1EA-4603-4A01-B6BF-8EA58BC80D66}"/>
    <cellStyle name="Comma 205 3" xfId="2511" xr:uid="{BCBD7B0D-9CE1-45A4-B662-49189D96A3DE}"/>
    <cellStyle name="Comma 205 3 2" xfId="7744" xr:uid="{0089C0E2-EA12-462C-AC7C-0A60AE52DB5C}"/>
    <cellStyle name="Comma 205 3 2 2" xfId="18096" xr:uid="{B169C273-EA45-4EFE-B962-63996A897281}"/>
    <cellStyle name="Comma 205 3 3" xfId="12921" xr:uid="{A3E63C1B-B7C8-4169-8EFA-8C836F80489C}"/>
    <cellStyle name="Comma 205 4" xfId="4637" xr:uid="{EEFF1E8A-A8BF-4209-AE93-500D01655BEE}"/>
    <cellStyle name="Comma 205 4 2" xfId="9813" xr:uid="{7DD62078-698B-4A46-BA03-53449D2FE1C7}"/>
    <cellStyle name="Comma 205 4 2 2" xfId="20165" xr:uid="{14A3A246-FE85-4B68-B97B-87C8F865D055}"/>
    <cellStyle name="Comma 205 4 3" xfId="14989" xr:uid="{95DA93C0-D5AF-46D6-8154-3C30F5F76904}"/>
    <cellStyle name="Comma 205 5" xfId="5685" xr:uid="{C77C5744-6EDB-486A-9924-53CDE8D5813A}"/>
    <cellStyle name="Comma 205 5 2" xfId="16037" xr:uid="{0544D817-5F31-45FA-9841-629986130D5F}"/>
    <cellStyle name="Comma 205 6" xfId="10863" xr:uid="{25E7F8F4-F9DB-470F-8BFE-D06A08E4B5DA}"/>
    <cellStyle name="Comma 206" xfId="446" xr:uid="{58AAB610-0FEF-48FA-8255-C863B5B3B3F2}"/>
    <cellStyle name="Comma 206 2" xfId="1484" xr:uid="{3E14D4D2-92A0-4355-A59C-F16B41F13D97}"/>
    <cellStyle name="Comma 206 2 2" xfId="3542" xr:uid="{BBA9C8D4-82FF-43B1-AD06-A5FBD7496DC1}"/>
    <cellStyle name="Comma 206 2 2 2" xfId="8775" xr:uid="{7847E92A-053A-4597-9F21-D30E14B1A26B}"/>
    <cellStyle name="Comma 206 2 2 2 2" xfId="19127" xr:uid="{F2B95285-8E19-4A64-85C8-DD6F29CE120C}"/>
    <cellStyle name="Comma 206 2 2 3" xfId="13952" xr:uid="{572638E2-A127-4A10-A787-C57A62E809CE}"/>
    <cellStyle name="Comma 206 2 3" xfId="6717" xr:uid="{488FB88D-3BB3-4430-9C40-3C8196AD0068}"/>
    <cellStyle name="Comma 206 2 3 2" xfId="17069" xr:uid="{CBB026C4-74E4-43BE-8B24-79E5B0D98AE9}"/>
    <cellStyle name="Comma 206 2 4" xfId="11894" xr:uid="{62C89B6C-D3E1-46C2-9991-7F2D23C8422F}"/>
    <cellStyle name="Comma 206 3" xfId="2512" xr:uid="{7E007672-B15C-416C-9F6B-60B85B4CE77B}"/>
    <cellStyle name="Comma 206 3 2" xfId="7745" xr:uid="{0563995E-340B-4743-9C49-D9959FB4EE5A}"/>
    <cellStyle name="Comma 206 3 2 2" xfId="18097" xr:uid="{1583B123-1BCF-4256-91AC-33BB01E24C28}"/>
    <cellStyle name="Comma 206 3 3" xfId="12922" xr:uid="{E4BEEE23-B93C-422D-84FD-E9610458E423}"/>
    <cellStyle name="Comma 206 4" xfId="4638" xr:uid="{06497A72-28F3-4A94-978F-D26CEF50B285}"/>
    <cellStyle name="Comma 206 4 2" xfId="9814" xr:uid="{82942C32-6634-4A57-BAEB-F735C2DF5BC4}"/>
    <cellStyle name="Comma 206 4 2 2" xfId="20166" xr:uid="{9F9A217B-2142-49DB-B2F0-42B944CCF4A4}"/>
    <cellStyle name="Comma 206 4 3" xfId="14990" xr:uid="{319D9C3E-CEDF-4F44-90EB-44218970784B}"/>
    <cellStyle name="Comma 206 5" xfId="5686" xr:uid="{852956DB-FFD0-4970-9787-0BA3A4F2213D}"/>
    <cellStyle name="Comma 206 5 2" xfId="16038" xr:uid="{6ED32B56-C617-43F8-ADC4-1C12E690B68B}"/>
    <cellStyle name="Comma 206 6" xfId="10864" xr:uid="{9702EA4F-2EAE-47F0-9B17-09666821198D}"/>
    <cellStyle name="Comma 207" xfId="447" xr:uid="{8152E7BE-C2AA-4C0A-BCFB-6D2D17E9870C}"/>
    <cellStyle name="Comma 207 2" xfId="1485" xr:uid="{45CB8AD4-CBFF-4C15-B8EA-AB36C0150E50}"/>
    <cellStyle name="Comma 207 2 2" xfId="3543" xr:uid="{6D740899-C14D-4DF6-AB5C-CE8BB4F2F1ED}"/>
    <cellStyle name="Comma 207 2 2 2" xfId="8776" xr:uid="{71B30F7F-A2BF-4A16-9DF4-C868FB955DDD}"/>
    <cellStyle name="Comma 207 2 2 2 2" xfId="19128" xr:uid="{A6996B12-18C5-4D1E-9E86-094A4187710D}"/>
    <cellStyle name="Comma 207 2 2 3" xfId="13953" xr:uid="{6DC8728A-BD54-4F23-91FB-96154A76517D}"/>
    <cellStyle name="Comma 207 2 3" xfId="6718" xr:uid="{6FCE435A-5F0A-497A-A42C-45FE384B41F4}"/>
    <cellStyle name="Comma 207 2 3 2" xfId="17070" xr:uid="{37C2E988-32DC-4A30-BD43-90E8104BF9FB}"/>
    <cellStyle name="Comma 207 2 4" xfId="11895" xr:uid="{7FB47249-2C78-4C8F-95BC-443137D2D871}"/>
    <cellStyle name="Comma 207 3" xfId="2513" xr:uid="{2F28D594-B369-41AB-AAB8-4556EEF76333}"/>
    <cellStyle name="Comma 207 3 2" xfId="7746" xr:uid="{C226B6D7-32FA-42C9-B8C6-507229D59999}"/>
    <cellStyle name="Comma 207 3 2 2" xfId="18098" xr:uid="{A131D071-62D9-4EFB-9549-3BAA7778DB00}"/>
    <cellStyle name="Comma 207 3 3" xfId="12923" xr:uid="{644B2370-7533-4ED7-9F08-5153A498E982}"/>
    <cellStyle name="Comma 207 4" xfId="4639" xr:uid="{79CD46F6-0C55-40F9-8079-BB88C6604446}"/>
    <cellStyle name="Comma 207 4 2" xfId="9815" xr:uid="{A8DE9802-A6FB-4FA3-9CE7-077DCA7DB00B}"/>
    <cellStyle name="Comma 207 4 2 2" xfId="20167" xr:uid="{65D5D52C-4901-45F9-84AE-415442ECEAA0}"/>
    <cellStyle name="Comma 207 4 3" xfId="14991" xr:uid="{82D1D853-E8F2-4B9F-93E5-472F1E52DC3F}"/>
    <cellStyle name="Comma 207 5" xfId="5687" xr:uid="{706E6A85-B0F9-42C5-9726-326F4B366185}"/>
    <cellStyle name="Comma 207 5 2" xfId="16039" xr:uid="{25FF496B-78B1-4AAC-9637-CD68D03F4284}"/>
    <cellStyle name="Comma 207 6" xfId="10865" xr:uid="{3746CD4F-B4E6-4206-88BB-A3AE279C3255}"/>
    <cellStyle name="Comma 208" xfId="448" xr:uid="{CADA4AEB-1BB9-4701-90C9-8CBC2FBB7C2A}"/>
    <cellStyle name="Comma 208 2" xfId="1486" xr:uid="{CC19BC76-03D5-4EB5-B4ED-66060687C0DC}"/>
    <cellStyle name="Comma 208 2 2" xfId="3544" xr:uid="{BB387409-75FE-4F15-B2AD-4213743B4577}"/>
    <cellStyle name="Comma 208 2 2 2" xfId="8777" xr:uid="{14E65D7C-4E2D-4CD2-A173-7F822C72029E}"/>
    <cellStyle name="Comma 208 2 2 2 2" xfId="19129" xr:uid="{DC8C31BE-106C-496F-B15F-211C8414618C}"/>
    <cellStyle name="Comma 208 2 2 3" xfId="13954" xr:uid="{B16AE6DF-78F3-4271-90F6-D718834973B2}"/>
    <cellStyle name="Comma 208 2 3" xfId="6719" xr:uid="{F23DA0F3-B3C5-4B4C-8586-2DDDFECE4AC1}"/>
    <cellStyle name="Comma 208 2 3 2" xfId="17071" xr:uid="{FAEAA601-A90B-456A-919E-F33841AB69FC}"/>
    <cellStyle name="Comma 208 2 4" xfId="11896" xr:uid="{A394B1DF-AF61-40FD-8FE2-8D979C36D621}"/>
    <cellStyle name="Comma 208 3" xfId="2514" xr:uid="{1ADF4A4C-AAFD-483B-B560-D367893DE041}"/>
    <cellStyle name="Comma 208 3 2" xfId="7747" xr:uid="{769BE502-1F9E-4CDC-BFF3-63C9C4C0AE30}"/>
    <cellStyle name="Comma 208 3 2 2" xfId="18099" xr:uid="{A124C80E-78F6-49F9-BA64-3ECEF0DF1E4E}"/>
    <cellStyle name="Comma 208 3 3" xfId="12924" xr:uid="{DE71174A-AF17-4AFF-9D07-0D826699A20D}"/>
    <cellStyle name="Comma 208 4" xfId="4640" xr:uid="{BAF3DB82-3489-4832-B502-499F23EB43BE}"/>
    <cellStyle name="Comma 208 4 2" xfId="9816" xr:uid="{8CFE1C07-9057-4267-8005-CF09577974E5}"/>
    <cellStyle name="Comma 208 4 2 2" xfId="20168" xr:uid="{71E635D9-16A7-4C79-A9DE-97E715D6621D}"/>
    <cellStyle name="Comma 208 4 3" xfId="14992" xr:uid="{9BC78A1D-AC90-4F52-8256-AC12E355AB82}"/>
    <cellStyle name="Comma 208 5" xfId="5688" xr:uid="{D8A9EFA7-5C18-4989-9342-66B02405C4FC}"/>
    <cellStyle name="Comma 208 5 2" xfId="16040" xr:uid="{0903E374-74AA-41A4-AE78-52A6DE2C6372}"/>
    <cellStyle name="Comma 208 6" xfId="10866" xr:uid="{31A4FC85-831E-4858-8DA4-D9F0B489C834}"/>
    <cellStyle name="Comma 209" xfId="449" xr:uid="{FB7A9C63-A594-4A71-9319-F3B55AA622C2}"/>
    <cellStyle name="Comma 209 2" xfId="1487" xr:uid="{41702335-5160-4CBF-9161-8785E3E0EB95}"/>
    <cellStyle name="Comma 209 2 2" xfId="3545" xr:uid="{D5C0E60C-2553-4A35-BD02-E49F1DF4CE5D}"/>
    <cellStyle name="Comma 209 2 2 2" xfId="8778" xr:uid="{6F8CB214-F1EA-4493-A5EC-4F97F2BF95F6}"/>
    <cellStyle name="Comma 209 2 2 2 2" xfId="19130" xr:uid="{2B1C177D-8E16-4043-A859-5F705BB62D9A}"/>
    <cellStyle name="Comma 209 2 2 3" xfId="13955" xr:uid="{EB2A28CF-00E6-49FA-9605-6D32597ACEE7}"/>
    <cellStyle name="Comma 209 2 3" xfId="6720" xr:uid="{9C0D5991-04A2-40B3-9CB8-9B944EDA0298}"/>
    <cellStyle name="Comma 209 2 3 2" xfId="17072" xr:uid="{F3012370-6D4A-4242-AA77-077892ABE49C}"/>
    <cellStyle name="Comma 209 2 4" xfId="11897" xr:uid="{3FA56125-906A-49FA-AAC5-BBAE12DC68F1}"/>
    <cellStyle name="Comma 209 3" xfId="2515" xr:uid="{6DFD1E01-453E-4DD8-B7B0-1BD713481741}"/>
    <cellStyle name="Comma 209 3 2" xfId="7748" xr:uid="{58E89512-23D9-4CDA-B46A-1DC991CC4A77}"/>
    <cellStyle name="Comma 209 3 2 2" xfId="18100" xr:uid="{7355CAC6-406B-4220-B3D0-27850CC5AFED}"/>
    <cellStyle name="Comma 209 3 3" xfId="12925" xr:uid="{CC328911-D9CF-43A2-857B-2BB273979DA4}"/>
    <cellStyle name="Comma 209 4" xfId="4641" xr:uid="{68363258-3325-4435-9B18-C83D5CAE3D0A}"/>
    <cellStyle name="Comma 209 4 2" xfId="9817" xr:uid="{A728FBAC-2DB8-417C-8623-B8B33B081D08}"/>
    <cellStyle name="Comma 209 4 2 2" xfId="20169" xr:uid="{7D317F44-1DE2-49E0-8B25-AA2F6F058ADE}"/>
    <cellStyle name="Comma 209 4 3" xfId="14993" xr:uid="{E8AD9FFD-BECC-4720-9A39-145B02C74B60}"/>
    <cellStyle name="Comma 209 5" xfId="5689" xr:uid="{3E209EB1-4CE9-439F-BA9E-3305669CD564}"/>
    <cellStyle name="Comma 209 5 2" xfId="16041" xr:uid="{58701993-318C-409C-B40F-65AEF5FF17E3}"/>
    <cellStyle name="Comma 209 6" xfId="10867" xr:uid="{73E58F22-298D-43AA-8CF8-48FEF1AB5DB4}"/>
    <cellStyle name="Comma 21" xfId="212" xr:uid="{B7B36C07-1D1D-4BDA-9E93-24A11D5AA60E}"/>
    <cellStyle name="Comma 21 2" xfId="1298" xr:uid="{0442622E-1835-4C17-A011-4D6E564C2522}"/>
    <cellStyle name="Comma 21 2 2" xfId="3356" xr:uid="{EF26215A-4251-4727-858B-7BA79EFC2A11}"/>
    <cellStyle name="Comma 21 2 2 2" xfId="8589" xr:uid="{BD97CA90-8B17-44B0-AE64-A29B405925CB}"/>
    <cellStyle name="Comma 21 2 2 2 2" xfId="18941" xr:uid="{DECFB10A-F2B6-43D6-8548-DCB56B68B169}"/>
    <cellStyle name="Comma 21 2 2 3" xfId="13766" xr:uid="{E6C0CE59-58FD-48D0-A721-1925555684B2}"/>
    <cellStyle name="Comma 21 2 3" xfId="6531" xr:uid="{F8E5B564-C95E-41E6-BC0E-B77139AFB629}"/>
    <cellStyle name="Comma 21 2 3 2" xfId="16883" xr:uid="{6C4ECB16-C252-4C35-AAEE-8DF2F5FF6EC9}"/>
    <cellStyle name="Comma 21 2 4" xfId="11708" xr:uid="{C57751A3-70E0-4CE1-A621-EC96D3F35322}"/>
    <cellStyle name="Comma 21 3" xfId="2326" xr:uid="{8B33290F-E6A5-4353-9843-46757E7DACD7}"/>
    <cellStyle name="Comma 21 3 2" xfId="7559" xr:uid="{D9336473-498A-49A1-903B-F38EB27A9D87}"/>
    <cellStyle name="Comma 21 3 2 2" xfId="17911" xr:uid="{75E088F6-C206-4C7F-B779-7888593FD7E6}"/>
    <cellStyle name="Comma 21 3 3" xfId="12736" xr:uid="{0312861B-D248-4920-8864-63DC0ADCD1B0}"/>
    <cellStyle name="Comma 21 4" xfId="4452" xr:uid="{564E3CE6-0025-466C-946C-75B8042D6572}"/>
    <cellStyle name="Comma 21 4 2" xfId="9628" xr:uid="{E2D72674-7914-4A03-ADF9-6A6C0ECF1D38}"/>
    <cellStyle name="Comma 21 4 2 2" xfId="19980" xr:uid="{7E87D94A-78E5-41F5-9B5A-4BE554E493AA}"/>
    <cellStyle name="Comma 21 4 3" xfId="14804" xr:uid="{2306FD93-9DBA-4B04-B9EC-5EC4E0551AB0}"/>
    <cellStyle name="Comma 21 5" xfId="5500" xr:uid="{D635FC44-D4AD-40A4-AA38-CFA6551C9065}"/>
    <cellStyle name="Comma 21 5 2" xfId="15852" xr:uid="{689139B5-7F95-4D5C-8A52-29A724F379E0}"/>
    <cellStyle name="Comma 21 6" xfId="10678" xr:uid="{59417C27-2F84-43BE-BEC8-3F6DA8B0B78B}"/>
    <cellStyle name="Comma 210" xfId="450" xr:uid="{91EAFCCB-DADF-4967-9030-019A0BDE51A4}"/>
    <cellStyle name="Comma 210 2" xfId="1488" xr:uid="{3C84E5EA-2312-46D0-B8FF-8653D0A4F54E}"/>
    <cellStyle name="Comma 210 2 2" xfId="3546" xr:uid="{102BB6F7-C8FF-4EC3-A944-39161D4E5994}"/>
    <cellStyle name="Comma 210 2 2 2" xfId="8779" xr:uid="{C15248D3-43FC-4100-8F04-D917EC08E626}"/>
    <cellStyle name="Comma 210 2 2 2 2" xfId="19131" xr:uid="{93485A79-F108-49C9-A3E2-AF988F1DCBAC}"/>
    <cellStyle name="Comma 210 2 2 3" xfId="13956" xr:uid="{8C81F7AA-6865-475F-8CBE-02F10D49B5DA}"/>
    <cellStyle name="Comma 210 2 3" xfId="6721" xr:uid="{68F1DEED-986B-411C-A6DE-98041ACCAA2F}"/>
    <cellStyle name="Comma 210 2 3 2" xfId="17073" xr:uid="{1EDE520A-A424-4FAE-A3E1-419D660A4D2F}"/>
    <cellStyle name="Comma 210 2 4" xfId="11898" xr:uid="{8AB15E3D-542E-4585-99CE-FC7C50B37243}"/>
    <cellStyle name="Comma 210 3" xfId="2516" xr:uid="{30CC6DD1-C46E-4C75-8194-0303FA21A53E}"/>
    <cellStyle name="Comma 210 3 2" xfId="7749" xr:uid="{428A0814-2BC3-4A45-B13C-BD02372964F1}"/>
    <cellStyle name="Comma 210 3 2 2" xfId="18101" xr:uid="{473B62DF-AE5D-4A15-A989-5B10002A1FE4}"/>
    <cellStyle name="Comma 210 3 3" xfId="12926" xr:uid="{18069B67-37BE-466A-895A-53864BEB64B5}"/>
    <cellStyle name="Comma 210 4" xfId="4642" xr:uid="{1C854060-DE00-4B7A-BE3A-D32380E44DD3}"/>
    <cellStyle name="Comma 210 4 2" xfId="9818" xr:uid="{80D8FBF1-E3AC-414D-B8C2-1B282678A155}"/>
    <cellStyle name="Comma 210 4 2 2" xfId="20170" xr:uid="{41E839AD-DA1C-408E-A588-023AC61EFDB6}"/>
    <cellStyle name="Comma 210 4 3" xfId="14994" xr:uid="{4B5937BF-DF72-4B64-BA9B-C25BA80B41E4}"/>
    <cellStyle name="Comma 210 5" xfId="5690" xr:uid="{5CFB89FB-0FAD-4FAB-9056-4E3CE8A9553D}"/>
    <cellStyle name="Comma 210 5 2" xfId="16042" xr:uid="{F7AA30DA-A4C7-448E-9D23-903C1BB483B8}"/>
    <cellStyle name="Comma 210 6" xfId="10868" xr:uid="{8A84B064-E07F-48DB-BD9F-6883226AC399}"/>
    <cellStyle name="Comma 211" xfId="451" xr:uid="{617F85D2-E7C9-4CFB-8A97-C9AF47E491A4}"/>
    <cellStyle name="Comma 211 2" xfId="1489" xr:uid="{2C7825B8-B081-4D35-B4F4-6CA129C97387}"/>
    <cellStyle name="Comma 211 2 2" xfId="3547" xr:uid="{B2B913C5-85B3-4139-AF93-11389298EBBC}"/>
    <cellStyle name="Comma 211 2 2 2" xfId="8780" xr:uid="{0B0335AD-998E-4E0E-BAB6-C448BD8F7C83}"/>
    <cellStyle name="Comma 211 2 2 2 2" xfId="19132" xr:uid="{DCB7AEFE-E784-4797-9CDA-2B25E86C18CB}"/>
    <cellStyle name="Comma 211 2 2 3" xfId="13957" xr:uid="{2069772C-05DD-48F1-B3E1-9A8AC2AA7B14}"/>
    <cellStyle name="Comma 211 2 3" xfId="6722" xr:uid="{CB2CBB88-7010-424F-A1C9-8219B306CD4E}"/>
    <cellStyle name="Comma 211 2 3 2" xfId="17074" xr:uid="{EC32BCC2-7575-4AB8-B780-B9F7BD9B265F}"/>
    <cellStyle name="Comma 211 2 4" xfId="11899" xr:uid="{1726C671-D241-4CC8-92C6-E456088E6D2B}"/>
    <cellStyle name="Comma 211 3" xfId="2517" xr:uid="{7BA4A36B-E07C-4751-9B70-4B6E8117DEB3}"/>
    <cellStyle name="Comma 211 3 2" xfId="7750" xr:uid="{74ADB970-6AEE-4DD2-AA02-A8D58A345B44}"/>
    <cellStyle name="Comma 211 3 2 2" xfId="18102" xr:uid="{B7B482F1-6F23-40CF-9F97-B533249EBC1B}"/>
    <cellStyle name="Comma 211 3 3" xfId="12927" xr:uid="{A2BF4855-19B5-48E5-AB6D-CFC283ECFD9C}"/>
    <cellStyle name="Comma 211 4" xfId="4643" xr:uid="{5B9FDA48-320E-49AA-9B7A-B3F43440BB02}"/>
    <cellStyle name="Comma 211 4 2" xfId="9819" xr:uid="{3BF678B1-ECD0-4BAE-B4EB-04BBAC3655A4}"/>
    <cellStyle name="Comma 211 4 2 2" xfId="20171" xr:uid="{1363DBE3-778E-4B62-8234-B0F1D73FFD6B}"/>
    <cellStyle name="Comma 211 4 3" xfId="14995" xr:uid="{E691485B-6048-4905-B96A-2674D757C630}"/>
    <cellStyle name="Comma 211 5" xfId="5691" xr:uid="{0CF93CB9-C4A8-487A-AA40-36989058059D}"/>
    <cellStyle name="Comma 211 5 2" xfId="16043" xr:uid="{8D58F62A-752C-4F91-BF13-727408C332E5}"/>
    <cellStyle name="Comma 211 6" xfId="10869" xr:uid="{A4D98081-E5A5-41F1-BA79-52E1BA916884}"/>
    <cellStyle name="Comma 212" xfId="452" xr:uid="{1EB8ADE0-E779-4DB5-B3CA-77AD7618235A}"/>
    <cellStyle name="Comma 212 2" xfId="1490" xr:uid="{00066190-475F-4440-9EF6-AF4843AACCAD}"/>
    <cellStyle name="Comma 212 2 2" xfId="3548" xr:uid="{7D35B0D2-5909-4474-91FA-DA8038EC2794}"/>
    <cellStyle name="Comma 212 2 2 2" xfId="8781" xr:uid="{5CF4B94E-2D1D-4722-9344-4B3D97FA0ED3}"/>
    <cellStyle name="Comma 212 2 2 2 2" xfId="19133" xr:uid="{8B5BA05F-7035-4241-AAE9-47B5B5B546B2}"/>
    <cellStyle name="Comma 212 2 2 3" xfId="13958" xr:uid="{C8169216-F7D0-4F7D-ACD0-22D3F414E5DA}"/>
    <cellStyle name="Comma 212 2 3" xfId="6723" xr:uid="{019F5F46-5871-4ADC-AE83-C1380A5130A1}"/>
    <cellStyle name="Comma 212 2 3 2" xfId="17075" xr:uid="{7CF7084F-40CC-41A9-899D-B36185397EDC}"/>
    <cellStyle name="Comma 212 2 4" xfId="11900" xr:uid="{2DD523F3-821C-442A-BA26-DB0288A49BB7}"/>
    <cellStyle name="Comma 212 3" xfId="2518" xr:uid="{764CB76C-8B7F-4B4E-99B0-7C61D04E0B64}"/>
    <cellStyle name="Comma 212 3 2" xfId="7751" xr:uid="{86C850C6-022B-459F-88C0-DC0ED97ED7B4}"/>
    <cellStyle name="Comma 212 3 2 2" xfId="18103" xr:uid="{7F1369AE-70D0-442A-B959-621321DC337D}"/>
    <cellStyle name="Comma 212 3 3" xfId="12928" xr:uid="{39B039C4-814F-4E52-8AF6-F79501C53BFE}"/>
    <cellStyle name="Comma 212 4" xfId="4644" xr:uid="{F0E6F105-4A2E-41AF-AF66-ED27885791A6}"/>
    <cellStyle name="Comma 212 4 2" xfId="9820" xr:uid="{99D97523-A37E-442D-96BD-D8C9E9114C9A}"/>
    <cellStyle name="Comma 212 4 2 2" xfId="20172" xr:uid="{F4727448-FB08-41DA-BF66-C3A1259ED242}"/>
    <cellStyle name="Comma 212 4 3" xfId="14996" xr:uid="{2B66C32F-4EFD-49CC-BFF6-AE9CAC357FF6}"/>
    <cellStyle name="Comma 212 5" xfId="5692" xr:uid="{3FA226E5-F807-4B68-8A62-F0A53F9AD071}"/>
    <cellStyle name="Comma 212 5 2" xfId="16044" xr:uid="{521514EB-45CE-4DDD-B50B-FEF89817BB96}"/>
    <cellStyle name="Comma 212 6" xfId="10870" xr:uid="{CF249F74-46A7-4A27-AF46-BCC49E373952}"/>
    <cellStyle name="Comma 213" xfId="453" xr:uid="{B7435BA3-7CA4-4E46-B0CF-7D3D2BF10A4F}"/>
    <cellStyle name="Comma 213 2" xfId="1491" xr:uid="{00771070-4689-4C39-8070-6EF007B764C4}"/>
    <cellStyle name="Comma 213 2 2" xfId="3549" xr:uid="{127FCC4D-1484-487E-A8F5-47C3B0CDB4F0}"/>
    <cellStyle name="Comma 213 2 2 2" xfId="8782" xr:uid="{0E30469D-0128-400A-8852-3718C2D307CD}"/>
    <cellStyle name="Comma 213 2 2 2 2" xfId="19134" xr:uid="{69B31676-085C-4D71-8A1F-669DAF3B706F}"/>
    <cellStyle name="Comma 213 2 2 3" xfId="13959" xr:uid="{09882168-0684-4B79-8503-C8D6ED4AFD06}"/>
    <cellStyle name="Comma 213 2 3" xfId="6724" xr:uid="{BB8E5FCF-1548-4759-9643-BF498742D7E3}"/>
    <cellStyle name="Comma 213 2 3 2" xfId="17076" xr:uid="{6B6D0F5A-C3F5-4AC2-8EEC-FA014764C47F}"/>
    <cellStyle name="Comma 213 2 4" xfId="11901" xr:uid="{C0DD0865-DAF9-4BF7-B3B8-175B6139B292}"/>
    <cellStyle name="Comma 213 3" xfId="2519" xr:uid="{67383725-8946-4FA5-B256-ABD77FF1A183}"/>
    <cellStyle name="Comma 213 3 2" xfId="7752" xr:uid="{3E05C6FD-8B6A-49F8-8465-3834402AA7B9}"/>
    <cellStyle name="Comma 213 3 2 2" xfId="18104" xr:uid="{9FC7CA0D-1BF1-416F-A0BE-0893D76E7099}"/>
    <cellStyle name="Comma 213 3 3" xfId="12929" xr:uid="{29A3EE28-7ACD-4DA6-9F8D-2AA89F0051EF}"/>
    <cellStyle name="Comma 213 4" xfId="4645" xr:uid="{945D3BE5-77E7-4B05-8453-C1B6376E4407}"/>
    <cellStyle name="Comma 213 4 2" xfId="9821" xr:uid="{DE7C2409-3E7F-4054-9084-319F6A16671C}"/>
    <cellStyle name="Comma 213 4 2 2" xfId="20173" xr:uid="{B915CF73-A73A-40D7-A1E1-528C1688FD24}"/>
    <cellStyle name="Comma 213 4 3" xfId="14997" xr:uid="{6D08922B-45A1-490F-ADE6-F4752900B1F2}"/>
    <cellStyle name="Comma 213 5" xfId="5693" xr:uid="{A7B3E889-9939-4F46-BD2C-F3B846963A9B}"/>
    <cellStyle name="Comma 213 5 2" xfId="16045" xr:uid="{288BA2A6-78E8-4A61-B4BE-3CDBD7BBDB2A}"/>
    <cellStyle name="Comma 213 6" xfId="10871" xr:uid="{E8CCE073-1200-4E77-A916-885A5BBC95BF}"/>
    <cellStyle name="Comma 214" xfId="454" xr:uid="{940018F7-E02B-428F-BBBB-C8B7C8C0E5EB}"/>
    <cellStyle name="Comma 214 2" xfId="1492" xr:uid="{CC0B8906-6419-4BA8-8FB9-3AEE9BD5F2D3}"/>
    <cellStyle name="Comma 214 2 2" xfId="3550" xr:uid="{6B83AFEE-31C5-499B-8589-EE438FE058DA}"/>
    <cellStyle name="Comma 214 2 2 2" xfId="8783" xr:uid="{D7E4076A-7EF0-4253-973B-CFA8FBD8D924}"/>
    <cellStyle name="Comma 214 2 2 2 2" xfId="19135" xr:uid="{E882F616-653F-400D-88AC-1862D91CE1AB}"/>
    <cellStyle name="Comma 214 2 2 3" xfId="13960" xr:uid="{42B4504A-05F8-4764-BCD9-FF60A262E490}"/>
    <cellStyle name="Comma 214 2 3" xfId="6725" xr:uid="{90F0F150-8C97-4360-8E95-98484FBC3F87}"/>
    <cellStyle name="Comma 214 2 3 2" xfId="17077" xr:uid="{662BFF81-BDC4-4632-A7EB-B917169D6E27}"/>
    <cellStyle name="Comma 214 2 4" xfId="11902" xr:uid="{D088CDB0-D81D-4C3D-818C-C67844AD239C}"/>
    <cellStyle name="Comma 214 3" xfId="2520" xr:uid="{7F53F612-1886-474F-8CDB-DEB3C903E2AA}"/>
    <cellStyle name="Comma 214 3 2" xfId="7753" xr:uid="{8D524C91-95FF-47A9-828C-23F0A2D85947}"/>
    <cellStyle name="Comma 214 3 2 2" xfId="18105" xr:uid="{E5E02481-8B46-4C58-9439-E4099E4BE4B7}"/>
    <cellStyle name="Comma 214 3 3" xfId="12930" xr:uid="{81276138-ED73-4DE4-BCE2-5A692BA9AA26}"/>
    <cellStyle name="Comma 214 4" xfId="4646" xr:uid="{A946399C-C2FB-4939-97C8-58BC6F4633BC}"/>
    <cellStyle name="Comma 214 4 2" xfId="9822" xr:uid="{D0D633A2-F13D-4913-8CC8-448DD7C7FC0D}"/>
    <cellStyle name="Comma 214 4 2 2" xfId="20174" xr:uid="{1ADAB57A-3751-4803-9C54-F11D9A2183A2}"/>
    <cellStyle name="Comma 214 4 3" xfId="14998" xr:uid="{A5242F50-8025-4360-BCAF-7FD634420442}"/>
    <cellStyle name="Comma 214 5" xfId="5694" xr:uid="{C4E7814D-0493-49C1-A268-91F7A0F07EC1}"/>
    <cellStyle name="Comma 214 5 2" xfId="16046" xr:uid="{E3B6B5FA-691A-4EA6-9C73-9B11EC078F8A}"/>
    <cellStyle name="Comma 214 6" xfId="10872" xr:uid="{20A9E653-8172-43EE-AF2C-C567ED609857}"/>
    <cellStyle name="Comma 215" xfId="455" xr:uid="{7287D0FC-6B30-4419-9B5A-F1DD517D5F8F}"/>
    <cellStyle name="Comma 215 2" xfId="1493" xr:uid="{4328F766-D3F6-419C-BDDF-31E7E9082AC2}"/>
    <cellStyle name="Comma 215 2 2" xfId="3551" xr:uid="{83C189E1-7B4E-4122-B59F-884A65892B1F}"/>
    <cellStyle name="Comma 215 2 2 2" xfId="8784" xr:uid="{B7FDBC03-0EE5-4E7B-854C-33148038E9E9}"/>
    <cellStyle name="Comma 215 2 2 2 2" xfId="19136" xr:uid="{6EBC5D3B-62E2-4833-9F7D-CD7406AED7B2}"/>
    <cellStyle name="Comma 215 2 2 3" xfId="13961" xr:uid="{8C544B60-7114-44C3-92D7-2430B759C52B}"/>
    <cellStyle name="Comma 215 2 3" xfId="6726" xr:uid="{6CAB150B-1528-488E-ACE0-520D6352AE14}"/>
    <cellStyle name="Comma 215 2 3 2" xfId="17078" xr:uid="{0E4D2D1B-A697-4EDA-B743-E116B0ACE31D}"/>
    <cellStyle name="Comma 215 2 4" xfId="11903" xr:uid="{9EBAF030-7828-4195-B21A-4504540ECAA7}"/>
    <cellStyle name="Comma 215 3" xfId="2521" xr:uid="{27855A98-2DBC-4702-90E5-D34F69483C5F}"/>
    <cellStyle name="Comma 215 3 2" xfId="7754" xr:uid="{BF088596-1AB7-4349-832B-37CE8E8826FA}"/>
    <cellStyle name="Comma 215 3 2 2" xfId="18106" xr:uid="{1725A159-5D1A-46E4-A216-220883B5701D}"/>
    <cellStyle name="Comma 215 3 3" xfId="12931" xr:uid="{F3F03C8E-048C-4CBA-B90F-3DA99EC33650}"/>
    <cellStyle name="Comma 215 4" xfId="4647" xr:uid="{31A89BC6-366C-4B55-AEB3-E524A3A6EA8D}"/>
    <cellStyle name="Comma 215 4 2" xfId="9823" xr:uid="{1ED829B6-A159-42E3-8DCD-84319F7731A0}"/>
    <cellStyle name="Comma 215 4 2 2" xfId="20175" xr:uid="{7EE03E2E-0863-4137-9CB1-BE6C3D4B2626}"/>
    <cellStyle name="Comma 215 4 3" xfId="14999" xr:uid="{2B6BA9B2-1CAA-48FE-9AAC-F6BBE0FAC7D0}"/>
    <cellStyle name="Comma 215 5" xfId="5695" xr:uid="{3687ED56-473D-473F-9BEA-EBD68E0698F0}"/>
    <cellStyle name="Comma 215 5 2" xfId="16047" xr:uid="{42A03610-6B6B-41D0-870B-293B2776508E}"/>
    <cellStyle name="Comma 215 6" xfId="10873" xr:uid="{C70FB6EA-8763-446B-A944-A0E71FBB04BE}"/>
    <cellStyle name="Comma 216" xfId="456" xr:uid="{3C645270-35D2-4FE2-9E86-B17DBAD976B6}"/>
    <cellStyle name="Comma 216 2" xfId="1494" xr:uid="{97E7EAEF-3A2F-4601-A5EA-D8EC1E4FDF98}"/>
    <cellStyle name="Comma 216 2 2" xfId="3552" xr:uid="{F1A2146D-EF90-4653-AB8B-E959A349DEA8}"/>
    <cellStyle name="Comma 216 2 2 2" xfId="8785" xr:uid="{9A30FCAC-B3FA-4429-8CDE-A8C4F52BC786}"/>
    <cellStyle name="Comma 216 2 2 2 2" xfId="19137" xr:uid="{007A20AD-2DAB-4AF3-AC61-5F7911EA33CD}"/>
    <cellStyle name="Comma 216 2 2 3" xfId="13962" xr:uid="{153BE0ED-595D-4FB2-8549-FAFA03675990}"/>
    <cellStyle name="Comma 216 2 3" xfId="6727" xr:uid="{B513297A-4CAD-418F-8E5D-B1A81DC38831}"/>
    <cellStyle name="Comma 216 2 3 2" xfId="17079" xr:uid="{86FECD9A-E6B2-4ED4-B868-E3BD17BC48D2}"/>
    <cellStyle name="Comma 216 2 4" xfId="11904" xr:uid="{4774E415-6DF5-4886-9BCB-95BB662EDD20}"/>
    <cellStyle name="Comma 216 3" xfId="2522" xr:uid="{E182B9F4-6C59-4255-896F-FCED5446C33D}"/>
    <cellStyle name="Comma 216 3 2" xfId="7755" xr:uid="{29809444-6063-4581-8605-8BB665D8B615}"/>
    <cellStyle name="Comma 216 3 2 2" xfId="18107" xr:uid="{B9E6353E-F5F4-4BC5-B786-381F6DF49D92}"/>
    <cellStyle name="Comma 216 3 3" xfId="12932" xr:uid="{8896E2CE-37A3-4F62-BBC8-7ACFEA5AA565}"/>
    <cellStyle name="Comma 216 4" xfId="4648" xr:uid="{FF83C4BD-B8EB-4BD3-8A34-FC2A7B185101}"/>
    <cellStyle name="Comma 216 4 2" xfId="9824" xr:uid="{4F49076E-B192-46FB-BA99-72996857ECDD}"/>
    <cellStyle name="Comma 216 4 2 2" xfId="20176" xr:uid="{C7DA03EA-9D26-4FF5-9FFA-88ABA3D7B4D6}"/>
    <cellStyle name="Comma 216 4 3" xfId="15000" xr:uid="{F8FAC722-EE3F-41BD-8BF0-F11E94B5448A}"/>
    <cellStyle name="Comma 216 5" xfId="5696" xr:uid="{ECDF45B1-16F0-4F78-8A32-A54F96362D83}"/>
    <cellStyle name="Comma 216 5 2" xfId="16048" xr:uid="{53A3E94E-5EC3-4BD5-A4DA-005A5D459FD0}"/>
    <cellStyle name="Comma 216 6" xfId="10874" xr:uid="{7CD069F6-C58D-4EE0-8E88-70EA843DBE13}"/>
    <cellStyle name="Comma 217" xfId="457" xr:uid="{9A9C53CB-F370-4120-BE40-8DDF3F3A2608}"/>
    <cellStyle name="Comma 217 2" xfId="1495" xr:uid="{9788EC3E-6382-4E9E-8549-562241E85FD5}"/>
    <cellStyle name="Comma 217 2 2" xfId="3553" xr:uid="{ED84D7B9-9B1D-442C-8CB9-C668D8B60CD8}"/>
    <cellStyle name="Comma 217 2 2 2" xfId="8786" xr:uid="{332C82C6-C43D-4F52-8B13-A6ACD1D5DB7F}"/>
    <cellStyle name="Comma 217 2 2 2 2" xfId="19138" xr:uid="{D0C536D8-04A9-43EE-819E-F14AFD937EF1}"/>
    <cellStyle name="Comma 217 2 2 3" xfId="13963" xr:uid="{529E87DB-5111-44AB-8042-A03B749F5A21}"/>
    <cellStyle name="Comma 217 2 3" xfId="6728" xr:uid="{F928812E-4CD4-483D-831C-0A4E8057EF41}"/>
    <cellStyle name="Comma 217 2 3 2" xfId="17080" xr:uid="{39520E20-059B-4906-A76E-56451FCF2C3D}"/>
    <cellStyle name="Comma 217 2 4" xfId="11905" xr:uid="{6FE65CF4-A07E-47D2-9B58-4AFA6FB777DA}"/>
    <cellStyle name="Comma 217 3" xfId="2523" xr:uid="{4E2DFBF3-172F-4009-8877-6C4B46E570AE}"/>
    <cellStyle name="Comma 217 3 2" xfId="7756" xr:uid="{C8FE06E7-BFAE-4C8B-8796-1128F163D18E}"/>
    <cellStyle name="Comma 217 3 2 2" xfId="18108" xr:uid="{1B36FBA0-A20C-42B7-98B6-81B64DA70C4A}"/>
    <cellStyle name="Comma 217 3 3" xfId="12933" xr:uid="{07DA33C9-F06A-46CF-B0A9-AA6DC3A7268E}"/>
    <cellStyle name="Comma 217 4" xfId="4649" xr:uid="{EEEFFE9D-D20E-4B33-B8E9-8F42985DCC24}"/>
    <cellStyle name="Comma 217 4 2" xfId="9825" xr:uid="{34884975-4FB2-4CDE-9DCF-025E1055D864}"/>
    <cellStyle name="Comma 217 4 2 2" xfId="20177" xr:uid="{5D258AD5-AAF9-4838-9C64-5125BA93F172}"/>
    <cellStyle name="Comma 217 4 3" xfId="15001" xr:uid="{B4C5A0EA-A266-4BD8-AD82-F0EFB4D94E15}"/>
    <cellStyle name="Comma 217 5" xfId="5697" xr:uid="{23FCFEAB-9214-47EB-A2A2-02EA71272C95}"/>
    <cellStyle name="Comma 217 5 2" xfId="16049" xr:uid="{F6BBF4B4-1780-45DA-8754-AA560AE9B79C}"/>
    <cellStyle name="Comma 217 6" xfId="10875" xr:uid="{553BCC16-D0B5-4713-AB98-2D89E7C7DB9D}"/>
    <cellStyle name="Comma 218" xfId="458" xr:uid="{A9F0793C-0767-4561-869F-FBF54D8788E3}"/>
    <cellStyle name="Comma 218 2" xfId="1496" xr:uid="{36F46264-14CD-4C42-B705-99C4B98CBD08}"/>
    <cellStyle name="Comma 218 2 2" xfId="3554" xr:uid="{D03203E7-0E52-4629-BAA8-56B4885D74CF}"/>
    <cellStyle name="Comma 218 2 2 2" xfId="8787" xr:uid="{D415B687-03D1-40A8-A8B0-92C4CD4F07EC}"/>
    <cellStyle name="Comma 218 2 2 2 2" xfId="19139" xr:uid="{9927AEB2-C4AF-41FE-8516-7D64EB3D9412}"/>
    <cellStyle name="Comma 218 2 2 3" xfId="13964" xr:uid="{79EF92BD-1E5B-406C-ADB3-A3260F92B49A}"/>
    <cellStyle name="Comma 218 2 3" xfId="6729" xr:uid="{67C3A60D-FD15-458E-B36F-D7E3D162A8E0}"/>
    <cellStyle name="Comma 218 2 3 2" xfId="17081" xr:uid="{7863787C-3CAC-4FD0-A382-B1980DCE49C1}"/>
    <cellStyle name="Comma 218 2 4" xfId="11906" xr:uid="{16BE1C97-F95F-4253-B96D-90862526AD59}"/>
    <cellStyle name="Comma 218 3" xfId="2524" xr:uid="{363898EC-2BF9-4281-9245-5B41B3FCE775}"/>
    <cellStyle name="Comma 218 3 2" xfId="7757" xr:uid="{A52292B3-FAFD-473F-8239-CA4E53410274}"/>
    <cellStyle name="Comma 218 3 2 2" xfId="18109" xr:uid="{ADC1A592-9DFA-4614-836C-36DBF6469493}"/>
    <cellStyle name="Comma 218 3 3" xfId="12934" xr:uid="{6C571753-B62E-4B50-9AD2-83AE07DE5F4A}"/>
    <cellStyle name="Comma 218 4" xfId="4650" xr:uid="{86B4FBA5-6315-4B39-9D93-C34019DE1CA2}"/>
    <cellStyle name="Comma 218 4 2" xfId="9826" xr:uid="{B648E4CA-27FF-4CA3-8E54-B7E3894AA95B}"/>
    <cellStyle name="Comma 218 4 2 2" xfId="20178" xr:uid="{0A103B05-30D8-4F48-9AD0-86A0ADC101AE}"/>
    <cellStyle name="Comma 218 4 3" xfId="15002" xr:uid="{80AB16D5-C620-4E9E-B477-D49CEAB935A2}"/>
    <cellStyle name="Comma 218 5" xfId="5698" xr:uid="{C7DF97B7-0C22-4306-B442-8A8B58C6144D}"/>
    <cellStyle name="Comma 218 5 2" xfId="16050" xr:uid="{106784EE-5B54-428F-BC99-F551ED9C1911}"/>
    <cellStyle name="Comma 218 6" xfId="10876" xr:uid="{0392B181-D649-497B-BC67-B01B0E290BB0}"/>
    <cellStyle name="Comma 219" xfId="459" xr:uid="{B5DE3158-23B0-40C4-8940-BB766419367D}"/>
    <cellStyle name="Comma 219 2" xfId="1497" xr:uid="{1B67CB5A-A9E3-485B-BBB4-06FD3EE2FE2A}"/>
    <cellStyle name="Comma 219 2 2" xfId="3555" xr:uid="{10D8F35B-6190-46E6-8747-DAB4FAD57320}"/>
    <cellStyle name="Comma 219 2 2 2" xfId="8788" xr:uid="{E94CA60A-164F-4E4E-9885-1832F4AF45E1}"/>
    <cellStyle name="Comma 219 2 2 2 2" xfId="19140" xr:uid="{00392178-3F6F-45E8-8B7C-2D91A760C07C}"/>
    <cellStyle name="Comma 219 2 2 3" xfId="13965" xr:uid="{AF56A419-BD29-451D-A1A0-9C13C20C5AC1}"/>
    <cellStyle name="Comma 219 2 3" xfId="6730" xr:uid="{B8FB9001-E22D-4792-9D73-49E93CE4ACC7}"/>
    <cellStyle name="Comma 219 2 3 2" xfId="17082" xr:uid="{634D088A-6FAE-4981-8749-271AB1B26561}"/>
    <cellStyle name="Comma 219 2 4" xfId="11907" xr:uid="{79D8610D-E740-4421-8243-1AAFFAE3A9B2}"/>
    <cellStyle name="Comma 219 3" xfId="2525" xr:uid="{0EED7B06-30D1-4305-86A4-09E384B01D5D}"/>
    <cellStyle name="Comma 219 3 2" xfId="7758" xr:uid="{640B0D8C-D808-40D7-80D7-FAF6EDE555F6}"/>
    <cellStyle name="Comma 219 3 2 2" xfId="18110" xr:uid="{A42540B4-A8C4-4B54-AA6D-7EDF9CA6E8A7}"/>
    <cellStyle name="Comma 219 3 3" xfId="12935" xr:uid="{9536AAA1-9832-49C6-BE9B-C28D92D39590}"/>
    <cellStyle name="Comma 219 4" xfId="4651" xr:uid="{5A3BFDF8-2EBD-4E74-9E7E-7DF31EF8AD2E}"/>
    <cellStyle name="Comma 219 4 2" xfId="9827" xr:uid="{7ABF29AF-6FE3-4C8D-86B0-3A54ACC2C9E1}"/>
    <cellStyle name="Comma 219 4 2 2" xfId="20179" xr:uid="{D72824AE-27B9-4FCA-88FE-F428233BD79E}"/>
    <cellStyle name="Comma 219 4 3" xfId="15003" xr:uid="{1310FFB0-0419-4CCC-9161-99A11E2B207D}"/>
    <cellStyle name="Comma 219 5" xfId="5699" xr:uid="{D41AD332-2020-4C86-8849-643EA5D57988}"/>
    <cellStyle name="Comma 219 5 2" xfId="16051" xr:uid="{04A3CF25-BDA5-466E-A684-CBD5849A0AEA}"/>
    <cellStyle name="Comma 219 6" xfId="10877" xr:uid="{145CD4A3-C517-4A08-84DB-61EA4E77E107}"/>
    <cellStyle name="Comma 22" xfId="213" xr:uid="{88EE0191-8962-4734-B181-9CD5DDAB591A}"/>
    <cellStyle name="Comma 22 2" xfId="1299" xr:uid="{83AAF6BE-FFA0-4F84-9906-E8DD3926233C}"/>
    <cellStyle name="Comma 22 2 2" xfId="3357" xr:uid="{A8A375C1-4023-4DE2-9DE6-D46A20D430A9}"/>
    <cellStyle name="Comma 22 2 2 2" xfId="8590" xr:uid="{62138D88-CBD3-44F7-A4D8-A4F48565BD4D}"/>
    <cellStyle name="Comma 22 2 2 2 2" xfId="18942" xr:uid="{8DA035AE-51A5-4A42-93AE-DA753E77507F}"/>
    <cellStyle name="Comma 22 2 2 3" xfId="13767" xr:uid="{404D0DB6-1553-4CA5-893C-9378982B2B01}"/>
    <cellStyle name="Comma 22 2 3" xfId="6532" xr:uid="{EC81B72C-3626-4905-9187-A1D5679A7DCA}"/>
    <cellStyle name="Comma 22 2 3 2" xfId="16884" xr:uid="{F8F2BCF6-3EF6-4CF3-9276-B815E81682F3}"/>
    <cellStyle name="Comma 22 2 4" xfId="11709" xr:uid="{977767D8-262D-4424-AD8D-F5147273A59C}"/>
    <cellStyle name="Comma 22 3" xfId="2327" xr:uid="{CA110876-6C97-4F2C-A572-79C964026270}"/>
    <cellStyle name="Comma 22 3 2" xfId="7560" xr:uid="{1121509C-16E8-416B-AA28-7E3C77B1C0A0}"/>
    <cellStyle name="Comma 22 3 2 2" xfId="17912" xr:uid="{A3AEBACA-FD04-46CA-8A69-51110F69461F}"/>
    <cellStyle name="Comma 22 3 3" xfId="12737" xr:uid="{034A5625-6C48-40B9-83D1-EE84058E8F38}"/>
    <cellStyle name="Comma 22 4" xfId="4453" xr:uid="{DD06D853-ADFC-4DF7-95C3-566712038166}"/>
    <cellStyle name="Comma 22 4 2" xfId="9629" xr:uid="{78C02038-4F7E-429D-8977-FBA4B12CE10F}"/>
    <cellStyle name="Comma 22 4 2 2" xfId="19981" xr:uid="{DE5655FB-543D-428B-ABFD-C015A838CE58}"/>
    <cellStyle name="Comma 22 4 3" xfId="14805" xr:uid="{FB7CAFD4-CBDB-431E-8A2A-5F3217C8856E}"/>
    <cellStyle name="Comma 22 5" xfId="5501" xr:uid="{920582E7-19CB-4C17-B085-A594D5960D49}"/>
    <cellStyle name="Comma 22 5 2" xfId="15853" xr:uid="{6F47B9E2-709B-4BD4-91EC-04EDB3FEC1A2}"/>
    <cellStyle name="Comma 22 6" xfId="10679" xr:uid="{C4C3CA4B-1F35-43AB-AD23-3F533C8ADB66}"/>
    <cellStyle name="Comma 220" xfId="460" xr:uid="{B7FADD65-F33F-4C59-89A4-4D41C94ABAEE}"/>
    <cellStyle name="Comma 220 2" xfId="1498" xr:uid="{D8F1669E-E272-4C58-A100-C35EAC5CCF09}"/>
    <cellStyle name="Comma 220 2 2" xfId="3556" xr:uid="{88D23530-686F-4764-9F81-4C3C04462E74}"/>
    <cellStyle name="Comma 220 2 2 2" xfId="8789" xr:uid="{602DF268-4571-4879-BD67-CFB5DE571C30}"/>
    <cellStyle name="Comma 220 2 2 2 2" xfId="19141" xr:uid="{9B8D1112-1D25-484F-AA2C-822F817B0D61}"/>
    <cellStyle name="Comma 220 2 2 3" xfId="13966" xr:uid="{0BBA3CCD-CE06-4711-AFC8-B593F5D0094D}"/>
    <cellStyle name="Comma 220 2 3" xfId="6731" xr:uid="{254EDC1D-5576-4369-9B08-6C916E2EB55B}"/>
    <cellStyle name="Comma 220 2 3 2" xfId="17083" xr:uid="{96C06B9E-E263-4088-86C1-0DA519338DD4}"/>
    <cellStyle name="Comma 220 2 4" xfId="11908" xr:uid="{D4D6C89E-26F1-4567-9536-2BDC2D7593EF}"/>
    <cellStyle name="Comma 220 3" xfId="2526" xr:uid="{E239086B-0AE9-413D-96E7-A0F6DA678EEA}"/>
    <cellStyle name="Comma 220 3 2" xfId="7759" xr:uid="{04017EA4-5FAB-42E5-810D-BF0C3B9FCF99}"/>
    <cellStyle name="Comma 220 3 2 2" xfId="18111" xr:uid="{C95AB9FC-428A-4F19-B48C-39A8A5D83228}"/>
    <cellStyle name="Comma 220 3 3" xfId="12936" xr:uid="{423522DF-4034-47D4-A554-C3AEB7D7D260}"/>
    <cellStyle name="Comma 220 4" xfId="4652" xr:uid="{FABE4EDB-0CF3-427A-96EF-048CCB444ED2}"/>
    <cellStyle name="Comma 220 4 2" xfId="9828" xr:uid="{F9D906CF-DD65-44D3-AF50-81D81812CFE2}"/>
    <cellStyle name="Comma 220 4 2 2" xfId="20180" xr:uid="{83375A0E-6FBF-4E6F-A36E-9503CF9F2F04}"/>
    <cellStyle name="Comma 220 4 3" xfId="15004" xr:uid="{455DBCC3-E8B3-4195-B353-F5E1DDF9A03C}"/>
    <cellStyle name="Comma 220 5" xfId="5700" xr:uid="{23028C0F-9912-4A1F-BCC7-8B8510414295}"/>
    <cellStyle name="Comma 220 5 2" xfId="16052" xr:uid="{27E85BEB-D6DD-4CAF-B868-845A8FA2B649}"/>
    <cellStyle name="Comma 220 6" xfId="10878" xr:uid="{D2E07A80-061E-4688-8916-3438FF20B872}"/>
    <cellStyle name="Comma 221" xfId="461" xr:uid="{C1142A0A-4441-4FA5-9B79-0516692BCA47}"/>
    <cellStyle name="Comma 221 2" xfId="1499" xr:uid="{D80D5890-B9A3-45EB-AFC2-4F9F9C5AEABB}"/>
    <cellStyle name="Comma 221 2 2" xfId="3557" xr:uid="{8F21709E-A1A1-4519-A5AD-31F3D558EF59}"/>
    <cellStyle name="Comma 221 2 2 2" xfId="8790" xr:uid="{1B1C2A2F-D210-4D68-9535-0D7C327DDD96}"/>
    <cellStyle name="Comma 221 2 2 2 2" xfId="19142" xr:uid="{650148B1-4334-4558-B986-627D19212AF7}"/>
    <cellStyle name="Comma 221 2 2 3" xfId="13967" xr:uid="{52C9AE5C-6DA3-429A-829D-93EB30ADA39B}"/>
    <cellStyle name="Comma 221 2 3" xfId="6732" xr:uid="{BF8014EE-D2B3-4E47-A880-BA607E498BE4}"/>
    <cellStyle name="Comma 221 2 3 2" xfId="17084" xr:uid="{63901F5E-E7A5-4A02-A24E-8C74CB2EAAB2}"/>
    <cellStyle name="Comma 221 2 4" xfId="11909" xr:uid="{A0D83245-9B01-4A20-A09B-807EC87B07C5}"/>
    <cellStyle name="Comma 221 3" xfId="2527" xr:uid="{BC328D33-48F3-4C16-80B0-D08B762C1173}"/>
    <cellStyle name="Comma 221 3 2" xfId="7760" xr:uid="{062D9E54-24DC-4188-95FA-EF7AFC40D774}"/>
    <cellStyle name="Comma 221 3 2 2" xfId="18112" xr:uid="{3E35DA60-FBB1-4343-9434-40A95F2C59B8}"/>
    <cellStyle name="Comma 221 3 3" xfId="12937" xr:uid="{4651BF09-937E-499C-B1CC-6FB0EC40A970}"/>
    <cellStyle name="Comma 221 4" xfId="4653" xr:uid="{EED7BD71-BBD7-472E-BCA2-68D4A7BE0C2C}"/>
    <cellStyle name="Comma 221 4 2" xfId="9829" xr:uid="{06F1B069-A7C8-4323-B8CD-D7702B2062A3}"/>
    <cellStyle name="Comma 221 4 2 2" xfId="20181" xr:uid="{CDE32D52-6254-4C33-A98B-433C41585394}"/>
    <cellStyle name="Comma 221 4 3" xfId="15005" xr:uid="{B3A33D8E-C8AA-483B-80D7-1A98421AA091}"/>
    <cellStyle name="Comma 221 5" xfId="5701" xr:uid="{38FB98A7-A13E-4FB4-86D2-17802D69E947}"/>
    <cellStyle name="Comma 221 5 2" xfId="16053" xr:uid="{6C293BE7-09A0-4B14-B36F-46786240C947}"/>
    <cellStyle name="Comma 221 6" xfId="10879" xr:uid="{D16EBACD-D2A5-42F7-B239-30F656B5171F}"/>
    <cellStyle name="Comma 222" xfId="462" xr:uid="{0168BFC0-A824-4001-B8DB-80C1AC2A6F67}"/>
    <cellStyle name="Comma 222 2" xfId="1500" xr:uid="{EA3102AB-6A84-4097-A776-D5D4BA45BB9F}"/>
    <cellStyle name="Comma 222 2 2" xfId="3558" xr:uid="{D10252BA-803E-4D4C-B4D5-51EB654B9F04}"/>
    <cellStyle name="Comma 222 2 2 2" xfId="8791" xr:uid="{BF5392A9-C66F-42A3-ACE1-DFA95BB2375C}"/>
    <cellStyle name="Comma 222 2 2 2 2" xfId="19143" xr:uid="{A5D2C7C3-833E-474B-9334-8186950C8846}"/>
    <cellStyle name="Comma 222 2 2 3" xfId="13968" xr:uid="{87605593-D1B3-46E6-A9C6-9259F07C8E30}"/>
    <cellStyle name="Comma 222 2 3" xfId="6733" xr:uid="{C01CDB1B-4D43-4D0E-B959-F1BD70BE2E02}"/>
    <cellStyle name="Comma 222 2 3 2" xfId="17085" xr:uid="{93BA6706-B9A9-4508-A5F4-20B7550F251F}"/>
    <cellStyle name="Comma 222 2 4" xfId="11910" xr:uid="{C64429B0-8390-4BDB-AEBC-71CDFFD1156B}"/>
    <cellStyle name="Comma 222 3" xfId="2528" xr:uid="{56043045-8332-4977-9B3C-DDD819B9A973}"/>
    <cellStyle name="Comma 222 3 2" xfId="7761" xr:uid="{17B66C93-EAC9-4679-916B-B1BC80C9D54B}"/>
    <cellStyle name="Comma 222 3 2 2" xfId="18113" xr:uid="{F1D69B71-BE87-492A-8FC8-AFD5E5AF8A34}"/>
    <cellStyle name="Comma 222 3 3" xfId="12938" xr:uid="{269871FD-00B5-4569-AD21-04A55640EF13}"/>
    <cellStyle name="Comma 222 4" xfId="4654" xr:uid="{13CD6256-C321-4935-9864-3FB7CEBD69B9}"/>
    <cellStyle name="Comma 222 4 2" xfId="9830" xr:uid="{A3CF9BB3-04BC-4127-9208-7D231859CA9F}"/>
    <cellStyle name="Comma 222 4 2 2" xfId="20182" xr:uid="{D93A60BB-8145-4630-A262-FDA4D48EE9E1}"/>
    <cellStyle name="Comma 222 4 3" xfId="15006" xr:uid="{25BE9E63-FDC1-4301-9F1A-C3E888CE7CA1}"/>
    <cellStyle name="Comma 222 5" xfId="5702" xr:uid="{9E5F2C1B-C1F2-4928-87B1-A6F8902CFAA3}"/>
    <cellStyle name="Comma 222 5 2" xfId="16054" xr:uid="{06EEC277-2150-4754-866A-9E3D9E4D2CA8}"/>
    <cellStyle name="Comma 222 6" xfId="10880" xr:uid="{B71BC66E-D354-44D8-B9E3-5BCC0A7D623D}"/>
    <cellStyle name="Comma 223" xfId="463" xr:uid="{5E775EA0-60D1-46A6-984A-BBF1100E6D96}"/>
    <cellStyle name="Comma 223 2" xfId="1501" xr:uid="{0BF320CC-D6FE-4865-A146-F83E9CA6FB16}"/>
    <cellStyle name="Comma 223 2 2" xfId="3559" xr:uid="{45CE7907-1473-483C-A66E-FC6C133CFF9F}"/>
    <cellStyle name="Comma 223 2 2 2" xfId="8792" xr:uid="{D5D2EB8A-C902-4BCA-83AF-CE8BECBF9BDF}"/>
    <cellStyle name="Comma 223 2 2 2 2" xfId="19144" xr:uid="{295D3636-8616-4129-890E-4BD0A3FBADF7}"/>
    <cellStyle name="Comma 223 2 2 3" xfId="13969" xr:uid="{1B2394EB-8D1E-49ED-A62C-253584DAF8E8}"/>
    <cellStyle name="Comma 223 2 3" xfId="6734" xr:uid="{46ED4ABE-2DF3-44F7-A38F-A69335CF5746}"/>
    <cellStyle name="Comma 223 2 3 2" xfId="17086" xr:uid="{73456213-B81B-4F9D-AE0F-DDAD4A4C7903}"/>
    <cellStyle name="Comma 223 2 4" xfId="11911" xr:uid="{BD4FD648-1203-4CC7-A4FA-25609163BC71}"/>
    <cellStyle name="Comma 223 3" xfId="2529" xr:uid="{CE3F1A03-7A38-43B1-B1C1-80E2656353CA}"/>
    <cellStyle name="Comma 223 3 2" xfId="7762" xr:uid="{D78DF234-E291-4F13-BA49-F9D424AF51DF}"/>
    <cellStyle name="Comma 223 3 2 2" xfId="18114" xr:uid="{165C9DA0-8D4C-4B3D-9650-F86E249C4444}"/>
    <cellStyle name="Comma 223 3 3" xfId="12939" xr:uid="{7EA7067D-35BA-4612-948D-AA2E6DB069A0}"/>
    <cellStyle name="Comma 223 4" xfId="4655" xr:uid="{48AF87CA-CB1C-4B2D-BB50-D8B8494083D4}"/>
    <cellStyle name="Comma 223 4 2" xfId="9831" xr:uid="{5A6F8383-F9D9-4271-A386-8440EAC08EE0}"/>
    <cellStyle name="Comma 223 4 2 2" xfId="20183" xr:uid="{0D15C88F-521D-457F-A86E-BA4ACABC2F70}"/>
    <cellStyle name="Comma 223 4 3" xfId="15007" xr:uid="{350A1ED8-2144-4E3F-80DF-B728CD165B73}"/>
    <cellStyle name="Comma 223 5" xfId="5703" xr:uid="{8943D0DB-7B59-4F5A-82F1-8862B9F66ADA}"/>
    <cellStyle name="Comma 223 5 2" xfId="16055" xr:uid="{5B4387C0-F6D2-4B38-B15A-B973E5E8328B}"/>
    <cellStyle name="Comma 223 6" xfId="10881" xr:uid="{AF935173-9643-44B0-87B0-C59C26E21B68}"/>
    <cellStyle name="Comma 224" xfId="464" xr:uid="{0F77EC27-F33A-4147-A58E-E5BC99372D3D}"/>
    <cellStyle name="Comma 224 2" xfId="1502" xr:uid="{0283AF9D-2E86-4764-B5D5-6080FD184997}"/>
    <cellStyle name="Comma 224 2 2" xfId="3560" xr:uid="{948C4F30-8451-4B5A-B344-D91F8E5652C4}"/>
    <cellStyle name="Comma 224 2 2 2" xfId="8793" xr:uid="{7676C1D7-6049-402B-B849-44CD8B36549E}"/>
    <cellStyle name="Comma 224 2 2 2 2" xfId="19145" xr:uid="{3C79320F-C751-470B-B0CE-7A102EF6A092}"/>
    <cellStyle name="Comma 224 2 2 3" xfId="13970" xr:uid="{80ABE2CC-BF40-4206-8F19-F4F2FF78A0E7}"/>
    <cellStyle name="Comma 224 2 3" xfId="6735" xr:uid="{D0B887E8-D35D-4F05-BE30-B59769A21E34}"/>
    <cellStyle name="Comma 224 2 3 2" xfId="17087" xr:uid="{925E4BC0-F4D0-4FAF-A4A6-5959EF1FB68A}"/>
    <cellStyle name="Comma 224 2 4" xfId="11912" xr:uid="{A4C96E01-4B54-4B64-9EB9-79B9F2A6406F}"/>
    <cellStyle name="Comma 224 3" xfId="2530" xr:uid="{61C629B3-709D-4808-B582-D6D795FB2DE9}"/>
    <cellStyle name="Comma 224 3 2" xfId="7763" xr:uid="{5AD2CC46-EF7C-40B3-B784-953579B52D59}"/>
    <cellStyle name="Comma 224 3 2 2" xfId="18115" xr:uid="{A0F12A94-8A76-4619-AE82-02ED35D4584D}"/>
    <cellStyle name="Comma 224 3 3" xfId="12940" xr:uid="{3D13B5DE-A928-4ED3-8985-B942327653B3}"/>
    <cellStyle name="Comma 224 4" xfId="4656" xr:uid="{737490D1-EFC6-491B-BBEC-B36606BDD8B3}"/>
    <cellStyle name="Comma 224 4 2" xfId="9832" xr:uid="{A58D544F-0B1F-4E96-93BC-C399112D77EA}"/>
    <cellStyle name="Comma 224 4 2 2" xfId="20184" xr:uid="{F817A647-CA4C-455F-BA6B-BFBEBA72479F}"/>
    <cellStyle name="Comma 224 4 3" xfId="15008" xr:uid="{1C51A826-AA3F-48DA-B8A9-480774242E03}"/>
    <cellStyle name="Comma 224 5" xfId="5704" xr:uid="{01EBDA7A-5974-436F-A299-40E8019CDCFF}"/>
    <cellStyle name="Comma 224 5 2" xfId="16056" xr:uid="{714C75E2-6FE8-456A-9243-5EA9A90898B6}"/>
    <cellStyle name="Comma 224 6" xfId="10882" xr:uid="{ED099A8E-61D6-4B2E-98AB-6609D0A48EF9}"/>
    <cellStyle name="Comma 225" xfId="465" xr:uid="{F286CFBC-C4C0-4786-BF57-E613A67F4392}"/>
    <cellStyle name="Comma 225 2" xfId="1503" xr:uid="{6B1BBEE2-0B1C-4586-B0CB-B0C2FFE247D8}"/>
    <cellStyle name="Comma 225 2 2" xfId="3561" xr:uid="{4B65BF11-FA71-4B1E-AF05-7331C426F16C}"/>
    <cellStyle name="Comma 225 2 2 2" xfId="8794" xr:uid="{D9079811-45B3-401D-B59B-2036B6277405}"/>
    <cellStyle name="Comma 225 2 2 2 2" xfId="19146" xr:uid="{FC02E7DF-9837-4B3E-B62F-0BF285C87ACA}"/>
    <cellStyle name="Comma 225 2 2 3" xfId="13971" xr:uid="{2D657A34-7D8D-43DF-8350-B9469111ACB5}"/>
    <cellStyle name="Comma 225 2 3" xfId="6736" xr:uid="{3C8899F5-2555-4B7F-AADD-5625021E7347}"/>
    <cellStyle name="Comma 225 2 3 2" xfId="17088" xr:uid="{C48546A8-CCAE-4460-A002-45D2C1D9A4AC}"/>
    <cellStyle name="Comma 225 2 4" xfId="11913" xr:uid="{08B61408-4CF2-4E4C-A7B8-5C45175C5EA1}"/>
    <cellStyle name="Comma 225 3" xfId="2531" xr:uid="{4DDEFB2E-8789-49BA-8204-4155AC592D8E}"/>
    <cellStyle name="Comma 225 3 2" xfId="7764" xr:uid="{0A40A120-9531-42C3-A38E-D57D865BF6D3}"/>
    <cellStyle name="Comma 225 3 2 2" xfId="18116" xr:uid="{799A3452-9503-4AEF-9EB3-7EC0B3CC3439}"/>
    <cellStyle name="Comma 225 3 3" xfId="12941" xr:uid="{02EBA678-FA39-4B37-8CC1-4618CC0E3394}"/>
    <cellStyle name="Comma 225 4" xfId="4657" xr:uid="{297DDAD7-2AA6-4F31-B0C6-BAA5AB0A2110}"/>
    <cellStyle name="Comma 225 4 2" xfId="9833" xr:uid="{E0657EAD-1136-4525-A4DC-A979E7403EAE}"/>
    <cellStyle name="Comma 225 4 2 2" xfId="20185" xr:uid="{14FDC09B-E656-4617-BBA3-B924CA7ABF40}"/>
    <cellStyle name="Comma 225 4 3" xfId="15009" xr:uid="{A87CC870-505A-4284-9E2F-D75E71FC0E1F}"/>
    <cellStyle name="Comma 225 5" xfId="5705" xr:uid="{F92A5195-9553-40F1-BA5E-F52CD6199171}"/>
    <cellStyle name="Comma 225 5 2" xfId="16057" xr:uid="{2A89A063-E8BC-40A5-A10B-5B2AF4BC8182}"/>
    <cellStyle name="Comma 225 6" xfId="10883" xr:uid="{D6B338D2-BD1B-4A95-A0B0-FF20A5765163}"/>
    <cellStyle name="Comma 226" xfId="466" xr:uid="{B8594EFE-22A6-4C48-BC9F-F022E8A4CF90}"/>
    <cellStyle name="Comma 226 2" xfId="1504" xr:uid="{D0CBBB47-0C34-4C8D-BFF5-34F262B7793B}"/>
    <cellStyle name="Comma 226 2 2" xfId="3562" xr:uid="{6C2DB793-D466-4981-A3B6-9F723DC6939B}"/>
    <cellStyle name="Comma 226 2 2 2" xfId="8795" xr:uid="{5874B2C9-741D-44A1-AA96-0282BE480B69}"/>
    <cellStyle name="Comma 226 2 2 2 2" xfId="19147" xr:uid="{4447AC55-6D68-442D-BBD6-051A1C76AC3D}"/>
    <cellStyle name="Comma 226 2 2 3" xfId="13972" xr:uid="{1989414E-1389-4283-A3AD-A69F78A2E1EB}"/>
    <cellStyle name="Comma 226 2 3" xfId="6737" xr:uid="{CE3094C0-D40F-412C-9962-F0FDBB8B185E}"/>
    <cellStyle name="Comma 226 2 3 2" xfId="17089" xr:uid="{8475F8D2-48E4-43FE-9D86-E661B341FB67}"/>
    <cellStyle name="Comma 226 2 4" xfId="11914" xr:uid="{7DA5490C-BB2F-4BD0-9226-D5CB1158F8F9}"/>
    <cellStyle name="Comma 226 3" xfId="2532" xr:uid="{FCF5C4BE-9FA4-4B45-9CCF-8FD23B9548AB}"/>
    <cellStyle name="Comma 226 3 2" xfId="7765" xr:uid="{B73B45D3-32FA-4454-9790-454FC9845E2C}"/>
    <cellStyle name="Comma 226 3 2 2" xfId="18117" xr:uid="{0C57D817-0709-478D-BF29-101475E6D911}"/>
    <cellStyle name="Comma 226 3 3" xfId="12942" xr:uid="{692EEB8E-9757-4679-A488-55A4DC95FD09}"/>
    <cellStyle name="Comma 226 4" xfId="4658" xr:uid="{619A50B6-3438-4396-95A7-7747F466825F}"/>
    <cellStyle name="Comma 226 4 2" xfId="9834" xr:uid="{30D27B63-885A-43CC-AB6C-3512FD9EDD7C}"/>
    <cellStyle name="Comma 226 4 2 2" xfId="20186" xr:uid="{A398DF2D-7EB2-4177-A2E0-20285DD6103E}"/>
    <cellStyle name="Comma 226 4 3" xfId="15010" xr:uid="{0D4CB30C-E6C3-4A34-9D5E-62200A51CEC1}"/>
    <cellStyle name="Comma 226 5" xfId="5706" xr:uid="{3CC4C4FD-8299-4D6B-B85E-80B57E76A221}"/>
    <cellStyle name="Comma 226 5 2" xfId="16058" xr:uid="{5F95B8AE-24F3-4851-AE43-A31494A386F9}"/>
    <cellStyle name="Comma 226 6" xfId="10884" xr:uid="{DD6F5AF7-0123-4F85-B35B-23F9D34DAB44}"/>
    <cellStyle name="Comma 227" xfId="467" xr:uid="{D31CE7FC-3D9D-41D0-ADD9-4B976342AD40}"/>
    <cellStyle name="Comma 227 2" xfId="1505" xr:uid="{1A4A3498-4FFC-476B-920C-2FC68830F867}"/>
    <cellStyle name="Comma 227 2 2" xfId="3563" xr:uid="{48EA1654-0CAA-463B-A12E-B739A120F02F}"/>
    <cellStyle name="Comma 227 2 2 2" xfId="8796" xr:uid="{A354C1CF-0732-4E37-818E-799C382F43EA}"/>
    <cellStyle name="Comma 227 2 2 2 2" xfId="19148" xr:uid="{086EB8F8-5294-46C6-AA5A-4E7036FE6B8D}"/>
    <cellStyle name="Comma 227 2 2 3" xfId="13973" xr:uid="{06B2747C-0ACD-4F37-9523-9BED183C57E2}"/>
    <cellStyle name="Comma 227 2 3" xfId="6738" xr:uid="{A612E9A1-86C7-4421-87C5-9DD82001C20A}"/>
    <cellStyle name="Comma 227 2 3 2" xfId="17090" xr:uid="{2F25DA94-2769-4317-9FEB-45B2B353C33A}"/>
    <cellStyle name="Comma 227 2 4" xfId="11915" xr:uid="{4E029AC9-AC5B-4D81-A1AA-E9DA1D2261E0}"/>
    <cellStyle name="Comma 227 3" xfId="2533" xr:uid="{F6F776AC-2C80-49AF-A3CE-86F771140360}"/>
    <cellStyle name="Comma 227 3 2" xfId="7766" xr:uid="{F7FD7BCD-36EE-455D-B7F3-BA36AB16C029}"/>
    <cellStyle name="Comma 227 3 2 2" xfId="18118" xr:uid="{ED54FF28-ED9F-4133-843E-46667FF04373}"/>
    <cellStyle name="Comma 227 3 3" xfId="12943" xr:uid="{10598B0A-E298-4E20-A137-1D6152061E14}"/>
    <cellStyle name="Comma 227 4" xfId="4659" xr:uid="{49DBE360-7FC5-4C13-A2C4-D84E9EB0831A}"/>
    <cellStyle name="Comma 227 4 2" xfId="9835" xr:uid="{4B7E3361-A86F-4E18-84F7-2DE3DD631BC0}"/>
    <cellStyle name="Comma 227 4 2 2" xfId="20187" xr:uid="{AAE33B75-F6F1-4736-878E-469D45E72BAB}"/>
    <cellStyle name="Comma 227 4 3" xfId="15011" xr:uid="{D7510A99-C8C7-4082-B34E-96DC8876F46B}"/>
    <cellStyle name="Comma 227 5" xfId="5707" xr:uid="{AA20DC06-1D3D-48E4-84D3-31F794EA2CC0}"/>
    <cellStyle name="Comma 227 5 2" xfId="16059" xr:uid="{778A0CA6-5E27-4D0D-9530-6DB8BB61EB6C}"/>
    <cellStyle name="Comma 227 6" xfId="10885" xr:uid="{BA1900BC-1FFC-4F00-98AB-3FB36B2868A4}"/>
    <cellStyle name="Comma 228" xfId="468" xr:uid="{CEDD4526-892E-4E51-8177-9A94B843D1CF}"/>
    <cellStyle name="Comma 228 2" xfId="1506" xr:uid="{BDB2A027-7730-4E2E-877F-D3C3509488F1}"/>
    <cellStyle name="Comma 228 2 2" xfId="3564" xr:uid="{475C01D3-244D-4FAF-8CBA-836FED81E6AC}"/>
    <cellStyle name="Comma 228 2 2 2" xfId="8797" xr:uid="{A16C3451-8ED2-4598-B971-B843283CB156}"/>
    <cellStyle name="Comma 228 2 2 2 2" xfId="19149" xr:uid="{45E50654-436E-49D4-812D-E4F7355D5A55}"/>
    <cellStyle name="Comma 228 2 2 3" xfId="13974" xr:uid="{2D9A1A8B-111A-4522-8E58-77A0C7ECE922}"/>
    <cellStyle name="Comma 228 2 3" xfId="6739" xr:uid="{ABFBD283-07E2-4176-BB39-89BDC594ED81}"/>
    <cellStyle name="Comma 228 2 3 2" xfId="17091" xr:uid="{F7B3529A-2F50-423B-A9F9-E30D40F3F6BD}"/>
    <cellStyle name="Comma 228 2 4" xfId="11916" xr:uid="{CBB69AFC-96B4-42A8-9808-11C4AC1FF19C}"/>
    <cellStyle name="Comma 228 3" xfId="2534" xr:uid="{AFCC032B-1064-4D4F-BDE2-CEB1126D250A}"/>
    <cellStyle name="Comma 228 3 2" xfId="7767" xr:uid="{F03FC67B-DA19-4E9C-B5BA-A68DC9E18EDE}"/>
    <cellStyle name="Comma 228 3 2 2" xfId="18119" xr:uid="{D1AA9550-9635-40A1-BCD8-AE2CFEE90AEE}"/>
    <cellStyle name="Comma 228 3 3" xfId="12944" xr:uid="{E16D8C43-08E7-4576-BABC-3CD47D3138F8}"/>
    <cellStyle name="Comma 228 4" xfId="4660" xr:uid="{0CE9E42F-BBE2-4662-B5AF-C13DD59BA7B6}"/>
    <cellStyle name="Comma 228 4 2" xfId="9836" xr:uid="{759E4BF6-E86C-4205-B8EC-DEE90C6DC758}"/>
    <cellStyle name="Comma 228 4 2 2" xfId="20188" xr:uid="{EA9168BB-029A-4125-A42B-4D6F6DE4DA49}"/>
    <cellStyle name="Comma 228 4 3" xfId="15012" xr:uid="{DBD428C3-AE50-4BC0-B3B5-0D3E5B885B28}"/>
    <cellStyle name="Comma 228 5" xfId="5708" xr:uid="{CEBE59B9-7A6A-4AB7-AF68-09C16E99BEED}"/>
    <cellStyle name="Comma 228 5 2" xfId="16060" xr:uid="{0C15CE9A-1DB3-4155-9D2A-6954D0DE33FD}"/>
    <cellStyle name="Comma 228 6" xfId="10886" xr:uid="{7188E92C-A5C8-49DA-BD27-8D6625E1D59F}"/>
    <cellStyle name="Comma 229" xfId="469" xr:uid="{765DEB17-693E-4FC8-86F2-0F7D0D089D39}"/>
    <cellStyle name="Comma 229 2" xfId="1507" xr:uid="{3176FAA3-7EFF-4F68-B41F-6936A48AA273}"/>
    <cellStyle name="Comma 229 2 2" xfId="3565" xr:uid="{9CF54E80-A05B-46C1-9B8F-FB73ED873579}"/>
    <cellStyle name="Comma 229 2 2 2" xfId="8798" xr:uid="{49C0DA37-BA58-48CA-8150-AB4720F41E64}"/>
    <cellStyle name="Comma 229 2 2 2 2" xfId="19150" xr:uid="{016C011A-B1FE-4EEF-BF59-4CF009640B8A}"/>
    <cellStyle name="Comma 229 2 2 3" xfId="13975" xr:uid="{B7A2FE49-CB46-4848-B353-EA41C1FF54F7}"/>
    <cellStyle name="Comma 229 2 3" xfId="6740" xr:uid="{8DECE320-9AA4-4CCC-8B11-CEC6D0490030}"/>
    <cellStyle name="Comma 229 2 3 2" xfId="17092" xr:uid="{35781A1D-29FD-42B0-9269-32A4CABF0DDE}"/>
    <cellStyle name="Comma 229 2 4" xfId="11917" xr:uid="{6988E520-B57F-4BF8-A373-B1788E07E36B}"/>
    <cellStyle name="Comma 229 3" xfId="2535" xr:uid="{23C10B60-2A7B-42B0-936A-AF36C7DE9685}"/>
    <cellStyle name="Comma 229 3 2" xfId="7768" xr:uid="{D9E2EA8B-6A5D-455D-8D1F-172D89B40D1D}"/>
    <cellStyle name="Comma 229 3 2 2" xfId="18120" xr:uid="{1E16CFAD-28BE-4431-9FF4-9BF3115EC41D}"/>
    <cellStyle name="Comma 229 3 3" xfId="12945" xr:uid="{30AA27AE-38AD-4804-BC18-1DAB5EA6CD61}"/>
    <cellStyle name="Comma 229 4" xfId="4661" xr:uid="{8CED921A-3BCD-4BF2-9AB2-B534C4D1F271}"/>
    <cellStyle name="Comma 229 4 2" xfId="9837" xr:uid="{2B562B81-2CB9-4B63-8586-2E21FD032B4E}"/>
    <cellStyle name="Comma 229 4 2 2" xfId="20189" xr:uid="{9942E3E3-8C02-41BE-8B8E-923F802DAB68}"/>
    <cellStyle name="Comma 229 4 3" xfId="15013" xr:uid="{93EEC294-08C3-46D5-B296-F7C1E663621C}"/>
    <cellStyle name="Comma 229 5" xfId="5709" xr:uid="{77DCA379-BAD2-45A5-81E6-A505FA5E2D23}"/>
    <cellStyle name="Comma 229 5 2" xfId="16061" xr:uid="{492145D0-1F13-4015-898C-D6F4AC34C175}"/>
    <cellStyle name="Comma 229 6" xfId="10887" xr:uid="{899727E1-0AC9-4FF2-BD69-FF09BF85B510}"/>
    <cellStyle name="Comma 23" xfId="214" xr:uid="{4BF7128E-AA12-4036-A640-1FB598C5BF12}"/>
    <cellStyle name="Comma 23 2" xfId="1300" xr:uid="{107F8457-59BC-4196-8AD1-A8088CF7BFA5}"/>
    <cellStyle name="Comma 23 2 2" xfId="3358" xr:uid="{6C4BAC88-8D9C-44F2-8BAC-3F1B75DE0235}"/>
    <cellStyle name="Comma 23 2 2 2" xfId="8591" xr:uid="{ED59A0D2-AAC2-45B8-8C7F-7261B6C1B249}"/>
    <cellStyle name="Comma 23 2 2 2 2" xfId="18943" xr:uid="{4733052F-52DD-4CBD-BEBE-DADA79DBE31E}"/>
    <cellStyle name="Comma 23 2 2 3" xfId="13768" xr:uid="{3CA2048D-B963-47B7-9D1B-365A0CA0FFA3}"/>
    <cellStyle name="Comma 23 2 3" xfId="6533" xr:uid="{C59D0422-68C0-4EE7-9D18-89CB8D51FCE9}"/>
    <cellStyle name="Comma 23 2 3 2" xfId="16885" xr:uid="{1E621DD2-B4EF-4C57-BE9D-F77C29D844F2}"/>
    <cellStyle name="Comma 23 2 4" xfId="11710" xr:uid="{2C3BC613-D9AB-46CD-AD28-81FC9D06776E}"/>
    <cellStyle name="Comma 23 3" xfId="2328" xr:uid="{998407A5-8F76-4C2A-8FE8-AE788D950299}"/>
    <cellStyle name="Comma 23 3 2" xfId="7561" xr:uid="{F7D701A5-DEDA-41E6-80AD-4C1CED03C23B}"/>
    <cellStyle name="Comma 23 3 2 2" xfId="17913" xr:uid="{D5E9BE0D-436F-4C35-AA3B-687F1384399B}"/>
    <cellStyle name="Comma 23 3 3" xfId="12738" xr:uid="{6943B617-DEA5-4233-B816-001E39B1C930}"/>
    <cellStyle name="Comma 23 4" xfId="4454" xr:uid="{E597094B-F315-4855-A075-292155CF1E73}"/>
    <cellStyle name="Comma 23 4 2" xfId="9630" xr:uid="{2AF5C45C-8A18-4AC6-89CC-2E7DF308E2FE}"/>
    <cellStyle name="Comma 23 4 2 2" xfId="19982" xr:uid="{59F9BC4E-759C-4CDD-8C2F-EE6A111EF515}"/>
    <cellStyle name="Comma 23 4 3" xfId="14806" xr:uid="{28B159EF-3A38-445C-A081-3E10213C73BC}"/>
    <cellStyle name="Comma 23 5" xfId="5502" xr:uid="{7168E93E-7DFA-40D8-B2B1-5C0E1D619796}"/>
    <cellStyle name="Comma 23 5 2" xfId="15854" xr:uid="{F83C6F33-4247-46B4-B1D6-F08188C6F37A}"/>
    <cellStyle name="Comma 23 6" xfId="10680" xr:uid="{67B485FF-4465-4E4A-88E9-56B6335EC018}"/>
    <cellStyle name="Comma 230" xfId="470" xr:uid="{98452640-2A46-4CF5-81D8-32F30294139E}"/>
    <cellStyle name="Comma 230 2" xfId="1508" xr:uid="{C99CB060-F6C2-4456-9548-9DE2F33557EC}"/>
    <cellStyle name="Comma 230 2 2" xfId="3566" xr:uid="{48A11789-8D69-4401-9C27-FDEB9575289B}"/>
    <cellStyle name="Comma 230 2 2 2" xfId="8799" xr:uid="{356A14C6-98E0-45CF-B9A5-418D56DDBD03}"/>
    <cellStyle name="Comma 230 2 2 2 2" xfId="19151" xr:uid="{0B55E4DA-A3A9-4B34-A396-FE869C553D6E}"/>
    <cellStyle name="Comma 230 2 2 3" xfId="13976" xr:uid="{3C2E1CCB-6097-4792-B2E8-0C3DF4C7E478}"/>
    <cellStyle name="Comma 230 2 3" xfId="6741" xr:uid="{F21FB838-CB8D-4D06-A280-7237DD2055E2}"/>
    <cellStyle name="Comma 230 2 3 2" xfId="17093" xr:uid="{BEF563BC-C88F-4964-A041-92E612A99B87}"/>
    <cellStyle name="Comma 230 2 4" xfId="11918" xr:uid="{AF9F3941-59C3-44EC-B91A-0273DC5DDB1F}"/>
    <cellStyle name="Comma 230 3" xfId="2536" xr:uid="{0C1FA420-083E-4BE5-80C8-7FD4FB83C878}"/>
    <cellStyle name="Comma 230 3 2" xfId="7769" xr:uid="{1CEF47B3-F3A0-4A1F-A354-31B119CE10C6}"/>
    <cellStyle name="Comma 230 3 2 2" xfId="18121" xr:uid="{C78AE337-79C0-4542-8CA6-76B2AD7C2D4B}"/>
    <cellStyle name="Comma 230 3 3" xfId="12946" xr:uid="{580798AE-6F2D-4A42-B045-FBEDDA5D4A39}"/>
    <cellStyle name="Comma 230 4" xfId="4662" xr:uid="{E0DBFD5E-B30E-41EC-B82E-132D4B4C0F74}"/>
    <cellStyle name="Comma 230 4 2" xfId="9838" xr:uid="{E1AAF112-A8FD-4C7B-A81F-062D16241B0E}"/>
    <cellStyle name="Comma 230 4 2 2" xfId="20190" xr:uid="{32B10034-526E-4493-B145-A0AFA08488DD}"/>
    <cellStyle name="Comma 230 4 3" xfId="15014" xr:uid="{B2C4763E-BEF1-44A6-97A6-2B6EB1EAFDA5}"/>
    <cellStyle name="Comma 230 5" xfId="5710" xr:uid="{6397575E-A979-418C-9164-F543051B15A4}"/>
    <cellStyle name="Comma 230 5 2" xfId="16062" xr:uid="{7A4E8E77-21B9-4CCC-8DA6-F8C943591EF0}"/>
    <cellStyle name="Comma 230 6" xfId="10888" xr:uid="{AF82392C-1A2A-4389-9A7D-6216D14CA2E2}"/>
    <cellStyle name="Comma 231" xfId="471" xr:uid="{A920A765-E754-4B5E-81AD-92590060E223}"/>
    <cellStyle name="Comma 231 2" xfId="1509" xr:uid="{327B56BD-323A-473F-9D08-B3DBCD32ABC3}"/>
    <cellStyle name="Comma 231 2 2" xfId="3567" xr:uid="{CCC5C52E-F6A6-40C3-814A-F329BA98DB1C}"/>
    <cellStyle name="Comma 231 2 2 2" xfId="8800" xr:uid="{E7A8D793-6955-46E3-B741-1D6A8148D6A2}"/>
    <cellStyle name="Comma 231 2 2 2 2" xfId="19152" xr:uid="{036C37CF-CADB-4CD6-AC22-9A9F8FFADA18}"/>
    <cellStyle name="Comma 231 2 2 3" xfId="13977" xr:uid="{E7F19B8B-D33F-49FA-925D-6499E2EF1857}"/>
    <cellStyle name="Comma 231 2 3" xfId="6742" xr:uid="{1145D713-356D-49FB-B215-58B022D3979A}"/>
    <cellStyle name="Comma 231 2 3 2" xfId="17094" xr:uid="{E0A63F90-9617-4144-AC74-E437A20DABB4}"/>
    <cellStyle name="Comma 231 2 4" xfId="11919" xr:uid="{414DE987-E1FA-465C-9991-E341E07CC076}"/>
    <cellStyle name="Comma 231 3" xfId="2537" xr:uid="{F8DF79E2-2601-429E-B13E-609162EFBB9E}"/>
    <cellStyle name="Comma 231 3 2" xfId="7770" xr:uid="{A3BF0744-720F-4A1D-B9BB-3F1D39C68559}"/>
    <cellStyle name="Comma 231 3 2 2" xfId="18122" xr:uid="{82FF5705-CC32-45BD-8638-223ED35BBE32}"/>
    <cellStyle name="Comma 231 3 3" xfId="12947" xr:uid="{9C2D3905-DD18-4C86-B5E6-1AB499C97A00}"/>
    <cellStyle name="Comma 231 4" xfId="4663" xr:uid="{FD0F6191-7375-4AE0-AF45-E43A7198ED2A}"/>
    <cellStyle name="Comma 231 4 2" xfId="9839" xr:uid="{FBB9F67D-7F19-4E69-A55D-92AA20CE4FA2}"/>
    <cellStyle name="Comma 231 4 2 2" xfId="20191" xr:uid="{AC39C4E4-5BE1-4549-9951-57ACB3479172}"/>
    <cellStyle name="Comma 231 4 3" xfId="15015" xr:uid="{5FE1220C-2C2D-4E33-814F-131AB38D1504}"/>
    <cellStyle name="Comma 231 5" xfId="5711" xr:uid="{90A1C66F-BCB1-472C-AC85-CF83B9CF5915}"/>
    <cellStyle name="Comma 231 5 2" xfId="16063" xr:uid="{76F718FB-142A-4908-B366-C2B0829F6F05}"/>
    <cellStyle name="Comma 231 6" xfId="10889" xr:uid="{E9FCB03A-4D81-4EF7-8DF6-C54118FF08AF}"/>
    <cellStyle name="Comma 232" xfId="472" xr:uid="{544B8291-FA52-41BE-8168-F14189A1EB69}"/>
    <cellStyle name="Comma 232 2" xfId="1510" xr:uid="{0B67BC9C-7044-433F-BBF1-478C18C75B4E}"/>
    <cellStyle name="Comma 232 2 2" xfId="3568" xr:uid="{5B2B9BB6-44A8-44D4-B301-5D5CB819B211}"/>
    <cellStyle name="Comma 232 2 2 2" xfId="8801" xr:uid="{0E26DA2F-5FAD-4BF9-A600-81BEED4366A5}"/>
    <cellStyle name="Comma 232 2 2 2 2" xfId="19153" xr:uid="{1EE2213B-4238-4FF9-8528-C4A0BFC92AA1}"/>
    <cellStyle name="Comma 232 2 2 3" xfId="13978" xr:uid="{75FFA1B6-5BC4-4CE9-8728-118850294B9A}"/>
    <cellStyle name="Comma 232 2 3" xfId="6743" xr:uid="{7AEA003A-1C31-49D8-A349-2C7CA88FBCE2}"/>
    <cellStyle name="Comma 232 2 3 2" xfId="17095" xr:uid="{F9B8B55A-DA1C-49D9-8E9E-90FB0B4D44EE}"/>
    <cellStyle name="Comma 232 2 4" xfId="11920" xr:uid="{3C55F053-C332-4466-BC1F-BFCBCF03D416}"/>
    <cellStyle name="Comma 232 3" xfId="2538" xr:uid="{E8CEE619-E6A5-45FC-A31F-B1B7DA7A1DC3}"/>
    <cellStyle name="Comma 232 3 2" xfId="7771" xr:uid="{D292C870-1781-45D1-BF95-000A1E1F1DC8}"/>
    <cellStyle name="Comma 232 3 2 2" xfId="18123" xr:uid="{A3498690-0C19-45B5-9529-06FE340E77C9}"/>
    <cellStyle name="Comma 232 3 3" xfId="12948" xr:uid="{8803005A-BBD0-4F57-9AB7-4E5F39C20ECC}"/>
    <cellStyle name="Comma 232 4" xfId="4664" xr:uid="{9F776979-E01F-497D-81A8-2F245DEDE0A0}"/>
    <cellStyle name="Comma 232 4 2" xfId="9840" xr:uid="{D562BC90-BD03-4183-8653-51E49DF76404}"/>
    <cellStyle name="Comma 232 4 2 2" xfId="20192" xr:uid="{F2057D41-A989-490C-B011-890C700AB2C9}"/>
    <cellStyle name="Comma 232 4 3" xfId="15016" xr:uid="{74E7335D-1D01-4F9B-A529-DE51E64EF00E}"/>
    <cellStyle name="Comma 232 5" xfId="5712" xr:uid="{2875380C-9080-4554-B0A2-B17C72EF76B7}"/>
    <cellStyle name="Comma 232 5 2" xfId="16064" xr:uid="{36FE834A-3D82-4F11-9A5C-24521658886F}"/>
    <cellStyle name="Comma 232 6" xfId="10890" xr:uid="{AA523992-A7CC-4128-9637-56ADB15DB243}"/>
    <cellStyle name="Comma 233" xfId="473" xr:uid="{25749DF8-F369-4AF0-90D7-9452173AC158}"/>
    <cellStyle name="Comma 233 2" xfId="1511" xr:uid="{15033FB4-D946-459B-8740-5E6CE17875A8}"/>
    <cellStyle name="Comma 233 2 2" xfId="3569" xr:uid="{8E7194F4-5B4C-46A8-8E4F-D6555C58A354}"/>
    <cellStyle name="Comma 233 2 2 2" xfId="8802" xr:uid="{E1E9F061-1B18-4DD7-9722-A8ADB33D1516}"/>
    <cellStyle name="Comma 233 2 2 2 2" xfId="19154" xr:uid="{339857A0-E690-4695-8524-2866AAE2ABC8}"/>
    <cellStyle name="Comma 233 2 2 3" xfId="13979" xr:uid="{CED27782-6615-47D7-8259-1564E64F5A6A}"/>
    <cellStyle name="Comma 233 2 3" xfId="6744" xr:uid="{40A8A0EC-FC0B-4D05-AEDF-651140F57E9E}"/>
    <cellStyle name="Comma 233 2 3 2" xfId="17096" xr:uid="{3036A84B-CF46-4543-A3FA-2F22D6851508}"/>
    <cellStyle name="Comma 233 2 4" xfId="11921" xr:uid="{F2E488B1-19BB-4406-B95D-CE1E8873141C}"/>
    <cellStyle name="Comma 233 3" xfId="2539" xr:uid="{536CFE87-ED96-46CE-9B64-9F2104065CB1}"/>
    <cellStyle name="Comma 233 3 2" xfId="7772" xr:uid="{54E56146-63D3-4BC5-92E0-FA61CF34E089}"/>
    <cellStyle name="Comma 233 3 2 2" xfId="18124" xr:uid="{6E46FAF6-BCD3-4D39-8D2F-2A18B76529DB}"/>
    <cellStyle name="Comma 233 3 3" xfId="12949" xr:uid="{15C28E33-52F1-4CB6-93D3-2F8074164438}"/>
    <cellStyle name="Comma 233 4" xfId="4665" xr:uid="{4902FDD0-7E44-4B63-89B9-02389FF44852}"/>
    <cellStyle name="Comma 233 4 2" xfId="9841" xr:uid="{85D1E212-B0D0-4ADC-BC1F-3B534265A73C}"/>
    <cellStyle name="Comma 233 4 2 2" xfId="20193" xr:uid="{C92E04F0-B789-4AF9-A1AD-57A3E4CB58E7}"/>
    <cellStyle name="Comma 233 4 3" xfId="15017" xr:uid="{B663A8BC-869E-4944-A759-37960B406D88}"/>
    <cellStyle name="Comma 233 5" xfId="5713" xr:uid="{C991106D-BD89-46ED-A284-D97074FFBFD3}"/>
    <cellStyle name="Comma 233 5 2" xfId="16065" xr:uid="{C1354B68-1014-4121-83BF-5F4DC0F4BEBF}"/>
    <cellStyle name="Comma 233 6" xfId="10891" xr:uid="{E3F47F10-3899-4572-B9F1-E6EE9F95AB51}"/>
    <cellStyle name="Comma 234" xfId="474" xr:uid="{03EC7F72-7705-4895-B944-4EC7AE906B65}"/>
    <cellStyle name="Comma 234 2" xfId="1512" xr:uid="{5B114A56-86CF-4213-8B9B-E7E77EA2625E}"/>
    <cellStyle name="Comma 234 2 2" xfId="3570" xr:uid="{44A52D0E-8249-44E6-B76B-C1E0BED22ECD}"/>
    <cellStyle name="Comma 234 2 2 2" xfId="8803" xr:uid="{E3AAE0FF-E071-42AE-87B8-437474E803DC}"/>
    <cellStyle name="Comma 234 2 2 2 2" xfId="19155" xr:uid="{BA4C2FA1-B966-4E71-82CC-FBAC934CFDCC}"/>
    <cellStyle name="Comma 234 2 2 3" xfId="13980" xr:uid="{0C9A942C-BAD8-4012-BEA5-53B3E5A628C4}"/>
    <cellStyle name="Comma 234 2 3" xfId="6745" xr:uid="{819DBE39-6675-46E7-9F20-68DB37A53B3B}"/>
    <cellStyle name="Comma 234 2 3 2" xfId="17097" xr:uid="{BDE5D2C2-8D83-4868-97C9-B1D12CE52C7C}"/>
    <cellStyle name="Comma 234 2 4" xfId="11922" xr:uid="{8DC0E702-FF76-462C-9F4B-FB2E8974821A}"/>
    <cellStyle name="Comma 234 3" xfId="2540" xr:uid="{05BC428E-9B7A-4F23-9A9C-0C7CE19492F0}"/>
    <cellStyle name="Comma 234 3 2" xfId="7773" xr:uid="{0968281B-1BD5-4D53-A995-2C33DABD77BF}"/>
    <cellStyle name="Comma 234 3 2 2" xfId="18125" xr:uid="{744031EC-33B0-4AB4-B351-58EC152A048A}"/>
    <cellStyle name="Comma 234 3 3" xfId="12950" xr:uid="{0A43265E-2BB4-4466-A908-17FEFDEFC2B7}"/>
    <cellStyle name="Comma 234 4" xfId="4666" xr:uid="{C4F3EDE8-D7CD-4141-95B1-E3BA70F13119}"/>
    <cellStyle name="Comma 234 4 2" xfId="9842" xr:uid="{0E97D9F2-DFB6-4C0A-B811-AE07C0A70812}"/>
    <cellStyle name="Comma 234 4 2 2" xfId="20194" xr:uid="{97BA09F8-DF9F-4CF2-A279-79226E7750B8}"/>
    <cellStyle name="Comma 234 4 3" xfId="15018" xr:uid="{AA14981F-D234-4EC0-9928-549333DEE4A3}"/>
    <cellStyle name="Comma 234 5" xfId="5714" xr:uid="{E3F9AA17-08DD-4B20-AFD2-C87F7C3EDAEA}"/>
    <cellStyle name="Comma 234 5 2" xfId="16066" xr:uid="{F517915E-8B04-48BB-A486-CAB85AE39F32}"/>
    <cellStyle name="Comma 234 6" xfId="10892" xr:uid="{CAA1DCCA-507D-4C2B-994F-57F19B4BBEDC}"/>
    <cellStyle name="Comma 235" xfId="475" xr:uid="{40401623-7FC0-43B5-AA1F-D8FD6EF77DD7}"/>
    <cellStyle name="Comma 235 2" xfId="1513" xr:uid="{459280E9-4653-4F2C-9A83-91CD51B80519}"/>
    <cellStyle name="Comma 235 2 2" xfId="3571" xr:uid="{E390040B-D90F-4D1C-9E6A-C722D058DE87}"/>
    <cellStyle name="Comma 235 2 2 2" xfId="8804" xr:uid="{5C947292-8FDF-46FE-8B66-4619FCAD2B5C}"/>
    <cellStyle name="Comma 235 2 2 2 2" xfId="19156" xr:uid="{33833BCE-0C3D-4AC7-8806-66AF45787C8B}"/>
    <cellStyle name="Comma 235 2 2 3" xfId="13981" xr:uid="{9EA63EB8-6574-4B56-85D8-E53068D27F78}"/>
    <cellStyle name="Comma 235 2 3" xfId="6746" xr:uid="{8A8F385F-47FD-42FC-8F97-2F7A203EF2B9}"/>
    <cellStyle name="Comma 235 2 3 2" xfId="17098" xr:uid="{EB45532A-5C91-4119-85D9-2201EFE8B96C}"/>
    <cellStyle name="Comma 235 2 4" xfId="11923" xr:uid="{465E1398-615F-47B0-893D-9E1AFA3C1C5F}"/>
    <cellStyle name="Comma 235 3" xfId="2541" xr:uid="{2CDED412-E67D-44B7-A0C3-43385779A13E}"/>
    <cellStyle name="Comma 235 3 2" xfId="7774" xr:uid="{8FA419DE-9342-46B2-963B-53CC6D641A67}"/>
    <cellStyle name="Comma 235 3 2 2" xfId="18126" xr:uid="{A01F859E-137A-4F5E-8AAB-12D63607D251}"/>
    <cellStyle name="Comma 235 3 3" xfId="12951" xr:uid="{63C25F3E-B4EF-499F-8CF6-33C5EBD28009}"/>
    <cellStyle name="Comma 235 4" xfId="4667" xr:uid="{9B7D1453-5F85-4093-8617-5759DB5C6FCA}"/>
    <cellStyle name="Comma 235 4 2" xfId="9843" xr:uid="{16399598-CF4F-484F-A390-5E9C68AC1E78}"/>
    <cellStyle name="Comma 235 4 2 2" xfId="20195" xr:uid="{46C9E77D-30F5-41FC-9464-A2688CEE47B3}"/>
    <cellStyle name="Comma 235 4 3" xfId="15019" xr:uid="{EF0E3AC2-38A6-4EC7-ABB8-9BA003FBD774}"/>
    <cellStyle name="Comma 235 5" xfId="5715" xr:uid="{78BD106B-3989-4069-BA86-6DDB96E87EE0}"/>
    <cellStyle name="Comma 235 5 2" xfId="16067" xr:uid="{5F973693-921C-4468-B3B2-91F35473A637}"/>
    <cellStyle name="Comma 235 6" xfId="10893" xr:uid="{A150E028-7979-4DC8-84FF-83CC1FEF30F8}"/>
    <cellStyle name="Comma 236" xfId="476" xr:uid="{364B6CF8-40C5-45C8-AFB7-FA255D8837DE}"/>
    <cellStyle name="Comma 236 2" xfId="1514" xr:uid="{B3926A3A-6FD5-4E03-9A9A-61AD5905C80A}"/>
    <cellStyle name="Comma 236 2 2" xfId="3572" xr:uid="{1BD3E0AE-76EC-420C-B64F-10363FEA2B9F}"/>
    <cellStyle name="Comma 236 2 2 2" xfId="8805" xr:uid="{4B5B7418-719D-49AD-9E81-A8C064A85ABF}"/>
    <cellStyle name="Comma 236 2 2 2 2" xfId="19157" xr:uid="{FCD11FB3-9250-4610-B854-D5707EAE93B7}"/>
    <cellStyle name="Comma 236 2 2 3" xfId="13982" xr:uid="{4B92296A-633B-49DF-92EF-9B3978B0FA46}"/>
    <cellStyle name="Comma 236 2 3" xfId="6747" xr:uid="{B7C9AE42-762A-4FA4-9A25-F2E42FB58F57}"/>
    <cellStyle name="Comma 236 2 3 2" xfId="17099" xr:uid="{A5A25B9F-6107-4B36-A990-CDF34F457F2A}"/>
    <cellStyle name="Comma 236 2 4" xfId="11924" xr:uid="{DEFFB0FE-C352-491E-861B-8E5301D7E706}"/>
    <cellStyle name="Comma 236 3" xfId="2542" xr:uid="{04CDF74B-6234-4633-A5AA-FBAE9405A738}"/>
    <cellStyle name="Comma 236 3 2" xfId="7775" xr:uid="{3DE69179-DE5C-455D-8EFC-4702B2B68C74}"/>
    <cellStyle name="Comma 236 3 2 2" xfId="18127" xr:uid="{81E37262-5BB2-4C13-9295-87DB8BCD98E7}"/>
    <cellStyle name="Comma 236 3 3" xfId="12952" xr:uid="{92D44067-75A2-4C4D-A704-6843CBEB385B}"/>
    <cellStyle name="Comma 236 4" xfId="4668" xr:uid="{4C8C896C-1D82-4906-A2A8-7E3BC974A3B8}"/>
    <cellStyle name="Comma 236 4 2" xfId="9844" xr:uid="{AA8933D8-2A3B-4EC2-A5B2-E190BD2E8332}"/>
    <cellStyle name="Comma 236 4 2 2" xfId="20196" xr:uid="{1A5FC364-2666-4B94-B009-3D25BC035993}"/>
    <cellStyle name="Comma 236 4 3" xfId="15020" xr:uid="{71B1DCDE-E2F6-4F59-90B2-741C818617DE}"/>
    <cellStyle name="Comma 236 5" xfId="5716" xr:uid="{C65A67CC-82DF-43BC-BEA2-5941C11D01D1}"/>
    <cellStyle name="Comma 236 5 2" xfId="16068" xr:uid="{2574D867-9B8C-4575-996C-2382259E3CD0}"/>
    <cellStyle name="Comma 236 6" xfId="10894" xr:uid="{3DAFF324-9476-4A2B-ACD8-5DBC19C3F458}"/>
    <cellStyle name="Comma 237" xfId="477" xr:uid="{AC37D035-AE2B-47AD-95F9-A14993864854}"/>
    <cellStyle name="Comma 237 2" xfId="1515" xr:uid="{9CF144EB-7A62-4DD4-B0F2-091468CC73CC}"/>
    <cellStyle name="Comma 237 2 2" xfId="3573" xr:uid="{C2CED122-DE6A-4343-9677-75811866F66B}"/>
    <cellStyle name="Comma 237 2 2 2" xfId="8806" xr:uid="{18F7F9B5-934C-4545-A5E1-7D0032FC5F4B}"/>
    <cellStyle name="Comma 237 2 2 2 2" xfId="19158" xr:uid="{19D8427F-AFB8-41F2-B24C-B208D65C0E86}"/>
    <cellStyle name="Comma 237 2 2 3" xfId="13983" xr:uid="{A01F64BD-395D-4AC5-98AA-A75E4C365070}"/>
    <cellStyle name="Comma 237 2 3" xfId="6748" xr:uid="{38A0FE6C-6628-43EF-B27E-9C6A5BC2536B}"/>
    <cellStyle name="Comma 237 2 3 2" xfId="17100" xr:uid="{F50C9CC7-5E82-4FE3-87CB-57440019EB31}"/>
    <cellStyle name="Comma 237 2 4" xfId="11925" xr:uid="{DD6D1E49-94AE-4772-9AC9-F2E07569D4AD}"/>
    <cellStyle name="Comma 237 3" xfId="2543" xr:uid="{0065E7F6-2D3A-4452-81C8-D245D73CF641}"/>
    <cellStyle name="Comma 237 3 2" xfId="7776" xr:uid="{48B9B485-88B7-48B1-9E53-9611D094880B}"/>
    <cellStyle name="Comma 237 3 2 2" xfId="18128" xr:uid="{293C5D19-591E-4855-BC59-3BA35B2CFC3F}"/>
    <cellStyle name="Comma 237 3 3" xfId="12953" xr:uid="{5B4F0FEF-147C-4432-A03B-0F4217FFA08A}"/>
    <cellStyle name="Comma 237 4" xfId="4669" xr:uid="{DBDAFCED-551F-4892-9B50-7EA62F9E209B}"/>
    <cellStyle name="Comma 237 4 2" xfId="9845" xr:uid="{C1F16413-EE61-49B3-961A-8008C78211DF}"/>
    <cellStyle name="Comma 237 4 2 2" xfId="20197" xr:uid="{4729866A-26C4-4AE8-9AD4-BBF48FEDB517}"/>
    <cellStyle name="Comma 237 4 3" xfId="15021" xr:uid="{B4DECFCA-3F9B-4697-8D98-DE4ADA32DB06}"/>
    <cellStyle name="Comma 237 5" xfId="5717" xr:uid="{30A3AF39-F3DE-447C-A06F-E5639CC30077}"/>
    <cellStyle name="Comma 237 5 2" xfId="16069" xr:uid="{22523EDF-8BCF-41CE-B634-C7D91FFC4309}"/>
    <cellStyle name="Comma 237 6" xfId="10895" xr:uid="{4C01A96B-F5B1-4541-9BF8-4693C81AF824}"/>
    <cellStyle name="Comma 238" xfId="478" xr:uid="{20CF4967-A5E2-45D9-AA16-C393F15651EF}"/>
    <cellStyle name="Comma 238 2" xfId="1516" xr:uid="{4FD8BB47-9DEB-44F1-AEF6-35EB8AE64924}"/>
    <cellStyle name="Comma 238 2 2" xfId="3574" xr:uid="{42A75A34-9022-4D7A-B9C3-D17C34F0E935}"/>
    <cellStyle name="Comma 238 2 2 2" xfId="8807" xr:uid="{65A89D2A-38F3-4804-A99D-639640CEE858}"/>
    <cellStyle name="Comma 238 2 2 2 2" xfId="19159" xr:uid="{474DA51A-F998-4111-A1C4-5FBE12C9FF03}"/>
    <cellStyle name="Comma 238 2 2 3" xfId="13984" xr:uid="{5225142B-B353-4579-AE21-3E5209813750}"/>
    <cellStyle name="Comma 238 2 3" xfId="6749" xr:uid="{B44A9200-BB3D-49CD-9B97-EBB52415B164}"/>
    <cellStyle name="Comma 238 2 3 2" xfId="17101" xr:uid="{A9EEAB52-7397-431E-BAEE-9E8E3834DE8E}"/>
    <cellStyle name="Comma 238 2 4" xfId="11926" xr:uid="{D451C99A-2203-4289-97AE-89131A63E001}"/>
    <cellStyle name="Comma 238 3" xfId="2544" xr:uid="{F5884709-15AF-459A-BE8F-D50688C74390}"/>
    <cellStyle name="Comma 238 3 2" xfId="7777" xr:uid="{C21D703B-5DCA-4BCB-B95A-480D3A23E14B}"/>
    <cellStyle name="Comma 238 3 2 2" xfId="18129" xr:uid="{D9222EB8-2CCE-4672-9085-D966F486C1F6}"/>
    <cellStyle name="Comma 238 3 3" xfId="12954" xr:uid="{3408C7FE-1526-4316-83C8-F6076D3F6FD0}"/>
    <cellStyle name="Comma 238 4" xfId="4670" xr:uid="{1BA8DF60-C912-423A-B05E-325557F98A2E}"/>
    <cellStyle name="Comma 238 4 2" xfId="9846" xr:uid="{7B438A5C-8609-4B09-9BA5-34859EAC5A06}"/>
    <cellStyle name="Comma 238 4 2 2" xfId="20198" xr:uid="{C387ADB0-88B1-4A09-96AD-58DA5AC72496}"/>
    <cellStyle name="Comma 238 4 3" xfId="15022" xr:uid="{6B95D4DB-05BF-4325-B0D1-F4F41748E07B}"/>
    <cellStyle name="Comma 238 5" xfId="5718" xr:uid="{036C5CEC-B1B5-4DC4-A5DE-70DE6C7FA9EC}"/>
    <cellStyle name="Comma 238 5 2" xfId="16070" xr:uid="{B3797C87-DEAE-4CE8-BD96-1A48083FB793}"/>
    <cellStyle name="Comma 238 6" xfId="10896" xr:uid="{987A821B-2B5E-4D7D-9B49-B3AD2DF2E142}"/>
    <cellStyle name="Comma 239" xfId="479" xr:uid="{7C2B75CE-4E09-4352-8CC1-777DA7565D27}"/>
    <cellStyle name="Comma 239 2" xfId="1517" xr:uid="{75DB1412-B815-4440-AF94-B14E95EDF75B}"/>
    <cellStyle name="Comma 239 2 2" xfId="3575" xr:uid="{DBD1E476-4DF8-47E7-9ED6-98B9CA31170C}"/>
    <cellStyle name="Comma 239 2 2 2" xfId="8808" xr:uid="{896B0FB4-863C-4005-9555-83EDDFBA70ED}"/>
    <cellStyle name="Comma 239 2 2 2 2" xfId="19160" xr:uid="{C45F4819-832E-41CA-A63C-6122DAB00224}"/>
    <cellStyle name="Comma 239 2 2 3" xfId="13985" xr:uid="{211ABA8F-5C5C-49FE-9461-E8EA08F6D8F5}"/>
    <cellStyle name="Comma 239 2 3" xfId="6750" xr:uid="{BF3A6DB9-654E-4079-894D-289324C82EFC}"/>
    <cellStyle name="Comma 239 2 3 2" xfId="17102" xr:uid="{76E73D20-59B5-4034-AB61-CF5E8B8C5A6D}"/>
    <cellStyle name="Comma 239 2 4" xfId="11927" xr:uid="{6A31B9FC-4338-4915-A867-8C8F05DB0494}"/>
    <cellStyle name="Comma 239 3" xfId="2545" xr:uid="{F2401B4D-E434-4FE3-9970-587C7569BDE0}"/>
    <cellStyle name="Comma 239 3 2" xfId="7778" xr:uid="{6B6A0F58-C5C9-4AC6-97E1-4097978A2768}"/>
    <cellStyle name="Comma 239 3 2 2" xfId="18130" xr:uid="{9FE34BAF-8929-4D00-B427-B4A2FE8F59D1}"/>
    <cellStyle name="Comma 239 3 3" xfId="12955" xr:uid="{C4BDA116-D42B-478D-BFC8-7D24892F0BDB}"/>
    <cellStyle name="Comma 239 4" xfId="4671" xr:uid="{F57F8D06-6EDE-44C0-BA93-A24047D53F1E}"/>
    <cellStyle name="Comma 239 4 2" xfId="9847" xr:uid="{086D4777-468D-4694-A3B7-66205D29AC3E}"/>
    <cellStyle name="Comma 239 4 2 2" xfId="20199" xr:uid="{BF235A31-7328-4E9C-AEF5-D5E7EA8527C8}"/>
    <cellStyle name="Comma 239 4 3" xfId="15023" xr:uid="{41E11946-B30F-4883-ADF0-5372FE1512E1}"/>
    <cellStyle name="Comma 239 5" xfId="5719" xr:uid="{F4352E52-E536-4C29-821B-6D2276E5F66B}"/>
    <cellStyle name="Comma 239 5 2" xfId="16071" xr:uid="{9F11A435-5041-43FA-8D42-271B986493FA}"/>
    <cellStyle name="Comma 239 6" xfId="10897" xr:uid="{B547511B-D8F7-46DB-BB38-D23E0B249C4D}"/>
    <cellStyle name="Comma 24" xfId="215" xr:uid="{06E651B3-6B4D-44BF-862B-079A5F0DB4FE}"/>
    <cellStyle name="Comma 24 2" xfId="1301" xr:uid="{9173EDEA-7324-483D-8B5A-9C91AE92913E}"/>
    <cellStyle name="Comma 24 2 2" xfId="3359" xr:uid="{D273FC1B-7340-48A8-B1CF-D67811861A4A}"/>
    <cellStyle name="Comma 24 2 2 2" xfId="8592" xr:uid="{82CDE4F1-9B36-42B5-9D0E-B288DE7ACE24}"/>
    <cellStyle name="Comma 24 2 2 2 2" xfId="18944" xr:uid="{7D515AA6-3DA7-4E40-A25A-47295E477449}"/>
    <cellStyle name="Comma 24 2 2 3" xfId="13769" xr:uid="{A1F06916-1C0B-4FC5-A6E4-97BB5E86D999}"/>
    <cellStyle name="Comma 24 2 3" xfId="6534" xr:uid="{03B7ED60-0096-4086-957F-0E698219DBA3}"/>
    <cellStyle name="Comma 24 2 3 2" xfId="16886" xr:uid="{28AF7A8D-3CE3-454E-8568-9D2612943475}"/>
    <cellStyle name="Comma 24 2 4" xfId="11711" xr:uid="{FE25FFD8-0B37-4213-BFC6-E8008D150106}"/>
    <cellStyle name="Comma 24 3" xfId="2329" xr:uid="{4498B18E-76B1-47AB-825B-F72DE4950CB9}"/>
    <cellStyle name="Comma 24 3 2" xfId="7562" xr:uid="{2A2C3039-3F05-4F29-B8BD-F76ABEB2CB93}"/>
    <cellStyle name="Comma 24 3 2 2" xfId="17914" xr:uid="{9EC2D22E-82C8-4E81-9B3A-722FA1725E20}"/>
    <cellStyle name="Comma 24 3 3" xfId="12739" xr:uid="{3091A61D-2704-4E87-A12D-D92AD8A81036}"/>
    <cellStyle name="Comma 24 4" xfId="4455" xr:uid="{765F4673-D103-45D7-AB94-4CD35CD0D416}"/>
    <cellStyle name="Comma 24 4 2" xfId="9631" xr:uid="{DB3248C9-7CD9-42DC-9F2E-A188D738EA2C}"/>
    <cellStyle name="Comma 24 4 2 2" xfId="19983" xr:uid="{F7465CEC-2E8A-4B63-8135-CCA8D76C7D2B}"/>
    <cellStyle name="Comma 24 4 3" xfId="14807" xr:uid="{BCFDB5E8-18AC-43E7-84F1-9D9D05269D8B}"/>
    <cellStyle name="Comma 24 5" xfId="5503" xr:uid="{D689E76A-7610-4874-8A49-0549C5ABE352}"/>
    <cellStyle name="Comma 24 5 2" xfId="15855" xr:uid="{B3DD63CD-81EB-493F-A740-64DADF9F95B6}"/>
    <cellStyle name="Comma 24 6" xfId="10681" xr:uid="{E19998CA-39D0-404F-89AB-773D2F0FA298}"/>
    <cellStyle name="Comma 240" xfId="480" xr:uid="{49F776DE-0701-4F38-A926-4DE93682AC4D}"/>
    <cellStyle name="Comma 240 2" xfId="1518" xr:uid="{1D6BEE60-AE65-4959-910E-D12B324F92A8}"/>
    <cellStyle name="Comma 240 2 2" xfId="3576" xr:uid="{87DD7C23-2AD8-4834-878D-90DE06D236F1}"/>
    <cellStyle name="Comma 240 2 2 2" xfId="8809" xr:uid="{E8DC1FF2-3998-45D3-BA7F-B73B01378280}"/>
    <cellStyle name="Comma 240 2 2 2 2" xfId="19161" xr:uid="{47CEAB7A-E265-4EEB-B50F-8BF0AF7D6428}"/>
    <cellStyle name="Comma 240 2 2 3" xfId="13986" xr:uid="{BF878E7E-5BA8-451D-85A4-A1FC0333ABA2}"/>
    <cellStyle name="Comma 240 2 3" xfId="6751" xr:uid="{7E517929-DD72-46A5-A399-559DFA96BF03}"/>
    <cellStyle name="Comma 240 2 3 2" xfId="17103" xr:uid="{BDB480B5-955E-4914-8FAC-9639AD56BDB0}"/>
    <cellStyle name="Comma 240 2 4" xfId="11928" xr:uid="{57A91159-0726-47E9-9710-5A8EB2C3F2C7}"/>
    <cellStyle name="Comma 240 3" xfId="2546" xr:uid="{A129A390-10BE-46C0-AA51-75CD7ADAE2A2}"/>
    <cellStyle name="Comma 240 3 2" xfId="7779" xr:uid="{E2C541AE-6BCF-43F2-BE31-CE25597684C1}"/>
    <cellStyle name="Comma 240 3 2 2" xfId="18131" xr:uid="{2BA3B3DC-37A8-4D22-8B51-5919B276692D}"/>
    <cellStyle name="Comma 240 3 3" xfId="12956" xr:uid="{53EEA12E-D362-4FF0-A687-642DEE9CBC8E}"/>
    <cellStyle name="Comma 240 4" xfId="4672" xr:uid="{082BE320-F5BD-4D15-837D-332061A01E63}"/>
    <cellStyle name="Comma 240 4 2" xfId="9848" xr:uid="{A0F9D73C-AE08-4F21-BECD-0A54F5178B19}"/>
    <cellStyle name="Comma 240 4 2 2" xfId="20200" xr:uid="{4056A160-C172-4BEA-BBBA-7855DD45C573}"/>
    <cellStyle name="Comma 240 4 3" xfId="15024" xr:uid="{8547BB6E-2B5B-491D-901B-04072E613D5B}"/>
    <cellStyle name="Comma 240 5" xfId="5720" xr:uid="{F24E0843-D168-4A2F-87DB-DC4AEA106A9B}"/>
    <cellStyle name="Comma 240 5 2" xfId="16072" xr:uid="{C266C262-66D1-4902-AFF3-1B8FEF663C51}"/>
    <cellStyle name="Comma 240 6" xfId="10898" xr:uid="{CD49E48B-5DEE-4013-A30B-3421554D68B6}"/>
    <cellStyle name="Comma 241" xfId="481" xr:uid="{4A766096-884F-4AA5-8995-9BEED1C5BAF1}"/>
    <cellStyle name="Comma 241 2" xfId="1519" xr:uid="{F6A8B6BC-BCE8-4E59-9061-358E773E4BC9}"/>
    <cellStyle name="Comma 241 2 2" xfId="3577" xr:uid="{2078A663-9411-48C6-BB39-BA47085D005C}"/>
    <cellStyle name="Comma 241 2 2 2" xfId="8810" xr:uid="{2AABBB46-34C0-4960-AAFB-31882D02E40A}"/>
    <cellStyle name="Comma 241 2 2 2 2" xfId="19162" xr:uid="{131A0298-4BD9-4D46-B240-CF6D15D217E8}"/>
    <cellStyle name="Comma 241 2 2 3" xfId="13987" xr:uid="{6F641541-B338-491C-B981-9F4BD9AE0F9E}"/>
    <cellStyle name="Comma 241 2 3" xfId="6752" xr:uid="{33B965B8-63D9-4E61-A995-4B81B780C9EF}"/>
    <cellStyle name="Comma 241 2 3 2" xfId="17104" xr:uid="{0E3C4D69-DE96-4237-9A8E-84AC2F3C213E}"/>
    <cellStyle name="Comma 241 2 4" xfId="11929" xr:uid="{131C3AE1-D997-4E1D-BBF5-ABF3EBFFE077}"/>
    <cellStyle name="Comma 241 3" xfId="2547" xr:uid="{69E1B2BA-13D2-4B75-AA46-462ED5D469E5}"/>
    <cellStyle name="Comma 241 3 2" xfId="7780" xr:uid="{C1AF3034-A6C3-4FF8-85B7-71B01363C305}"/>
    <cellStyle name="Comma 241 3 2 2" xfId="18132" xr:uid="{4B96725D-11BB-4DB2-9CBD-DC9FBE3B57AA}"/>
    <cellStyle name="Comma 241 3 3" xfId="12957" xr:uid="{DE3FADF9-32A7-4297-88BA-C33028457AB7}"/>
    <cellStyle name="Comma 241 4" xfId="4673" xr:uid="{9AA63C4D-25AB-42F1-941B-5589D57D2CFF}"/>
    <cellStyle name="Comma 241 4 2" xfId="9849" xr:uid="{2A009193-45AF-41CC-A942-BA580FF59433}"/>
    <cellStyle name="Comma 241 4 2 2" xfId="20201" xr:uid="{F82FCEBB-E63D-464C-AB45-D91EF5991F2C}"/>
    <cellStyle name="Comma 241 4 3" xfId="15025" xr:uid="{A7502F50-BF46-427D-9E19-2FF695EE8466}"/>
    <cellStyle name="Comma 241 5" xfId="5721" xr:uid="{C228EEA3-4CCA-42A2-B46A-3BD5939F9127}"/>
    <cellStyle name="Comma 241 5 2" xfId="16073" xr:uid="{757BDBA8-E179-47F5-9E45-A34C4FC8BAFF}"/>
    <cellStyle name="Comma 241 6" xfId="10899" xr:uid="{D79F3218-ECB4-40AF-B765-F3B4B209360E}"/>
    <cellStyle name="Comma 242" xfId="482" xr:uid="{5760D6F6-CC45-48CE-A79D-05D23E3D3CC2}"/>
    <cellStyle name="Comma 242 2" xfId="1520" xr:uid="{CA5C90F0-E81F-42D3-9C4C-164EC506D275}"/>
    <cellStyle name="Comma 242 2 2" xfId="3578" xr:uid="{53226929-B373-4C2F-A053-D289C693B864}"/>
    <cellStyle name="Comma 242 2 2 2" xfId="8811" xr:uid="{D6B609A6-75D3-4929-9336-69217C645D11}"/>
    <cellStyle name="Comma 242 2 2 2 2" xfId="19163" xr:uid="{1433D466-5402-4D89-B951-CF5777E39EA6}"/>
    <cellStyle name="Comma 242 2 2 3" xfId="13988" xr:uid="{9111439C-988C-4A63-AF93-FE0328C9981F}"/>
    <cellStyle name="Comma 242 2 3" xfId="6753" xr:uid="{F222B777-12D8-4DB8-9001-EFF97E26BBCB}"/>
    <cellStyle name="Comma 242 2 3 2" xfId="17105" xr:uid="{4C04585C-0B59-4D73-A0B7-AC002241E46E}"/>
    <cellStyle name="Comma 242 2 4" xfId="11930" xr:uid="{BE90D73B-5F66-434C-A62D-262D1C0D17A3}"/>
    <cellStyle name="Comma 242 3" xfId="2548" xr:uid="{37D66AB3-381E-4727-824F-4C5F11E2894D}"/>
    <cellStyle name="Comma 242 3 2" xfId="7781" xr:uid="{86522D83-CA1D-4B76-BCA5-9929003EE1AA}"/>
    <cellStyle name="Comma 242 3 2 2" xfId="18133" xr:uid="{58BB62E5-4FC4-4CBE-9FBA-2014421AD8A1}"/>
    <cellStyle name="Comma 242 3 3" xfId="12958" xr:uid="{D030EB36-CDB6-4624-B449-502400C1C1EB}"/>
    <cellStyle name="Comma 242 4" xfId="4674" xr:uid="{A006B76D-78A1-49DB-9F36-C68518868B7F}"/>
    <cellStyle name="Comma 242 4 2" xfId="9850" xr:uid="{AB93FC47-354A-4C79-A720-45B62DFB61BF}"/>
    <cellStyle name="Comma 242 4 2 2" xfId="20202" xr:uid="{D49DC122-7095-44AD-974E-73277CD1403A}"/>
    <cellStyle name="Comma 242 4 3" xfId="15026" xr:uid="{5EC61E37-BC4A-4138-836F-D7C9CCF7112C}"/>
    <cellStyle name="Comma 242 5" xfId="5722" xr:uid="{14B59D16-9227-4F60-BAE2-752BB267BBDB}"/>
    <cellStyle name="Comma 242 5 2" xfId="16074" xr:uid="{B6A812F8-8D9C-4682-9AD6-550D0EDC4934}"/>
    <cellStyle name="Comma 242 6" xfId="10900" xr:uid="{B7AF4AEB-3602-4D05-A1B9-7CEC811C22ED}"/>
    <cellStyle name="Comma 243" xfId="483" xr:uid="{DD72A767-377E-4070-BC01-CBBCA4BAB2E2}"/>
    <cellStyle name="Comma 243 2" xfId="1521" xr:uid="{527415A4-1461-4008-A72E-E2618557FEC7}"/>
    <cellStyle name="Comma 243 2 2" xfId="3579" xr:uid="{4B5A7C80-3AFC-44DA-97CF-693B148BF813}"/>
    <cellStyle name="Comma 243 2 2 2" xfId="8812" xr:uid="{7005920B-76C6-447C-B635-C2741A706043}"/>
    <cellStyle name="Comma 243 2 2 2 2" xfId="19164" xr:uid="{2F8825A7-CCAB-49BA-9216-402B9C3ABBA2}"/>
    <cellStyle name="Comma 243 2 2 3" xfId="13989" xr:uid="{34112056-40B6-446A-979F-6A2C8897D63C}"/>
    <cellStyle name="Comma 243 2 3" xfId="6754" xr:uid="{194EB7A1-6E97-4C39-B419-7758B8C236A6}"/>
    <cellStyle name="Comma 243 2 3 2" xfId="17106" xr:uid="{5DD076BD-B0A7-4C5E-925A-5B3EA1934DA4}"/>
    <cellStyle name="Comma 243 2 4" xfId="11931" xr:uid="{F7B48925-6DC4-4E07-9825-3009DE11CA59}"/>
    <cellStyle name="Comma 243 3" xfId="2549" xr:uid="{8F124171-6FDF-4A96-B824-C6A398D76DC8}"/>
    <cellStyle name="Comma 243 3 2" xfId="7782" xr:uid="{47BC7E4B-4447-4167-82FF-975F6103A562}"/>
    <cellStyle name="Comma 243 3 2 2" xfId="18134" xr:uid="{E51D9CFF-6F84-4BAA-A15A-4529404A0A54}"/>
    <cellStyle name="Comma 243 3 3" xfId="12959" xr:uid="{91796C6E-E371-4D3B-8E20-845BBE946AAE}"/>
    <cellStyle name="Comma 243 4" xfId="4675" xr:uid="{B1A8CDC4-674D-4699-B576-1D9EB14A85F2}"/>
    <cellStyle name="Comma 243 4 2" xfId="9851" xr:uid="{FE70C485-FD06-40AB-9FE3-78270D9BE507}"/>
    <cellStyle name="Comma 243 4 2 2" xfId="20203" xr:uid="{2EE53990-781F-4EFF-AA9C-6262C2CF7360}"/>
    <cellStyle name="Comma 243 4 3" xfId="15027" xr:uid="{89CD4253-2609-4669-8E58-DB2E8D5CA47C}"/>
    <cellStyle name="Comma 243 5" xfId="5723" xr:uid="{82B25128-DF74-4B9F-814E-334B93A979CC}"/>
    <cellStyle name="Comma 243 5 2" xfId="16075" xr:uid="{1E3B54D7-6E33-4D94-8A38-7896DAA4C975}"/>
    <cellStyle name="Comma 243 6" xfId="10901" xr:uid="{4AB35B30-9753-4467-A19C-B8DFABE34F84}"/>
    <cellStyle name="Comma 244" xfId="484" xr:uid="{6480BFA2-A6A3-469A-97BA-9E0DEDF3652A}"/>
    <cellStyle name="Comma 244 2" xfId="1522" xr:uid="{4E89C888-8787-4711-9FCA-468168838265}"/>
    <cellStyle name="Comma 244 2 2" xfId="3580" xr:uid="{0A4B53C9-07BD-4A83-AB9F-5E2D13E77F76}"/>
    <cellStyle name="Comma 244 2 2 2" xfId="8813" xr:uid="{BA0C9563-1E68-41F5-AB3D-D1068C52ED55}"/>
    <cellStyle name="Comma 244 2 2 2 2" xfId="19165" xr:uid="{B00B20A7-5C03-4FFB-9D97-1BEE0B26BD31}"/>
    <cellStyle name="Comma 244 2 2 3" xfId="13990" xr:uid="{9A54F65B-7A3B-421D-834F-1DF40DFC47D5}"/>
    <cellStyle name="Comma 244 2 3" xfId="6755" xr:uid="{81CB5DB5-D78D-4042-BCEB-DBDEEDDFB8EA}"/>
    <cellStyle name="Comma 244 2 3 2" xfId="17107" xr:uid="{7111F902-8EF0-4237-ABC1-F54657DC7533}"/>
    <cellStyle name="Comma 244 2 4" xfId="11932" xr:uid="{B37BDC3B-100A-4992-A99A-E0E1C74DBE13}"/>
    <cellStyle name="Comma 244 3" xfId="2550" xr:uid="{A192697F-EB5A-4305-A2BF-C40A874A5925}"/>
    <cellStyle name="Comma 244 3 2" xfId="7783" xr:uid="{CDEC3DFE-F0C4-4C07-BD75-AABAB72416C0}"/>
    <cellStyle name="Comma 244 3 2 2" xfId="18135" xr:uid="{D29D24DE-9B41-484A-BA25-F3341EEBCAE5}"/>
    <cellStyle name="Comma 244 3 3" xfId="12960" xr:uid="{351C5B0B-E7AE-442A-A2C7-E854645F0147}"/>
    <cellStyle name="Comma 244 4" xfId="4676" xr:uid="{D921469D-DEFF-4F5A-B827-C0F756D56E20}"/>
    <cellStyle name="Comma 244 4 2" xfId="9852" xr:uid="{C016920A-56D9-4D29-B9CC-EC730ED159E4}"/>
    <cellStyle name="Comma 244 4 2 2" xfId="20204" xr:uid="{CE940FCF-35C7-47A0-9E61-59EEBDCBD05A}"/>
    <cellStyle name="Comma 244 4 3" xfId="15028" xr:uid="{B5AD5876-9279-43DB-9B48-3F0E50ED434C}"/>
    <cellStyle name="Comma 244 5" xfId="5724" xr:uid="{CE5D141C-0D54-481E-8F67-C3199D8D7BAD}"/>
    <cellStyle name="Comma 244 5 2" xfId="16076" xr:uid="{82266055-9E68-43F6-A069-8063F718CB38}"/>
    <cellStyle name="Comma 244 6" xfId="10902" xr:uid="{F995D598-70C4-4157-A33A-FE512CC3E2AF}"/>
    <cellStyle name="Comma 245" xfId="485" xr:uid="{A98AAF3A-65E9-41A4-A7A6-AD511EA9F8B3}"/>
    <cellStyle name="Comma 245 2" xfId="1523" xr:uid="{F56A2AA2-3657-4BA6-87E9-E4F2E213C613}"/>
    <cellStyle name="Comma 245 2 2" xfId="3581" xr:uid="{34B497B8-55B6-4A6A-A9ED-0430D03455D0}"/>
    <cellStyle name="Comma 245 2 2 2" xfId="8814" xr:uid="{82950620-38A1-45AD-B16C-1007BFC8CBB5}"/>
    <cellStyle name="Comma 245 2 2 2 2" xfId="19166" xr:uid="{15CA8BAA-479E-4F17-8459-6DEF137715F1}"/>
    <cellStyle name="Comma 245 2 2 3" xfId="13991" xr:uid="{F134D052-9A09-4BA9-8026-16EE82350AD6}"/>
    <cellStyle name="Comma 245 2 3" xfId="6756" xr:uid="{D75C8052-2EC8-4146-8C54-195A0755F9EB}"/>
    <cellStyle name="Comma 245 2 3 2" xfId="17108" xr:uid="{296AF550-53BC-4698-86F9-3D782322BDA0}"/>
    <cellStyle name="Comma 245 2 4" xfId="11933" xr:uid="{9F39857D-924A-4D23-A67C-8FC163442339}"/>
    <cellStyle name="Comma 245 3" xfId="2551" xr:uid="{3A978234-387A-4011-865F-73250E75EB8A}"/>
    <cellStyle name="Comma 245 3 2" xfId="7784" xr:uid="{E27A3440-AEB5-43A6-BF5A-6C142AFEC5EC}"/>
    <cellStyle name="Comma 245 3 2 2" xfId="18136" xr:uid="{B65264D2-E6E1-4C08-BFDF-A59F13760BAA}"/>
    <cellStyle name="Comma 245 3 3" xfId="12961" xr:uid="{AD5F7715-59E1-4F40-BF80-05FDD2186E5C}"/>
    <cellStyle name="Comma 245 4" xfId="4677" xr:uid="{8FA8F9D6-85D0-4517-A0C9-7792A8A4B972}"/>
    <cellStyle name="Comma 245 4 2" xfId="9853" xr:uid="{5C613DCF-B242-4E14-B366-BB7CB5407875}"/>
    <cellStyle name="Comma 245 4 2 2" xfId="20205" xr:uid="{36819DB7-B81F-484E-8867-C4DC717AADC7}"/>
    <cellStyle name="Comma 245 4 3" xfId="15029" xr:uid="{CC0FCD21-7F45-48DE-BAB1-5C8DC0429402}"/>
    <cellStyle name="Comma 245 5" xfId="5725" xr:uid="{F779C7F7-4889-407E-BCE9-06D607B89DF6}"/>
    <cellStyle name="Comma 245 5 2" xfId="16077" xr:uid="{EBA8F248-3CA9-4042-B841-5B7E2169B9DB}"/>
    <cellStyle name="Comma 245 6" xfId="10903" xr:uid="{881A5AAF-C7E8-452F-8397-26ABD3387487}"/>
    <cellStyle name="Comma 246" xfId="486" xr:uid="{F60CD3A0-1B27-4BC2-B1DC-6685CE41284B}"/>
    <cellStyle name="Comma 246 2" xfId="1524" xr:uid="{9B18CEE6-9C4B-4DE8-A83C-DD99D796B24F}"/>
    <cellStyle name="Comma 246 2 2" xfId="3582" xr:uid="{61E258B5-1EF3-433E-96EB-2FA5ADD3B461}"/>
    <cellStyle name="Comma 246 2 2 2" xfId="8815" xr:uid="{4D7EDA1D-9122-4A42-828F-03387310FDC1}"/>
    <cellStyle name="Comma 246 2 2 2 2" xfId="19167" xr:uid="{F21B5540-7E67-4E65-AB92-DC99A8973F41}"/>
    <cellStyle name="Comma 246 2 2 3" xfId="13992" xr:uid="{6C65D472-F8F9-4B08-B97A-95E4F5A0FE0F}"/>
    <cellStyle name="Comma 246 2 3" xfId="6757" xr:uid="{80FF292C-4919-4202-8557-02F5324F03FA}"/>
    <cellStyle name="Comma 246 2 3 2" xfId="17109" xr:uid="{524896D6-2EB2-4D16-AEA8-6A377A764682}"/>
    <cellStyle name="Comma 246 2 4" xfId="11934" xr:uid="{64DD6567-A5F1-4FCB-916D-EBADAEC6E7FF}"/>
    <cellStyle name="Comma 246 3" xfId="2552" xr:uid="{852D3334-F534-4D17-9451-AEAF15943639}"/>
    <cellStyle name="Comma 246 3 2" xfId="7785" xr:uid="{E041F29E-242D-4C99-967D-7BDCECB1E1AD}"/>
    <cellStyle name="Comma 246 3 2 2" xfId="18137" xr:uid="{CFA379BA-E85A-4E31-92D1-DADB2E7F9920}"/>
    <cellStyle name="Comma 246 3 3" xfId="12962" xr:uid="{61ACA222-38BA-4A16-971D-446C77C05222}"/>
    <cellStyle name="Comma 246 4" xfId="4678" xr:uid="{136DAD11-3F56-4FF3-861D-EC05A2EF01EB}"/>
    <cellStyle name="Comma 246 4 2" xfId="9854" xr:uid="{E6134CC4-B63C-4253-8240-587AC683FF92}"/>
    <cellStyle name="Comma 246 4 2 2" xfId="20206" xr:uid="{9C9C9940-0C89-4B50-A43D-06219CDF1E53}"/>
    <cellStyle name="Comma 246 4 3" xfId="15030" xr:uid="{71F49750-C0F8-48DF-A5C7-C849904214E1}"/>
    <cellStyle name="Comma 246 5" xfId="5726" xr:uid="{7B029237-AEC8-4F2E-BE47-C0F463FA203B}"/>
    <cellStyle name="Comma 246 5 2" xfId="16078" xr:uid="{74537F71-7302-4416-BFA7-98F60F0F0CF8}"/>
    <cellStyle name="Comma 246 6" xfId="10904" xr:uid="{FA57D315-8178-4630-9FA0-974C95EEA5F9}"/>
    <cellStyle name="Comma 247" xfId="487" xr:uid="{E9F6DBDC-12AC-499D-99BF-D5EC5F5CF27C}"/>
    <cellStyle name="Comma 247 2" xfId="1525" xr:uid="{9F2B6082-6EA6-47BE-AD53-D74774267589}"/>
    <cellStyle name="Comma 247 2 2" xfId="3583" xr:uid="{3163C63E-D84F-4F23-BE07-7D1F66303957}"/>
    <cellStyle name="Comma 247 2 2 2" xfId="8816" xr:uid="{DE4A2F1F-85F7-4F57-B77C-29EAD81DB02F}"/>
    <cellStyle name="Comma 247 2 2 2 2" xfId="19168" xr:uid="{C97D3248-45F9-4248-849A-2EFBF24A3882}"/>
    <cellStyle name="Comma 247 2 2 3" xfId="13993" xr:uid="{F8135A78-DD72-4906-8954-83683874FF4E}"/>
    <cellStyle name="Comma 247 2 3" xfId="6758" xr:uid="{DD6F3ABB-A646-4F49-A666-8CC35755F51E}"/>
    <cellStyle name="Comma 247 2 3 2" xfId="17110" xr:uid="{107E82DA-FEC7-4970-A30A-8B084D0ABD8E}"/>
    <cellStyle name="Comma 247 2 4" xfId="11935" xr:uid="{2F866A0A-64F9-425A-A830-0E04648F2B65}"/>
    <cellStyle name="Comma 247 3" xfId="2553" xr:uid="{27506AD1-AE9F-4DA6-A86F-8EC936EF3B13}"/>
    <cellStyle name="Comma 247 3 2" xfId="7786" xr:uid="{BF6EC4A5-CA78-4123-86F3-38E2182F5BD3}"/>
    <cellStyle name="Comma 247 3 2 2" xfId="18138" xr:uid="{22E67B6F-2E10-4530-8A16-D6D8435D2CA0}"/>
    <cellStyle name="Comma 247 3 3" xfId="12963" xr:uid="{403A343C-7ECD-4349-B0B6-44CA81060E63}"/>
    <cellStyle name="Comma 247 4" xfId="4679" xr:uid="{18501224-24B0-4D25-A8B3-0A395F4BAC07}"/>
    <cellStyle name="Comma 247 4 2" xfId="9855" xr:uid="{7C8BC428-46EF-4159-8C4A-F313997394BB}"/>
    <cellStyle name="Comma 247 4 2 2" xfId="20207" xr:uid="{8E98D505-62F7-4FFF-AA23-B1BB4BBF5CFC}"/>
    <cellStyle name="Comma 247 4 3" xfId="15031" xr:uid="{45D30E6B-4F87-4A3F-AB3D-A9F6A70C0D38}"/>
    <cellStyle name="Comma 247 5" xfId="5727" xr:uid="{53D8CA97-AF20-47FC-B8BE-E1CC29558A84}"/>
    <cellStyle name="Comma 247 5 2" xfId="16079" xr:uid="{820E6F1C-280E-4A31-BCAB-596BDA5F30BE}"/>
    <cellStyle name="Comma 247 6" xfId="10905" xr:uid="{D43D170E-316C-4F57-9566-69E1A2D761FA}"/>
    <cellStyle name="Comma 248" xfId="488" xr:uid="{71533F21-8CBA-4D14-92DC-2D3475093C04}"/>
    <cellStyle name="Comma 248 2" xfId="1526" xr:uid="{2F7BB127-658B-4826-B987-C3AC3DF2D11A}"/>
    <cellStyle name="Comma 248 2 2" xfId="3584" xr:uid="{44F8E4C8-8FAF-499A-AABD-1363508B40CB}"/>
    <cellStyle name="Comma 248 2 2 2" xfId="8817" xr:uid="{9D6CCCFF-0383-4B46-B4E9-B347D7A73E95}"/>
    <cellStyle name="Comma 248 2 2 2 2" xfId="19169" xr:uid="{41DBE0DD-3CED-4974-BA88-160FD75D2D5D}"/>
    <cellStyle name="Comma 248 2 2 3" xfId="13994" xr:uid="{7EE41185-0DD0-42A0-A6C0-7FDEEE18463B}"/>
    <cellStyle name="Comma 248 2 3" xfId="6759" xr:uid="{7ECE0538-F9D7-4817-9AFC-52615DC48F46}"/>
    <cellStyle name="Comma 248 2 3 2" xfId="17111" xr:uid="{4F63AC3E-A6EF-4E30-9206-1AD32C517B39}"/>
    <cellStyle name="Comma 248 2 4" xfId="11936" xr:uid="{81757AD4-5059-4F91-B9D0-3C18E0B8F8DD}"/>
    <cellStyle name="Comma 248 3" xfId="2554" xr:uid="{2C759DE2-16C6-463C-A5B0-9D9F3CB7BA1F}"/>
    <cellStyle name="Comma 248 3 2" xfId="7787" xr:uid="{ABB4366D-7942-481A-AC91-85B0C4886543}"/>
    <cellStyle name="Comma 248 3 2 2" xfId="18139" xr:uid="{59B5BD24-96AC-4D96-9135-5A9B00B283FF}"/>
    <cellStyle name="Comma 248 3 3" xfId="12964" xr:uid="{E847E6DA-0E79-4DD1-974E-C22AE9673016}"/>
    <cellStyle name="Comma 248 4" xfId="4680" xr:uid="{09E6BC39-DC24-48FF-BD83-CB9BE90701F3}"/>
    <cellStyle name="Comma 248 4 2" xfId="9856" xr:uid="{9A80D7A9-BD88-4AF3-8C4D-B2D9B73CC556}"/>
    <cellStyle name="Comma 248 4 2 2" xfId="20208" xr:uid="{32B57D69-AAFB-49C7-8F1F-64D6AB8C8BDB}"/>
    <cellStyle name="Comma 248 4 3" xfId="15032" xr:uid="{ED7C369D-AA2A-44C4-B525-737333910B3A}"/>
    <cellStyle name="Comma 248 5" xfId="5728" xr:uid="{C76CDE85-F6A9-4E7F-883E-AD62233D73E2}"/>
    <cellStyle name="Comma 248 5 2" xfId="16080" xr:uid="{544C41AF-30DD-4D1A-8D81-776C40509D00}"/>
    <cellStyle name="Comma 248 6" xfId="10906" xr:uid="{A8B9ADEF-4CEB-47A0-A8EE-054F7ACD419B}"/>
    <cellStyle name="Comma 249" xfId="489" xr:uid="{B1716F28-FDA5-4868-876C-7162F942F733}"/>
    <cellStyle name="Comma 249 2" xfId="1527" xr:uid="{A8E9B585-5F78-41E3-9537-AB47540C65BC}"/>
    <cellStyle name="Comma 249 2 2" xfId="3585" xr:uid="{B73CEFA6-D6EC-4C09-BAA4-076B512F0387}"/>
    <cellStyle name="Comma 249 2 2 2" xfId="8818" xr:uid="{B65DFA66-EC8C-4DAE-8165-9E6D958E9DD5}"/>
    <cellStyle name="Comma 249 2 2 2 2" xfId="19170" xr:uid="{D89E926D-A3F4-433E-BE71-4B7C71BAB39F}"/>
    <cellStyle name="Comma 249 2 2 3" xfId="13995" xr:uid="{AAD44D3E-3510-458E-857B-EF5428AD2A3E}"/>
    <cellStyle name="Comma 249 2 3" xfId="6760" xr:uid="{B8A3EA77-0BFC-411E-8BAB-0E1A2C7D7DE7}"/>
    <cellStyle name="Comma 249 2 3 2" xfId="17112" xr:uid="{2FB4CF0D-542B-4ECC-943F-20E9324E592C}"/>
    <cellStyle name="Comma 249 2 4" xfId="11937" xr:uid="{B7446D63-6D45-46F0-B68D-A8DA28C958C8}"/>
    <cellStyle name="Comma 249 3" xfId="2555" xr:uid="{BA66669D-BFFA-469B-B325-B263840D927D}"/>
    <cellStyle name="Comma 249 3 2" xfId="7788" xr:uid="{FAD622E0-6617-4621-A16C-65E02CCA7631}"/>
    <cellStyle name="Comma 249 3 2 2" xfId="18140" xr:uid="{60436C42-4526-4B83-B09C-F7CB8F1E94DE}"/>
    <cellStyle name="Comma 249 3 3" xfId="12965" xr:uid="{76C96CD5-FD1C-4957-980A-F58995A0ABB3}"/>
    <cellStyle name="Comma 249 4" xfId="4681" xr:uid="{0DBF909E-F505-4A9C-8787-F9DD932632F6}"/>
    <cellStyle name="Comma 249 4 2" xfId="9857" xr:uid="{9B119644-0931-4D3C-89B4-BCC9A5F1EB7C}"/>
    <cellStyle name="Comma 249 4 2 2" xfId="20209" xr:uid="{46F5E7BD-77CB-418A-A59F-2B1EB48E9335}"/>
    <cellStyle name="Comma 249 4 3" xfId="15033" xr:uid="{E735A131-3DDF-40ED-8E2F-EF9155A20838}"/>
    <cellStyle name="Comma 249 5" xfId="5729" xr:uid="{0399ED3D-9505-474C-A42F-C85C16D82150}"/>
    <cellStyle name="Comma 249 5 2" xfId="16081" xr:uid="{98133467-EA0E-4E37-8948-55877F07AB90}"/>
    <cellStyle name="Comma 249 6" xfId="10907" xr:uid="{B67222B6-874E-491E-9270-9F2FDF3F0448}"/>
    <cellStyle name="Comma 25" xfId="216" xr:uid="{FAC7D06A-24D4-4EF1-A883-C0D6F47B82D9}"/>
    <cellStyle name="Comma 25 2" xfId="1302" xr:uid="{241EBD86-5157-49BE-B630-A836743D83F4}"/>
    <cellStyle name="Comma 25 2 2" xfId="3360" xr:uid="{233EABAF-6C97-4F52-91EF-7B29B7275227}"/>
    <cellStyle name="Comma 25 2 2 2" xfId="8593" xr:uid="{421A0815-D6D4-493F-B640-AF4B8A65C1B5}"/>
    <cellStyle name="Comma 25 2 2 2 2" xfId="18945" xr:uid="{A7913467-5D03-4377-BFC9-45A9AF2A214F}"/>
    <cellStyle name="Comma 25 2 2 3" xfId="13770" xr:uid="{7FB39DB5-B36B-4F6A-8C4B-1339D4EE1CEF}"/>
    <cellStyle name="Comma 25 2 3" xfId="6535" xr:uid="{792A0E44-DCCE-4A16-933C-68D775408900}"/>
    <cellStyle name="Comma 25 2 3 2" xfId="16887" xr:uid="{812CE7F5-4CF9-40D6-BDB3-1AE03C708D8A}"/>
    <cellStyle name="Comma 25 2 4" xfId="11712" xr:uid="{D26A9A37-369D-4D1A-B384-F090B3B8C011}"/>
    <cellStyle name="Comma 25 3" xfId="2330" xr:uid="{30B8F65B-4ED2-45C0-AF91-3DF507C95308}"/>
    <cellStyle name="Comma 25 3 2" xfId="7563" xr:uid="{4A60726D-D72C-4B4A-B36C-1548F0BAEAC7}"/>
    <cellStyle name="Comma 25 3 2 2" xfId="17915" xr:uid="{EEC3F7AF-175F-40FF-9A70-02B6B092C6AD}"/>
    <cellStyle name="Comma 25 3 3" xfId="12740" xr:uid="{E74D5D0C-9131-4315-976A-33F81E897D13}"/>
    <cellStyle name="Comma 25 4" xfId="4456" xr:uid="{A952FBE6-0D28-4EE4-80BD-AC8CEB2574B0}"/>
    <cellStyle name="Comma 25 4 2" xfId="9632" xr:uid="{860D59F0-0DBA-4231-957B-5D5F6B6A8411}"/>
    <cellStyle name="Comma 25 4 2 2" xfId="19984" xr:uid="{302E129E-FE96-480F-91CB-75859967E9C8}"/>
    <cellStyle name="Comma 25 4 3" xfId="14808" xr:uid="{96EAEC4A-E44B-49EF-B554-94839DBFD558}"/>
    <cellStyle name="Comma 25 5" xfId="5504" xr:uid="{6944102E-550B-48E6-8C0D-ADE63B366433}"/>
    <cellStyle name="Comma 25 5 2" xfId="15856" xr:uid="{434AF7DE-1E86-401D-8A65-4D3233E9C5D4}"/>
    <cellStyle name="Comma 25 6" xfId="10682" xr:uid="{8A1F1C17-3D98-4822-80AD-D998C03145B8}"/>
    <cellStyle name="Comma 250" xfId="490" xr:uid="{B810B881-3A6B-49D2-A563-E2385785C37A}"/>
    <cellStyle name="Comma 250 2" xfId="1528" xr:uid="{348DD740-7E52-4A91-A2AC-835B8FFCF0F3}"/>
    <cellStyle name="Comma 250 2 2" xfId="3586" xr:uid="{08746B9B-B2B3-4600-A666-4A5B20E48D23}"/>
    <cellStyle name="Comma 250 2 2 2" xfId="8819" xr:uid="{DDA54341-A8CE-49C0-98CC-9EA86506C42E}"/>
    <cellStyle name="Comma 250 2 2 2 2" xfId="19171" xr:uid="{1624302C-B7EE-412A-BA07-30EAD0718BDA}"/>
    <cellStyle name="Comma 250 2 2 3" xfId="13996" xr:uid="{ECFA670B-36E5-4D24-BD50-B4BAD270A058}"/>
    <cellStyle name="Comma 250 2 3" xfId="6761" xr:uid="{AB012113-4E86-4F6D-96B1-5F030FDCF4AF}"/>
    <cellStyle name="Comma 250 2 3 2" xfId="17113" xr:uid="{950667E5-56D4-4712-9D9C-4C757EC1AE2E}"/>
    <cellStyle name="Comma 250 2 4" xfId="11938" xr:uid="{DA424080-6ED0-4ABF-8081-40DCD0EC75E4}"/>
    <cellStyle name="Comma 250 3" xfId="2556" xr:uid="{74302624-C74F-444E-8B8F-A14D1F0A0507}"/>
    <cellStyle name="Comma 250 3 2" xfId="7789" xr:uid="{526BC6AD-050C-411D-A74D-49FEB55DC2E6}"/>
    <cellStyle name="Comma 250 3 2 2" xfId="18141" xr:uid="{FE6BA07C-978C-4A0F-B6CE-3D0C6A0B8EA5}"/>
    <cellStyle name="Comma 250 3 3" xfId="12966" xr:uid="{E57D6A2E-6BB6-4FCC-AD49-5461EF48B5D8}"/>
    <cellStyle name="Comma 250 4" xfId="4682" xr:uid="{BB97121A-664E-4E92-9D65-14AE5AAA03ED}"/>
    <cellStyle name="Comma 250 4 2" xfId="9858" xr:uid="{2232F3F8-0CD0-48DB-A078-8D378BAE9B28}"/>
    <cellStyle name="Comma 250 4 2 2" xfId="20210" xr:uid="{835F3010-F8A0-4BC3-8465-EA74C585557C}"/>
    <cellStyle name="Comma 250 4 3" xfId="15034" xr:uid="{55FEDCF8-5B5F-4BBE-A72D-A4FB7C16F1F1}"/>
    <cellStyle name="Comma 250 5" xfId="5730" xr:uid="{FAEEBDBC-B62D-4081-BBF3-7C5BA1AD4CD8}"/>
    <cellStyle name="Comma 250 5 2" xfId="16082" xr:uid="{DA14EC0E-F262-4482-95A6-AFA9333C1D50}"/>
    <cellStyle name="Comma 250 6" xfId="10908" xr:uid="{5BD6E7CA-6F73-4977-90ED-45004499D592}"/>
    <cellStyle name="Comma 251" xfId="491" xr:uid="{3515735A-B5C0-42E4-9495-B2E42CBF0C6E}"/>
    <cellStyle name="Comma 251 2" xfId="1529" xr:uid="{A1D5281F-6B92-440A-9106-F201EB6B9E50}"/>
    <cellStyle name="Comma 251 2 2" xfId="3587" xr:uid="{698B6668-12AF-4830-9F80-F3ECAED44A24}"/>
    <cellStyle name="Comma 251 2 2 2" xfId="8820" xr:uid="{FBE868A7-5485-4995-8761-C5D03EC32FFF}"/>
    <cellStyle name="Comma 251 2 2 2 2" xfId="19172" xr:uid="{B9BE9F1B-EEA3-434F-8B20-11FB8F728EEE}"/>
    <cellStyle name="Comma 251 2 2 3" xfId="13997" xr:uid="{3373738C-1C85-499F-B2DD-64E26C9FE90F}"/>
    <cellStyle name="Comma 251 2 3" xfId="6762" xr:uid="{BF6803C9-0D67-4BB2-9AFA-6C521D23BB90}"/>
    <cellStyle name="Comma 251 2 3 2" xfId="17114" xr:uid="{30F18F73-1CD1-4792-B0A2-E41DB79ABB64}"/>
    <cellStyle name="Comma 251 2 4" xfId="11939" xr:uid="{218EF502-7B30-471C-99B9-F1562FE46EEB}"/>
    <cellStyle name="Comma 251 3" xfId="2557" xr:uid="{243DE1FB-6703-45C4-BB11-7E176C23AF95}"/>
    <cellStyle name="Comma 251 3 2" xfId="7790" xr:uid="{8B5B0040-0CE3-443C-B7DB-1B2A837A7FE9}"/>
    <cellStyle name="Comma 251 3 2 2" xfId="18142" xr:uid="{258E4E09-AE07-45B1-97AD-8C06D725FD76}"/>
    <cellStyle name="Comma 251 3 3" xfId="12967" xr:uid="{DF8E277F-7989-4054-AB35-0825AB32D432}"/>
    <cellStyle name="Comma 251 4" xfId="4683" xr:uid="{E02BE753-E309-422A-ABE6-B6C0A33C21BB}"/>
    <cellStyle name="Comma 251 4 2" xfId="9859" xr:uid="{041778B2-12D3-4239-8C99-2B76DF3676DF}"/>
    <cellStyle name="Comma 251 4 2 2" xfId="20211" xr:uid="{A1D4CC9D-5EFD-4F99-9534-FB3A6FC5211E}"/>
    <cellStyle name="Comma 251 4 3" xfId="15035" xr:uid="{786F973E-C305-4B79-A7A9-1DFC968D1845}"/>
    <cellStyle name="Comma 251 5" xfId="5731" xr:uid="{97967BEC-A5FA-4B31-ABBE-68694D35C9BB}"/>
    <cellStyle name="Comma 251 5 2" xfId="16083" xr:uid="{460F8574-FD04-4BC9-B6A2-7680F3CE7AF2}"/>
    <cellStyle name="Comma 251 6" xfId="10909" xr:uid="{AE7A1BD6-79E5-47E3-8930-3234B956788C}"/>
    <cellStyle name="Comma 252" xfId="492" xr:uid="{A2972D59-8576-4F1B-874E-BABF3933CAAD}"/>
    <cellStyle name="Comma 252 2" xfId="1530" xr:uid="{E2907EE2-E049-4F4F-BAE9-07CEC407DD94}"/>
    <cellStyle name="Comma 252 2 2" xfId="3588" xr:uid="{CD55CBC4-DF6B-4BCE-BC81-C6507EB81D77}"/>
    <cellStyle name="Comma 252 2 2 2" xfId="8821" xr:uid="{6BF26C1E-832F-4578-A4ED-D4CCCA330167}"/>
    <cellStyle name="Comma 252 2 2 2 2" xfId="19173" xr:uid="{0F13218A-5DC0-4C4E-B53C-1EBCE3A86C97}"/>
    <cellStyle name="Comma 252 2 2 3" xfId="13998" xr:uid="{C1E4A02F-5491-41BA-BEF9-097A9EF2F465}"/>
    <cellStyle name="Comma 252 2 3" xfId="6763" xr:uid="{6EE6E9AC-0068-4C2C-94AE-B1287C899E41}"/>
    <cellStyle name="Comma 252 2 3 2" xfId="17115" xr:uid="{A8DD79DC-65B5-40D3-A4F3-22233CD28159}"/>
    <cellStyle name="Comma 252 2 4" xfId="11940" xr:uid="{4BF3A1EF-CDC0-4566-911A-1488C6789EDD}"/>
    <cellStyle name="Comma 252 3" xfId="2558" xr:uid="{DAEFF718-5FF9-4B42-AA90-F39D2B8EFDB9}"/>
    <cellStyle name="Comma 252 3 2" xfId="7791" xr:uid="{9830F4C5-A426-4C14-BF0A-476E739B5354}"/>
    <cellStyle name="Comma 252 3 2 2" xfId="18143" xr:uid="{3D10A7E3-9672-4A13-A128-60DE68929161}"/>
    <cellStyle name="Comma 252 3 3" xfId="12968" xr:uid="{D571942B-5B03-4699-83D4-22F93B0AA03B}"/>
    <cellStyle name="Comma 252 4" xfId="4684" xr:uid="{2DAC3F45-CC47-47BF-AFA3-F38C5AB1877B}"/>
    <cellStyle name="Comma 252 4 2" xfId="9860" xr:uid="{515D8594-DD69-444D-A8E4-91D4D39478E9}"/>
    <cellStyle name="Comma 252 4 2 2" xfId="20212" xr:uid="{B6689C7D-AF50-4569-98D2-1B917BBA4188}"/>
    <cellStyle name="Comma 252 4 3" xfId="15036" xr:uid="{BCD700D5-6551-407F-BC3F-7E6552B3146F}"/>
    <cellStyle name="Comma 252 5" xfId="5732" xr:uid="{83CF44F6-DD9B-4F17-A309-065CB4215363}"/>
    <cellStyle name="Comma 252 5 2" xfId="16084" xr:uid="{9870D8BB-30F5-481B-A022-BA7EE7E973EA}"/>
    <cellStyle name="Comma 252 6" xfId="10910" xr:uid="{81B9555D-848A-4666-98EE-395645635B6C}"/>
    <cellStyle name="Comma 253" xfId="493" xr:uid="{48FFDF7B-D3F3-4075-9932-D7CB7168EA66}"/>
    <cellStyle name="Comma 253 2" xfId="1531" xr:uid="{5742ABFE-6D0B-4795-B864-60781F6BAE17}"/>
    <cellStyle name="Comma 253 2 2" xfId="3589" xr:uid="{7DF3814A-B7A3-4A92-A4A8-2CA88FFAF3E0}"/>
    <cellStyle name="Comma 253 2 2 2" xfId="8822" xr:uid="{963F16AA-49BD-45AC-B8F2-FA008AC5DE04}"/>
    <cellStyle name="Comma 253 2 2 2 2" xfId="19174" xr:uid="{74081658-9E7A-4923-B87A-9D0EDE33CF6F}"/>
    <cellStyle name="Comma 253 2 2 3" xfId="13999" xr:uid="{F36AABA6-881E-4765-A12D-DC3CD4D90F12}"/>
    <cellStyle name="Comma 253 2 3" xfId="6764" xr:uid="{8D0E9759-3E98-4A46-8904-B8934269F02B}"/>
    <cellStyle name="Comma 253 2 3 2" xfId="17116" xr:uid="{81BDF68B-0389-4DA1-BC1F-D9D42D54033A}"/>
    <cellStyle name="Comma 253 2 4" xfId="11941" xr:uid="{DD18A81F-A374-4E47-B0D0-BEC29FE21EF0}"/>
    <cellStyle name="Comma 253 3" xfId="2559" xr:uid="{D5A48F88-1F37-4D21-B3B4-9A19EECFAACA}"/>
    <cellStyle name="Comma 253 3 2" xfId="7792" xr:uid="{1D4B3416-5433-4DD3-A1A0-8ABE135A724D}"/>
    <cellStyle name="Comma 253 3 2 2" xfId="18144" xr:uid="{9E4463CB-71EC-48F3-9486-508EAD6753BA}"/>
    <cellStyle name="Comma 253 3 3" xfId="12969" xr:uid="{35C471B9-AB62-4004-95C0-F99B027903CC}"/>
    <cellStyle name="Comma 253 4" xfId="4685" xr:uid="{8D5A8EB6-BF47-4443-8C29-EAFBCDEC7679}"/>
    <cellStyle name="Comma 253 4 2" xfId="9861" xr:uid="{C8B9BD74-B3A3-43A3-AE1E-13FF6A89210F}"/>
    <cellStyle name="Comma 253 4 2 2" xfId="20213" xr:uid="{34F49255-2B80-4022-B31E-7F016FEEC391}"/>
    <cellStyle name="Comma 253 4 3" xfId="15037" xr:uid="{66E0DC6B-4D4D-483E-B7A5-F8BF75D282C8}"/>
    <cellStyle name="Comma 253 5" xfId="5733" xr:uid="{EFE0A642-66B7-469B-B0B6-3767F45ACC11}"/>
    <cellStyle name="Comma 253 5 2" xfId="16085" xr:uid="{AC93855A-87DD-443B-B237-0944D03C0FC9}"/>
    <cellStyle name="Comma 253 6" xfId="10911" xr:uid="{C7FAFF66-AB32-497E-B75F-4419D0CFE71F}"/>
    <cellStyle name="Comma 254" xfId="494" xr:uid="{2AF908C9-7AF7-400B-9A90-6FBCE050CBCE}"/>
    <cellStyle name="Comma 254 2" xfId="1532" xr:uid="{92177B47-8571-4A65-95C7-39558DE1A376}"/>
    <cellStyle name="Comma 254 2 2" xfId="3590" xr:uid="{EF138D66-EA2E-494E-8AD5-0D35171742AD}"/>
    <cellStyle name="Comma 254 2 2 2" xfId="8823" xr:uid="{4C8E60F1-4F61-4A98-A190-755FA8C93979}"/>
    <cellStyle name="Comma 254 2 2 2 2" xfId="19175" xr:uid="{50044B92-03E4-40CC-9A91-275A2EC5FFFB}"/>
    <cellStyle name="Comma 254 2 2 3" xfId="14000" xr:uid="{F9CDE49C-5163-489E-8ED5-BB06A05A1915}"/>
    <cellStyle name="Comma 254 2 3" xfId="6765" xr:uid="{97DABB06-6C18-4886-9535-4557C6837582}"/>
    <cellStyle name="Comma 254 2 3 2" xfId="17117" xr:uid="{CA248DD8-EC7F-4312-9C1D-AE98BF57841B}"/>
    <cellStyle name="Comma 254 2 4" xfId="11942" xr:uid="{1E9FF7B5-B12D-4FA0-B58B-563427F24BCF}"/>
    <cellStyle name="Comma 254 3" xfId="2560" xr:uid="{DDA26BBF-81CC-4D60-95B6-B19E6498BC4A}"/>
    <cellStyle name="Comma 254 3 2" xfId="7793" xr:uid="{8CCEE001-32FA-41A7-BEAC-B6EB347CEC16}"/>
    <cellStyle name="Comma 254 3 2 2" xfId="18145" xr:uid="{B1B6BEC5-BF44-49A4-943B-E922516CFBAC}"/>
    <cellStyle name="Comma 254 3 3" xfId="12970" xr:uid="{EBE09B4B-5A8B-42F3-9BBB-FECE9D5CED2E}"/>
    <cellStyle name="Comma 254 4" xfId="4686" xr:uid="{5D4EF5A9-74BE-49E6-99D3-4E13AAF4C2AF}"/>
    <cellStyle name="Comma 254 4 2" xfId="9862" xr:uid="{4F8AB62E-48DC-4A9A-BA64-241743279102}"/>
    <cellStyle name="Comma 254 4 2 2" xfId="20214" xr:uid="{75A50AFB-787B-4380-80A6-08463046FB1D}"/>
    <cellStyle name="Comma 254 4 3" xfId="15038" xr:uid="{7446FFB4-BC0D-41A2-B474-07096F49352D}"/>
    <cellStyle name="Comma 254 5" xfId="5734" xr:uid="{2AE9157A-70E0-435A-A8F2-5FEF15D5444A}"/>
    <cellStyle name="Comma 254 5 2" xfId="16086" xr:uid="{22BBC22C-1EB2-4D82-B75A-6B93AE626D52}"/>
    <cellStyle name="Comma 254 6" xfId="10912" xr:uid="{8943CD49-7298-4C5E-9E21-00BD52D95E1E}"/>
    <cellStyle name="Comma 255" xfId="495" xr:uid="{30BC0B54-EBB1-4075-83E2-20934EC8ED74}"/>
    <cellStyle name="Comma 255 2" xfId="1533" xr:uid="{B4905414-BC36-40AB-893B-0118679D557C}"/>
    <cellStyle name="Comma 255 2 2" xfId="3591" xr:uid="{0146B3E2-0D3E-485B-BD02-D39A732E5042}"/>
    <cellStyle name="Comma 255 2 2 2" xfId="8824" xr:uid="{03482498-46E1-4A9F-8D6E-786B7A2EBEE8}"/>
    <cellStyle name="Comma 255 2 2 2 2" xfId="19176" xr:uid="{4F817721-2B43-4137-9F76-FBC1FA1D1622}"/>
    <cellStyle name="Comma 255 2 2 3" xfId="14001" xr:uid="{95AB6261-25BF-460C-9992-B41C14B94729}"/>
    <cellStyle name="Comma 255 2 3" xfId="6766" xr:uid="{A832D201-0758-4646-95A5-B023190B9AC2}"/>
    <cellStyle name="Comma 255 2 3 2" xfId="17118" xr:uid="{A1858465-AFCE-4BCB-988E-1C83108090A5}"/>
    <cellStyle name="Comma 255 2 4" xfId="11943" xr:uid="{CAF48737-9B9E-4C71-B468-22676832B7BF}"/>
    <cellStyle name="Comma 255 3" xfId="2561" xr:uid="{87EB8CEE-F3F1-46F7-9BE4-6D2D67222C9D}"/>
    <cellStyle name="Comma 255 3 2" xfId="7794" xr:uid="{46A65CFC-3479-432E-9118-3E5276D4A770}"/>
    <cellStyle name="Comma 255 3 2 2" xfId="18146" xr:uid="{EBD5BE2B-D9E9-40DB-AE52-BF7DD34A3AF8}"/>
    <cellStyle name="Comma 255 3 3" xfId="12971" xr:uid="{456C365E-981E-40CB-A350-07A60A00E471}"/>
    <cellStyle name="Comma 255 4" xfId="4687" xr:uid="{03C824AA-1CAA-440D-88DC-4C11BC58B655}"/>
    <cellStyle name="Comma 255 4 2" xfId="9863" xr:uid="{6F835623-5DBE-4D10-8EAD-1957A7AB06FF}"/>
    <cellStyle name="Comma 255 4 2 2" xfId="20215" xr:uid="{31301B30-4DDA-42E4-BF92-A4545E9D26ED}"/>
    <cellStyle name="Comma 255 4 3" xfId="15039" xr:uid="{D56508AE-45B1-41CA-A38F-8B75D2E465B0}"/>
    <cellStyle name="Comma 255 5" xfId="5735" xr:uid="{4114C41D-96F3-466A-9F0A-85F9AE5D0990}"/>
    <cellStyle name="Comma 255 5 2" xfId="16087" xr:uid="{3710D252-98DB-4593-B1B3-B0DFBB7007F0}"/>
    <cellStyle name="Comma 255 6" xfId="10913" xr:uid="{4596B9CF-1E90-4A4A-A4AF-965B74E499A5}"/>
    <cellStyle name="Comma 256" xfId="496" xr:uid="{5EC6D0B3-80D9-4DA2-9451-50243DE764BE}"/>
    <cellStyle name="Comma 256 2" xfId="1534" xr:uid="{B979F062-34CD-4410-8028-B390D1F5F192}"/>
    <cellStyle name="Comma 256 2 2" xfId="3592" xr:uid="{CBE5BC40-E01F-407E-A4A4-B4F5C3E067D4}"/>
    <cellStyle name="Comma 256 2 2 2" xfId="8825" xr:uid="{AE9F70E5-D9D2-4649-B787-F6FD6D01462E}"/>
    <cellStyle name="Comma 256 2 2 2 2" xfId="19177" xr:uid="{D91037FC-71FD-4124-9668-5382BDE260B3}"/>
    <cellStyle name="Comma 256 2 2 3" xfId="14002" xr:uid="{36F6A9D2-51AF-4B7C-8300-69039767CBBD}"/>
    <cellStyle name="Comma 256 2 3" xfId="6767" xr:uid="{D8721584-EE4F-48B1-ABEF-71AB72D2252C}"/>
    <cellStyle name="Comma 256 2 3 2" xfId="17119" xr:uid="{76253178-5B6A-47B5-B713-36329BDE409F}"/>
    <cellStyle name="Comma 256 2 4" xfId="11944" xr:uid="{325DD660-9D5F-48C0-9F17-BAE820B633DF}"/>
    <cellStyle name="Comma 256 3" xfId="2562" xr:uid="{929F2C73-2EEE-45CC-B7ED-E384C1D95F30}"/>
    <cellStyle name="Comma 256 3 2" xfId="7795" xr:uid="{5416F0FD-A91F-4E78-A079-E6FA127DC3A6}"/>
    <cellStyle name="Comma 256 3 2 2" xfId="18147" xr:uid="{B10561BE-846F-445E-9A4E-410655993A9A}"/>
    <cellStyle name="Comma 256 3 3" xfId="12972" xr:uid="{28AF7DAB-B48B-4585-8CBF-2F57AEA554CA}"/>
    <cellStyle name="Comma 256 4" xfId="4688" xr:uid="{637D6C76-7626-4BF3-8885-BB52B3B7F5EA}"/>
    <cellStyle name="Comma 256 4 2" xfId="9864" xr:uid="{64C3DEC0-E1CC-4B62-B63F-64AD1348A3CF}"/>
    <cellStyle name="Comma 256 4 2 2" xfId="20216" xr:uid="{56486E4D-57A5-42D9-B422-B39CC78B73EA}"/>
    <cellStyle name="Comma 256 4 3" xfId="15040" xr:uid="{7001535F-DF38-4F61-ADBC-479843A3D568}"/>
    <cellStyle name="Comma 256 5" xfId="5736" xr:uid="{2F8B7A65-1361-4DDD-8CF4-98AA9A2DC786}"/>
    <cellStyle name="Comma 256 5 2" xfId="16088" xr:uid="{D2D061BF-A7FA-4E28-B166-7AF6A525BBCC}"/>
    <cellStyle name="Comma 256 6" xfId="10914" xr:uid="{F3DEEC80-F5A6-46E6-BD5E-8BBF30B5F093}"/>
    <cellStyle name="Comma 257" xfId="497" xr:uid="{14B74DC6-B7B3-4746-8381-0B3FA2E2A37E}"/>
    <cellStyle name="Comma 257 2" xfId="1535" xr:uid="{CAA2A404-1093-497C-A881-8D5EA337EBDA}"/>
    <cellStyle name="Comma 257 2 2" xfId="3593" xr:uid="{B8D5A104-3C23-4450-AA6C-F2423F0F9CD7}"/>
    <cellStyle name="Comma 257 2 2 2" xfId="8826" xr:uid="{989DD99F-2482-4B41-945B-D2B14FD8282B}"/>
    <cellStyle name="Comma 257 2 2 2 2" xfId="19178" xr:uid="{9BB5D269-3E67-46BB-8D3B-F43C949B78A4}"/>
    <cellStyle name="Comma 257 2 2 3" xfId="14003" xr:uid="{33270865-4C67-4E5B-A5F7-C066B8328262}"/>
    <cellStyle name="Comma 257 2 3" xfId="6768" xr:uid="{073A64BD-D008-4AD8-AFBD-73EAFA2503B4}"/>
    <cellStyle name="Comma 257 2 3 2" xfId="17120" xr:uid="{0C5FE86A-6A3C-4C11-A040-7F8A8DD41F10}"/>
    <cellStyle name="Comma 257 2 4" xfId="11945" xr:uid="{04BB04AF-E04A-4AEA-8475-1881E93953B5}"/>
    <cellStyle name="Comma 257 3" xfId="2563" xr:uid="{20009CAA-1AB3-4663-9A1B-F2EAE7E77610}"/>
    <cellStyle name="Comma 257 3 2" xfId="7796" xr:uid="{73BD2EE4-6858-4F29-8FCE-5B53557A8126}"/>
    <cellStyle name="Comma 257 3 2 2" xfId="18148" xr:uid="{DFEF03F9-4362-48B5-8057-BEEDFDC4EE38}"/>
    <cellStyle name="Comma 257 3 3" xfId="12973" xr:uid="{5DBF61A9-CB14-46BF-BA9D-F756BBF121C0}"/>
    <cellStyle name="Comma 257 4" xfId="4689" xr:uid="{D04E38F7-0AF0-47D6-9F0F-D5D5941C486E}"/>
    <cellStyle name="Comma 257 4 2" xfId="9865" xr:uid="{E3BCBF04-53B6-435F-8E4B-C70302648ED7}"/>
    <cellStyle name="Comma 257 4 2 2" xfId="20217" xr:uid="{952F1342-CA85-44C9-926B-990B6E63CCD8}"/>
    <cellStyle name="Comma 257 4 3" xfId="15041" xr:uid="{C533BFD2-3CA5-43AB-97F8-824DE4005408}"/>
    <cellStyle name="Comma 257 5" xfId="5737" xr:uid="{3BDE4D53-6B9D-4A93-9A4D-3418796C7AC4}"/>
    <cellStyle name="Comma 257 5 2" xfId="16089" xr:uid="{289FE910-9F10-43EC-9EFD-4116366C8270}"/>
    <cellStyle name="Comma 257 6" xfId="10915" xr:uid="{A7ACB571-9360-4194-85CD-EAA45E280617}"/>
    <cellStyle name="Comma 258" xfId="498" xr:uid="{EB8D4EB5-6ED8-4DE9-9C52-631FCEE2A88D}"/>
    <cellStyle name="Comma 258 2" xfId="1536" xr:uid="{3BE1D31C-F209-4CC1-86AD-6A358B86FC79}"/>
    <cellStyle name="Comma 258 2 2" xfId="3594" xr:uid="{81FCE40B-4D43-474D-8A0B-165C981314EA}"/>
    <cellStyle name="Comma 258 2 2 2" xfId="8827" xr:uid="{E24CCDB0-D0A4-4B3D-8CE3-F0684C815165}"/>
    <cellStyle name="Comma 258 2 2 2 2" xfId="19179" xr:uid="{AB46C006-C83C-4FB7-89CE-FFF0F3587FB1}"/>
    <cellStyle name="Comma 258 2 2 3" xfId="14004" xr:uid="{C950EDC6-11A3-477B-81C5-64F55125A400}"/>
    <cellStyle name="Comma 258 2 3" xfId="6769" xr:uid="{0B5E1D99-1E77-491B-9E0E-303E1BB72BF4}"/>
    <cellStyle name="Comma 258 2 3 2" xfId="17121" xr:uid="{2F94D562-43FC-4770-950C-D86C78A33826}"/>
    <cellStyle name="Comma 258 2 4" xfId="11946" xr:uid="{9A57C0DA-0A21-4845-B51A-604E98A1D26E}"/>
    <cellStyle name="Comma 258 3" xfId="2564" xr:uid="{0746C1F8-78B4-447C-A5BA-BD5DC6BFFBE4}"/>
    <cellStyle name="Comma 258 3 2" xfId="7797" xr:uid="{15157D33-5A68-4CDC-ACF8-1C7CE4E4425C}"/>
    <cellStyle name="Comma 258 3 2 2" xfId="18149" xr:uid="{EC4EFC36-F0BA-47BB-9CBC-87BE3E89C13A}"/>
    <cellStyle name="Comma 258 3 3" xfId="12974" xr:uid="{435B4D3D-D47E-49AC-8626-46AB32F9AB34}"/>
    <cellStyle name="Comma 258 4" xfId="4690" xr:uid="{928123DE-451D-46C9-9C6D-EFF92877CF02}"/>
    <cellStyle name="Comma 258 4 2" xfId="9866" xr:uid="{C902DC2E-8A26-4FF0-9086-897ACA82A2BD}"/>
    <cellStyle name="Comma 258 4 2 2" xfId="20218" xr:uid="{61D2CC35-6D56-4030-A26E-BF094A5FA165}"/>
    <cellStyle name="Comma 258 4 3" xfId="15042" xr:uid="{B55490E7-48F3-4F4F-9818-E78548BDC449}"/>
    <cellStyle name="Comma 258 5" xfId="5738" xr:uid="{5BF46259-6C6B-436C-9572-0D871C0D5ADF}"/>
    <cellStyle name="Comma 258 5 2" xfId="16090" xr:uid="{8B5941EB-1A70-4243-98F0-8F786F63D509}"/>
    <cellStyle name="Comma 258 6" xfId="10916" xr:uid="{06CFFCE9-45BF-4A8A-86D3-4B012DF21A25}"/>
    <cellStyle name="Comma 259" xfId="499" xr:uid="{E5FC105C-BFF5-40C6-8439-808E230499DC}"/>
    <cellStyle name="Comma 259 2" xfId="1537" xr:uid="{43ECD7F7-8E14-4D09-B29A-C995B8F8618B}"/>
    <cellStyle name="Comma 259 2 2" xfId="3595" xr:uid="{906FC790-5D69-4068-B38B-10AF397FDA85}"/>
    <cellStyle name="Comma 259 2 2 2" xfId="8828" xr:uid="{0B482968-5BF2-416D-9283-6F417056D0F3}"/>
    <cellStyle name="Comma 259 2 2 2 2" xfId="19180" xr:uid="{DECF168B-9453-4193-88AB-422B0DE2A937}"/>
    <cellStyle name="Comma 259 2 2 3" xfId="14005" xr:uid="{4DCBF8AB-3EC1-4C97-95B9-21DC216A5A0B}"/>
    <cellStyle name="Comma 259 2 3" xfId="6770" xr:uid="{283D5DB2-C9C6-41A0-AB6D-4D23E9347297}"/>
    <cellStyle name="Comma 259 2 3 2" xfId="17122" xr:uid="{02BBEFE9-AA11-483A-9073-12E3DB472621}"/>
    <cellStyle name="Comma 259 2 4" xfId="11947" xr:uid="{2EB5B8BB-BA9A-4CA0-ABD5-3D3A834818D5}"/>
    <cellStyle name="Comma 259 3" xfId="2565" xr:uid="{A1D088C0-73C0-4015-A0D7-73E37219D88E}"/>
    <cellStyle name="Comma 259 3 2" xfId="7798" xr:uid="{263BD25A-79FF-4AA5-997E-24FDF839B313}"/>
    <cellStyle name="Comma 259 3 2 2" xfId="18150" xr:uid="{5B640B4B-FE13-467D-8316-DB94152036B3}"/>
    <cellStyle name="Comma 259 3 3" xfId="12975" xr:uid="{A8069905-077B-4C32-9039-F75D08673D87}"/>
    <cellStyle name="Comma 259 4" xfId="4691" xr:uid="{F7CC4263-28DA-418E-A4FC-D1642BC05D78}"/>
    <cellStyle name="Comma 259 4 2" xfId="9867" xr:uid="{FE88A818-36AA-41E2-B656-8EDB52D8DEAC}"/>
    <cellStyle name="Comma 259 4 2 2" xfId="20219" xr:uid="{7651C1CC-960B-4F0D-9814-B7CCDB010C0F}"/>
    <cellStyle name="Comma 259 4 3" xfId="15043" xr:uid="{6FF10E8F-D3F9-478A-888F-F33CB826162E}"/>
    <cellStyle name="Comma 259 5" xfId="5739" xr:uid="{4591A27E-B77A-4640-8552-9F750886331F}"/>
    <cellStyle name="Comma 259 5 2" xfId="16091" xr:uid="{04FCEDD0-BBAF-420F-8DF8-5310DF9C6C9B}"/>
    <cellStyle name="Comma 259 6" xfId="10917" xr:uid="{81AC486A-6C01-4FF9-A4D9-423279EAC36B}"/>
    <cellStyle name="Comma 26" xfId="217" xr:uid="{7C99FC7F-7EB1-4330-9BF6-FCD4591AAD0E}"/>
    <cellStyle name="Comma 26 2" xfId="1303" xr:uid="{9C97688D-42A2-4198-BB3A-CCB6408FDAE8}"/>
    <cellStyle name="Comma 26 2 2" xfId="3361" xr:uid="{B80CC0A1-703B-44B9-B26E-57E2F1EEE429}"/>
    <cellStyle name="Comma 26 2 2 2" xfId="8594" xr:uid="{A33B6727-DCA7-4151-B21F-A272E21292A8}"/>
    <cellStyle name="Comma 26 2 2 2 2" xfId="18946" xr:uid="{6907759E-3BC2-4704-A028-35A56B406A53}"/>
    <cellStyle name="Comma 26 2 2 3" xfId="13771" xr:uid="{64679C52-975D-4DD8-B504-8775E2985338}"/>
    <cellStyle name="Comma 26 2 3" xfId="6536" xr:uid="{92684220-0967-45CB-90EA-AB68BF8B8519}"/>
    <cellStyle name="Comma 26 2 3 2" xfId="16888" xr:uid="{81C30611-64E0-40A7-AC7D-AE69042F5264}"/>
    <cellStyle name="Comma 26 2 4" xfId="11713" xr:uid="{1DEEC3E8-BA5B-41A7-BD64-1A2B1DFAAD46}"/>
    <cellStyle name="Comma 26 3" xfId="2331" xr:uid="{C1FDDEBA-EF95-47FA-AFF3-1791304D0FD9}"/>
    <cellStyle name="Comma 26 3 2" xfId="7564" xr:uid="{8EB1E4A0-43E6-4FDC-BB08-A1CBD8AA5B64}"/>
    <cellStyle name="Comma 26 3 2 2" xfId="17916" xr:uid="{EC587D56-0787-4CA5-B93D-51A701CB5E66}"/>
    <cellStyle name="Comma 26 3 3" xfId="12741" xr:uid="{9104AAEA-5BA4-4DD8-9D38-48C96ABBC1DB}"/>
    <cellStyle name="Comma 26 4" xfId="4457" xr:uid="{930A53BE-8AC2-45C5-85BB-CA3734505835}"/>
    <cellStyle name="Comma 26 4 2" xfId="9633" xr:uid="{1681F191-0908-42AE-A165-3C0238C9C9C6}"/>
    <cellStyle name="Comma 26 4 2 2" xfId="19985" xr:uid="{4DACA28D-F5EF-448D-A8A4-2EAE9BF2AAB7}"/>
    <cellStyle name="Comma 26 4 3" xfId="14809" xr:uid="{69884965-9E0F-4DCC-B75C-AE5D30B6C1E6}"/>
    <cellStyle name="Comma 26 5" xfId="5505" xr:uid="{D4F0A21D-0134-497A-ADCF-9CC20B6AAD55}"/>
    <cellStyle name="Comma 26 5 2" xfId="15857" xr:uid="{714E47EB-430C-419F-AFC7-B4129DBA1DEF}"/>
    <cellStyle name="Comma 26 6" xfId="10683" xr:uid="{6DC88401-CFC8-48C0-A338-CBB5D66AE078}"/>
    <cellStyle name="Comma 260" xfId="500" xr:uid="{F3A908AF-9715-44FC-8E1C-C84644282866}"/>
    <cellStyle name="Comma 260 2" xfId="1538" xr:uid="{50318284-20D2-43DF-98BE-16AC729B4739}"/>
    <cellStyle name="Comma 260 2 2" xfId="3596" xr:uid="{F5590AFB-7EF5-47E2-AA19-4CF807B52D36}"/>
    <cellStyle name="Comma 260 2 2 2" xfId="8829" xr:uid="{AD3ACC31-506D-4AFB-AE5C-2DE62EA2BEB8}"/>
    <cellStyle name="Comma 260 2 2 2 2" xfId="19181" xr:uid="{2EEA4829-886B-4B53-9532-6ECE06EE4715}"/>
    <cellStyle name="Comma 260 2 2 3" xfId="14006" xr:uid="{5B70482F-709F-4E2E-9FA1-BB6EAA663313}"/>
    <cellStyle name="Comma 260 2 3" xfId="6771" xr:uid="{542362A4-C580-4C72-8852-527ED70078FF}"/>
    <cellStyle name="Comma 260 2 3 2" xfId="17123" xr:uid="{7C9377CA-0D7D-4DD6-82B2-1975A5267C29}"/>
    <cellStyle name="Comma 260 2 4" xfId="11948" xr:uid="{52B610C2-05AA-4905-8B10-5621264D15C9}"/>
    <cellStyle name="Comma 260 3" xfId="2566" xr:uid="{9A3D8EED-9263-473D-8097-BCE3C846E260}"/>
    <cellStyle name="Comma 260 3 2" xfId="7799" xr:uid="{D23DB90A-3C68-4857-8450-129CCC9A9342}"/>
    <cellStyle name="Comma 260 3 2 2" xfId="18151" xr:uid="{2F2538E5-CA2E-4796-B5B5-24B384FF8CD3}"/>
    <cellStyle name="Comma 260 3 3" xfId="12976" xr:uid="{9F5C2BCB-1B74-465A-BB98-6B1885C95940}"/>
    <cellStyle name="Comma 260 4" xfId="4692" xr:uid="{EC164868-D013-441C-92B9-64B896EBB615}"/>
    <cellStyle name="Comma 260 4 2" xfId="9868" xr:uid="{BA88830B-4DFA-423B-8864-1890EE7B8573}"/>
    <cellStyle name="Comma 260 4 2 2" xfId="20220" xr:uid="{A2406370-D4F3-4235-8F45-E2A0DF7283CB}"/>
    <cellStyle name="Comma 260 4 3" xfId="15044" xr:uid="{C35DE274-329E-4C05-A999-A56B7106D065}"/>
    <cellStyle name="Comma 260 5" xfId="5740" xr:uid="{C4F46F4D-94DF-4498-95AE-C5C125B88875}"/>
    <cellStyle name="Comma 260 5 2" xfId="16092" xr:uid="{81B3D926-A733-4E05-86A4-E752606FF352}"/>
    <cellStyle name="Comma 260 6" xfId="10918" xr:uid="{663E1700-E600-43C2-88B9-9D31302BCD9F}"/>
    <cellStyle name="Comma 261" xfId="501" xr:uid="{87B99693-1C37-40FF-8C0E-2279C6FE8636}"/>
    <cellStyle name="Comma 261 2" xfId="1539" xr:uid="{FD86DAC8-5D00-4AB1-83DD-5E4CE77D4D62}"/>
    <cellStyle name="Comma 261 2 2" xfId="3597" xr:uid="{23391CEA-93AE-4960-AD60-50C2CF06BD31}"/>
    <cellStyle name="Comma 261 2 2 2" xfId="8830" xr:uid="{5EBC7762-14F8-43D7-9209-1C81D1C4C76E}"/>
    <cellStyle name="Comma 261 2 2 2 2" xfId="19182" xr:uid="{F879665E-2FC2-437E-A670-509CCFBDCC38}"/>
    <cellStyle name="Comma 261 2 2 3" xfId="14007" xr:uid="{6AB362ED-D4CF-441C-A76C-C3A05EBFC3D5}"/>
    <cellStyle name="Comma 261 2 3" xfId="6772" xr:uid="{0B2CCC08-9FA0-4906-9EB6-FAFFE92FAA9E}"/>
    <cellStyle name="Comma 261 2 3 2" xfId="17124" xr:uid="{256120C3-64F2-45E7-B971-A6B1399C31BA}"/>
    <cellStyle name="Comma 261 2 4" xfId="11949" xr:uid="{BFC3D407-4274-4A55-8546-A36A43DFC701}"/>
    <cellStyle name="Comma 261 3" xfId="2567" xr:uid="{17758A6F-85E2-4FD6-BE8E-B21F1FB49BC7}"/>
    <cellStyle name="Comma 261 3 2" xfId="7800" xr:uid="{85373A07-52B4-47DB-A196-05EB86C28CE6}"/>
    <cellStyle name="Comma 261 3 2 2" xfId="18152" xr:uid="{7651E565-0179-4A66-AC02-760C1BA32A39}"/>
    <cellStyle name="Comma 261 3 3" xfId="12977" xr:uid="{1F3504DA-F28F-46C0-9260-5E12AC5DAE6D}"/>
    <cellStyle name="Comma 261 4" xfId="4693" xr:uid="{C267292B-E15B-462D-ABF7-05C22569A2EA}"/>
    <cellStyle name="Comma 261 4 2" xfId="9869" xr:uid="{C0BD3B0E-434A-44E2-A7A3-4B82846AEA27}"/>
    <cellStyle name="Comma 261 4 2 2" xfId="20221" xr:uid="{0626F71C-9125-4B27-BF20-5867134EF5F5}"/>
    <cellStyle name="Comma 261 4 3" xfId="15045" xr:uid="{F35C9C9C-1370-4E07-B94C-6D9087CD3E5F}"/>
    <cellStyle name="Comma 261 5" xfId="5741" xr:uid="{3492E288-38D0-4C8B-BE7E-13C3C0C20724}"/>
    <cellStyle name="Comma 261 5 2" xfId="16093" xr:uid="{DD994BA6-7BD0-48D0-A0DD-40D0CAF68AF0}"/>
    <cellStyle name="Comma 261 6" xfId="10919" xr:uid="{5F9FD783-92FA-4DF4-B3A9-9C32C24A8991}"/>
    <cellStyle name="Comma 262" xfId="502" xr:uid="{56BFB532-A39A-4733-8832-AAED3724346B}"/>
    <cellStyle name="Comma 262 2" xfId="1540" xr:uid="{5BE74C8D-D754-498C-B820-EF36FD512FE5}"/>
    <cellStyle name="Comma 262 2 2" xfId="3598" xr:uid="{D99DAA6D-B16E-4BF1-A827-1BC237CED875}"/>
    <cellStyle name="Comma 262 2 2 2" xfId="8831" xr:uid="{76353960-8A82-4C59-A1E1-4CB9915B7994}"/>
    <cellStyle name="Comma 262 2 2 2 2" xfId="19183" xr:uid="{28CC596C-7106-42FA-AC9F-33B0B80A2D55}"/>
    <cellStyle name="Comma 262 2 2 3" xfId="14008" xr:uid="{76E020E8-DFAA-4621-B53E-7E9F644F9C23}"/>
    <cellStyle name="Comma 262 2 3" xfId="6773" xr:uid="{E5042010-4D81-4D13-B4FD-1E4D6FA68084}"/>
    <cellStyle name="Comma 262 2 3 2" xfId="17125" xr:uid="{C78179E2-6580-4223-9118-16513EE8D5EC}"/>
    <cellStyle name="Comma 262 2 4" xfId="11950" xr:uid="{DB513AAD-6FD9-4836-8E98-2DF83A4C8458}"/>
    <cellStyle name="Comma 262 3" xfId="2568" xr:uid="{22F12099-FC15-4BAA-AC5D-5C78C907675A}"/>
    <cellStyle name="Comma 262 3 2" xfId="7801" xr:uid="{76931AAE-0E5B-40C4-8A48-EF8826839B51}"/>
    <cellStyle name="Comma 262 3 2 2" xfId="18153" xr:uid="{282CC10C-0DE2-4D07-9F0C-765F134478E3}"/>
    <cellStyle name="Comma 262 3 3" xfId="12978" xr:uid="{5A5F97B6-2583-4CF2-A956-6309FDCA2859}"/>
    <cellStyle name="Comma 262 4" xfId="4694" xr:uid="{3E4564DE-C23B-48DF-86FD-D2E38BEB961E}"/>
    <cellStyle name="Comma 262 4 2" xfId="9870" xr:uid="{C9FC8EF3-FE3E-4B64-9EA7-A9B68832A825}"/>
    <cellStyle name="Comma 262 4 2 2" xfId="20222" xr:uid="{9513BAAE-9A56-4AE9-AA94-F01A4CF7C5F1}"/>
    <cellStyle name="Comma 262 4 3" xfId="15046" xr:uid="{373EEB43-5D33-4A22-9DA4-CF953FE85F45}"/>
    <cellStyle name="Comma 262 5" xfId="5742" xr:uid="{E27B3354-FF24-4D95-B130-41E22B1A59C1}"/>
    <cellStyle name="Comma 262 5 2" xfId="16094" xr:uid="{49D0DB61-4FD7-4306-B1E1-D71D3294DBB9}"/>
    <cellStyle name="Comma 262 6" xfId="10920" xr:uid="{29E35FFC-B5D1-4E9B-AA72-67E22E43B33B}"/>
    <cellStyle name="Comma 263" xfId="503" xr:uid="{64C9F8AE-4EB4-471E-B8E0-287FACE58DCB}"/>
    <cellStyle name="Comma 263 2" xfId="1541" xr:uid="{E83B1510-F53A-4E1C-A775-AB1D5588356C}"/>
    <cellStyle name="Comma 263 2 2" xfId="3599" xr:uid="{F2C3F827-8F73-455B-AA36-CF789437CDBC}"/>
    <cellStyle name="Comma 263 2 2 2" xfId="8832" xr:uid="{6080D0FA-3082-422A-99A2-1D115A6BE559}"/>
    <cellStyle name="Comma 263 2 2 2 2" xfId="19184" xr:uid="{3A10AC20-3E43-4259-B6F5-02CA05F066FF}"/>
    <cellStyle name="Comma 263 2 2 3" xfId="14009" xr:uid="{C68965F7-D0D1-4B4E-9D8F-74B0D5F85BE7}"/>
    <cellStyle name="Comma 263 2 3" xfId="6774" xr:uid="{B08713B7-6D23-4849-B16E-283D91B1FA12}"/>
    <cellStyle name="Comma 263 2 3 2" xfId="17126" xr:uid="{F72EB4F0-7604-4131-AC30-836D8113CA32}"/>
    <cellStyle name="Comma 263 2 4" xfId="11951" xr:uid="{331C7EBC-CE74-4FD1-89F7-A4EF555FF84D}"/>
    <cellStyle name="Comma 263 3" xfId="2569" xr:uid="{0EBA7F16-8D60-4FC9-A2DE-F913938FFB41}"/>
    <cellStyle name="Comma 263 3 2" xfId="7802" xr:uid="{5386747F-C45B-4EB8-8185-5C1A8624599F}"/>
    <cellStyle name="Comma 263 3 2 2" xfId="18154" xr:uid="{B148037C-B5C7-4C75-B151-03B155EAD1BB}"/>
    <cellStyle name="Comma 263 3 3" xfId="12979" xr:uid="{88380F7B-AD86-4825-9A72-0CB5EFDEEE0A}"/>
    <cellStyle name="Comma 263 4" xfId="4695" xr:uid="{704F26E1-4CF0-41BD-87B9-BBD4D6E5C137}"/>
    <cellStyle name="Comma 263 4 2" xfId="9871" xr:uid="{D1F8E96B-79A0-427F-A79A-F513DD1685DE}"/>
    <cellStyle name="Comma 263 4 2 2" xfId="20223" xr:uid="{C6E82B23-B2CE-407C-AD8A-1745C06F3632}"/>
    <cellStyle name="Comma 263 4 3" xfId="15047" xr:uid="{0CB4A0C9-81F8-4743-8BBE-DCF6AC7C7C69}"/>
    <cellStyle name="Comma 263 5" xfId="5743" xr:uid="{A540999E-B706-4D78-9060-E652604D8D58}"/>
    <cellStyle name="Comma 263 5 2" xfId="16095" xr:uid="{3C1996E4-7485-47BA-A092-51D95EFFF783}"/>
    <cellStyle name="Comma 263 6" xfId="10921" xr:uid="{F6788D13-8A58-4134-BFF8-2A64BEE12665}"/>
    <cellStyle name="Comma 264" xfId="504" xr:uid="{DC61318F-2684-48A8-BBBC-179344BF851D}"/>
    <cellStyle name="Comma 264 2" xfId="1542" xr:uid="{8079F54E-A1B2-4083-A6CD-603F3167D4B2}"/>
    <cellStyle name="Comma 264 2 2" xfId="3600" xr:uid="{8212A64F-36E3-4A9B-830A-F5B75C3070ED}"/>
    <cellStyle name="Comma 264 2 2 2" xfId="8833" xr:uid="{0116011F-2B34-42CE-81B6-2BC3B0379698}"/>
    <cellStyle name="Comma 264 2 2 2 2" xfId="19185" xr:uid="{223F74A8-AC31-4BF8-8D97-73F2F24AC42D}"/>
    <cellStyle name="Comma 264 2 2 3" xfId="14010" xr:uid="{92F7D5A2-6C7C-4ED4-ABDD-AB1DECCF220C}"/>
    <cellStyle name="Comma 264 2 3" xfId="6775" xr:uid="{A7777E64-B3F3-464C-9F50-890E8F307846}"/>
    <cellStyle name="Comma 264 2 3 2" xfId="17127" xr:uid="{8E8E8607-BBDC-461A-B981-29850F6FA819}"/>
    <cellStyle name="Comma 264 2 4" xfId="11952" xr:uid="{8385C645-10EE-4821-AEAB-01AF07EF9E6D}"/>
    <cellStyle name="Comma 264 3" xfId="2570" xr:uid="{90E56A71-D916-436A-83BB-1F7186DBEC5A}"/>
    <cellStyle name="Comma 264 3 2" xfId="7803" xr:uid="{E396FC49-1F22-410B-B9CA-80B832137800}"/>
    <cellStyle name="Comma 264 3 2 2" xfId="18155" xr:uid="{7647DE6D-2A30-4C55-A35E-5DCB751CADA8}"/>
    <cellStyle name="Comma 264 3 3" xfId="12980" xr:uid="{274BD327-70D4-4DB6-B751-C0A49DFC9269}"/>
    <cellStyle name="Comma 264 4" xfId="4696" xr:uid="{184D31C0-0A9D-4DE3-B3FA-7771C78B9951}"/>
    <cellStyle name="Comma 264 4 2" xfId="9872" xr:uid="{9BD40C0B-6430-4DD8-940B-C5419F82F93B}"/>
    <cellStyle name="Comma 264 4 2 2" xfId="20224" xr:uid="{E5874F24-F43E-44DF-87AA-EA155896EAF9}"/>
    <cellStyle name="Comma 264 4 3" xfId="15048" xr:uid="{7E00522B-ED3B-4EE7-8C71-70E91357E78A}"/>
    <cellStyle name="Comma 264 5" xfId="5744" xr:uid="{D8413E59-897C-4122-8E6D-73A776EDBE19}"/>
    <cellStyle name="Comma 264 5 2" xfId="16096" xr:uid="{5423601B-63D0-4FC4-91C2-35EEDF9EE49E}"/>
    <cellStyle name="Comma 264 6" xfId="10922" xr:uid="{DEC4733B-3137-4F1C-9948-717ABC937C74}"/>
    <cellStyle name="Comma 265" xfId="505" xr:uid="{123337B9-76F3-45C8-91FB-7A830B0997F2}"/>
    <cellStyle name="Comma 265 2" xfId="1543" xr:uid="{815046E4-6591-4AEE-A73A-EE2400FF8AEE}"/>
    <cellStyle name="Comma 265 2 2" xfId="3601" xr:uid="{4E2AE70F-8F65-4304-B7A0-BE2808154EE6}"/>
    <cellStyle name="Comma 265 2 2 2" xfId="8834" xr:uid="{C8FFB258-AE43-4AB1-B413-934C286DE3F6}"/>
    <cellStyle name="Comma 265 2 2 2 2" xfId="19186" xr:uid="{C27968CA-357B-4385-9328-35DD8480D08B}"/>
    <cellStyle name="Comma 265 2 2 3" xfId="14011" xr:uid="{36006CBC-AF72-419C-AB0A-ACBA58730D53}"/>
    <cellStyle name="Comma 265 2 3" xfId="6776" xr:uid="{0D29C5A2-3FB7-4389-A465-9BB5DD0A7EC4}"/>
    <cellStyle name="Comma 265 2 3 2" xfId="17128" xr:uid="{EEAE1320-752B-4F87-B1DA-9453CB5F0B35}"/>
    <cellStyle name="Comma 265 2 4" xfId="11953" xr:uid="{38D3BCEF-6028-4976-89D5-57D50E89F8AE}"/>
    <cellStyle name="Comma 265 3" xfId="2571" xr:uid="{DE2F1746-2B8D-4783-9316-46F45CF85CAF}"/>
    <cellStyle name="Comma 265 3 2" xfId="7804" xr:uid="{06244FAE-4850-4C60-8AFC-1BC70085EA50}"/>
    <cellStyle name="Comma 265 3 2 2" xfId="18156" xr:uid="{DB54BE90-8BBB-4651-A7FE-0362DDBB9944}"/>
    <cellStyle name="Comma 265 3 3" xfId="12981" xr:uid="{4E11DA9E-C253-4198-AE76-6AC9600B6671}"/>
    <cellStyle name="Comma 265 4" xfId="4697" xr:uid="{79DF77B9-594D-497C-98E3-EDA4B8CE1F4A}"/>
    <cellStyle name="Comma 265 4 2" xfId="9873" xr:uid="{2EE5CF9A-248D-4176-8A7D-DE449E93011C}"/>
    <cellStyle name="Comma 265 4 2 2" xfId="20225" xr:uid="{468F8C65-03B7-47DF-82AD-F6C5A8B09650}"/>
    <cellStyle name="Comma 265 4 3" xfId="15049" xr:uid="{2FB900AA-D7FB-4ACF-B617-563A6735D06D}"/>
    <cellStyle name="Comma 265 5" xfId="5745" xr:uid="{5017151E-DD6F-4F98-94D3-5D80C55CF59B}"/>
    <cellStyle name="Comma 265 5 2" xfId="16097" xr:uid="{BBFBB321-55F1-4D8C-96DB-D73B9874040C}"/>
    <cellStyle name="Comma 265 6" xfId="10923" xr:uid="{AFC36066-C77B-4E43-AA70-C5F150A1C3EB}"/>
    <cellStyle name="Comma 266" xfId="506" xr:uid="{E866178A-5F7D-4860-A3C5-1B931E2D692D}"/>
    <cellStyle name="Comma 266 2" xfId="1544" xr:uid="{89EFEA44-12BF-4B17-BFF1-3281D9409980}"/>
    <cellStyle name="Comma 266 2 2" xfId="3602" xr:uid="{969D4857-5584-432B-A908-D56EBCFF823B}"/>
    <cellStyle name="Comma 266 2 2 2" xfId="8835" xr:uid="{4B074EC5-412C-438A-95D3-DA6F3E60EB83}"/>
    <cellStyle name="Comma 266 2 2 2 2" xfId="19187" xr:uid="{93B8377E-CAE1-474E-A51B-CD0B4309D5E7}"/>
    <cellStyle name="Comma 266 2 2 3" xfId="14012" xr:uid="{9A091E90-8FDF-450B-B8F2-C7DCBFC0A6F2}"/>
    <cellStyle name="Comma 266 2 3" xfId="6777" xr:uid="{01336CE7-807C-4585-AE5A-C80F31954F4C}"/>
    <cellStyle name="Comma 266 2 3 2" xfId="17129" xr:uid="{9E0A104E-C552-49A4-B070-53CBE55B89B2}"/>
    <cellStyle name="Comma 266 2 4" xfId="11954" xr:uid="{9356B3EE-E765-44F2-A302-C7771DC4250D}"/>
    <cellStyle name="Comma 266 3" xfId="2572" xr:uid="{06F64AFD-7F0A-4390-B229-B4D29F08DA14}"/>
    <cellStyle name="Comma 266 3 2" xfId="7805" xr:uid="{1451AAB6-4BFA-41E4-B982-A463DE5581F7}"/>
    <cellStyle name="Comma 266 3 2 2" xfId="18157" xr:uid="{B7145C35-820D-48D2-B331-7B7610B8EFB9}"/>
    <cellStyle name="Comma 266 3 3" xfId="12982" xr:uid="{FA55C422-6D0E-4660-BE63-EF52055A177A}"/>
    <cellStyle name="Comma 266 4" xfId="4698" xr:uid="{D07EC1BA-6F58-4B24-91E4-271B20BF314F}"/>
    <cellStyle name="Comma 266 4 2" xfId="9874" xr:uid="{CD8EACF4-54B6-4A8A-A8A2-E4862B94383A}"/>
    <cellStyle name="Comma 266 4 2 2" xfId="20226" xr:uid="{1DA0E8A6-19EF-4E07-9A1F-87B1F7EC2569}"/>
    <cellStyle name="Comma 266 4 3" xfId="15050" xr:uid="{FF0E19C9-BC05-4389-A805-6802BD783CA6}"/>
    <cellStyle name="Comma 266 5" xfId="5746" xr:uid="{514E7C73-5374-436F-A5F8-2F6C88F692D3}"/>
    <cellStyle name="Comma 266 5 2" xfId="16098" xr:uid="{F0B652CF-201D-4EC3-AF5A-97D9E15EE526}"/>
    <cellStyle name="Comma 266 6" xfId="10924" xr:uid="{EB76B195-AF2F-4FEA-86DB-AF836451723A}"/>
    <cellStyle name="Comma 267" xfId="507" xr:uid="{F7E52176-9755-404F-B61C-20F5FF391562}"/>
    <cellStyle name="Comma 267 2" xfId="1545" xr:uid="{CAAE19C2-F193-43A3-948A-7F0CC24ED1A7}"/>
    <cellStyle name="Comma 267 2 2" xfId="3603" xr:uid="{931A0C4D-14A3-4CA4-B640-0DAA6DD4B331}"/>
    <cellStyle name="Comma 267 2 2 2" xfId="8836" xr:uid="{E67D50D2-9D39-4418-A2FB-D4BA9C7C7AC6}"/>
    <cellStyle name="Comma 267 2 2 2 2" xfId="19188" xr:uid="{602D8BE9-F10C-4515-81BB-A28675CBD299}"/>
    <cellStyle name="Comma 267 2 2 3" xfId="14013" xr:uid="{EC96759A-52F6-41E3-B119-BBF18CB45E08}"/>
    <cellStyle name="Comma 267 2 3" xfId="6778" xr:uid="{5771D7B1-06D0-4DE3-B2F0-A1162A1626E0}"/>
    <cellStyle name="Comma 267 2 3 2" xfId="17130" xr:uid="{5B80C6B0-DD58-4017-93F7-CBC13864FC2A}"/>
    <cellStyle name="Comma 267 2 4" xfId="11955" xr:uid="{D2E9DFFE-3D6B-4F87-950B-BC02AF38B6E8}"/>
    <cellStyle name="Comma 267 3" xfId="2573" xr:uid="{B4061AE4-E29F-410F-A6EF-1669A5269924}"/>
    <cellStyle name="Comma 267 3 2" xfId="7806" xr:uid="{E3E19247-A654-4702-81C1-0D40BE31D8A0}"/>
    <cellStyle name="Comma 267 3 2 2" xfId="18158" xr:uid="{71245C04-9576-499C-BCEA-0E67A69D0B73}"/>
    <cellStyle name="Comma 267 3 3" xfId="12983" xr:uid="{BA92FE49-810C-4E96-8084-37CD97B871D4}"/>
    <cellStyle name="Comma 267 4" xfId="4699" xr:uid="{C9AC7CC7-80EE-43BB-8F68-7A9963B7D019}"/>
    <cellStyle name="Comma 267 4 2" xfId="9875" xr:uid="{E4EF3DC1-E26A-45E6-B53E-C2EE57D38323}"/>
    <cellStyle name="Comma 267 4 2 2" xfId="20227" xr:uid="{18D2B287-BC32-46EE-AC52-D6BC999A8051}"/>
    <cellStyle name="Comma 267 4 3" xfId="15051" xr:uid="{DA707F71-9DB4-43FA-933F-C845DD33F4CA}"/>
    <cellStyle name="Comma 267 5" xfId="5747" xr:uid="{A6F2C8CF-C978-438A-AFC9-3102616859C9}"/>
    <cellStyle name="Comma 267 5 2" xfId="16099" xr:uid="{DD8481B5-7266-4E25-88A4-EE848E4A1B0C}"/>
    <cellStyle name="Comma 267 6" xfId="10925" xr:uid="{93F098E4-0E80-48BC-A87D-7DEF4DDC97D3}"/>
    <cellStyle name="Comma 268" xfId="508" xr:uid="{114C6196-B22D-4C23-9F83-E448E0C54635}"/>
    <cellStyle name="Comma 268 2" xfId="1546" xr:uid="{7E89381F-5826-4E11-B81B-B543D08DC31E}"/>
    <cellStyle name="Comma 268 2 2" xfId="3604" xr:uid="{A32ACA28-F836-4C7E-ADE0-5CF54FCB51F3}"/>
    <cellStyle name="Comma 268 2 2 2" xfId="8837" xr:uid="{617B3BFF-22BD-4CF0-B6C0-22CC1793CB6B}"/>
    <cellStyle name="Comma 268 2 2 2 2" xfId="19189" xr:uid="{CE8FDA82-DC89-47A4-8B27-1F52A5BFCDB9}"/>
    <cellStyle name="Comma 268 2 2 3" xfId="14014" xr:uid="{A6A42A37-FE33-4B47-8CC5-D41D7ACF5634}"/>
    <cellStyle name="Comma 268 2 3" xfId="6779" xr:uid="{C2F94D78-0DF5-4E29-B01A-6A8C371F5531}"/>
    <cellStyle name="Comma 268 2 3 2" xfId="17131" xr:uid="{F5521EB4-36E6-4D9D-AF5D-5309443ED8B8}"/>
    <cellStyle name="Comma 268 2 4" xfId="11956" xr:uid="{118D443D-19B6-4DF6-B057-A62A274B32EF}"/>
    <cellStyle name="Comma 268 3" xfId="2574" xr:uid="{6BC943C3-6FB9-48C9-9E2A-AD44A62B9253}"/>
    <cellStyle name="Comma 268 3 2" xfId="7807" xr:uid="{E196966E-748E-498C-9C4B-44A6F0644511}"/>
    <cellStyle name="Comma 268 3 2 2" xfId="18159" xr:uid="{064B6C11-DCA6-4C55-8E6A-AE09328B18CA}"/>
    <cellStyle name="Comma 268 3 3" xfId="12984" xr:uid="{114D54D9-D55B-4CAC-9E18-C1DBEA6F619B}"/>
    <cellStyle name="Comma 268 4" xfId="4700" xr:uid="{910B05DB-57CB-4F9A-B7A9-7F9923D51904}"/>
    <cellStyle name="Comma 268 4 2" xfId="9876" xr:uid="{AC41339E-6681-4287-8BF0-7357ECAB71F5}"/>
    <cellStyle name="Comma 268 4 2 2" xfId="20228" xr:uid="{02939156-2E32-4603-965D-A685F429E554}"/>
    <cellStyle name="Comma 268 4 3" xfId="15052" xr:uid="{067BE16C-9B18-4109-A72E-AA7F9A6D657F}"/>
    <cellStyle name="Comma 268 5" xfId="5748" xr:uid="{18C8A2C6-3B6A-454A-959C-941AF3224834}"/>
    <cellStyle name="Comma 268 5 2" xfId="16100" xr:uid="{42BD4095-D091-487A-9302-67F829403935}"/>
    <cellStyle name="Comma 268 6" xfId="10926" xr:uid="{1B4A4463-A566-46D2-9125-8D60C7C5F354}"/>
    <cellStyle name="Comma 269" xfId="509" xr:uid="{82C76B49-219B-4CA9-8F55-297347A0BBB1}"/>
    <cellStyle name="Comma 269 2" xfId="1547" xr:uid="{5A0C9B3A-7CB2-41D0-831D-3304CFD27756}"/>
    <cellStyle name="Comma 269 2 2" xfId="3605" xr:uid="{10F97217-326A-4A66-B086-3321C466329C}"/>
    <cellStyle name="Comma 269 2 2 2" xfId="8838" xr:uid="{2BC0D27D-502B-4ACF-B4A1-2F85AE9DF8BD}"/>
    <cellStyle name="Comma 269 2 2 2 2" xfId="19190" xr:uid="{E0AA1AF1-E934-44AB-994D-5DA33030D8F3}"/>
    <cellStyle name="Comma 269 2 2 3" xfId="14015" xr:uid="{D05EF61A-7022-4C2B-A319-B8B81A348F44}"/>
    <cellStyle name="Comma 269 2 3" xfId="6780" xr:uid="{7F79E317-6E68-4485-8A8A-7FD829C5D250}"/>
    <cellStyle name="Comma 269 2 3 2" xfId="17132" xr:uid="{248CAFD5-C699-4FC4-9B3B-7A97CA39469F}"/>
    <cellStyle name="Comma 269 2 4" xfId="11957" xr:uid="{58E818CB-D023-4283-A23E-09FA5B00C262}"/>
    <cellStyle name="Comma 269 3" xfId="2575" xr:uid="{0E6003F4-677C-4F40-9D9A-F995059B2857}"/>
    <cellStyle name="Comma 269 3 2" xfId="7808" xr:uid="{7A4E2274-6115-48BF-BE76-C659153216FF}"/>
    <cellStyle name="Comma 269 3 2 2" xfId="18160" xr:uid="{81962F21-C21C-402B-B40C-E0360B4FEA42}"/>
    <cellStyle name="Comma 269 3 3" xfId="12985" xr:uid="{9AB8FB9E-4CFA-4970-B015-7BD020AC2C0B}"/>
    <cellStyle name="Comma 269 4" xfId="4701" xr:uid="{E926A744-B7CF-4363-B6D8-C9227BF7A322}"/>
    <cellStyle name="Comma 269 4 2" xfId="9877" xr:uid="{86BA98A5-1ADC-4D1F-9173-42007BCAFCFE}"/>
    <cellStyle name="Comma 269 4 2 2" xfId="20229" xr:uid="{24E81F6E-6A86-4ACA-B5D7-EBDBB4F2D450}"/>
    <cellStyle name="Comma 269 4 3" xfId="15053" xr:uid="{D58D674C-9880-487A-9993-5BC255C1EE19}"/>
    <cellStyle name="Comma 269 5" xfId="5749" xr:uid="{BDFA35DB-46D7-46A7-ABD4-2B381F3C136D}"/>
    <cellStyle name="Comma 269 5 2" xfId="16101" xr:uid="{917A2B0B-CC81-4C2F-9EC4-8C594069EC74}"/>
    <cellStyle name="Comma 269 6" xfId="10927" xr:uid="{9297A526-087C-4419-A774-DBBE2F07AF2C}"/>
    <cellStyle name="Comma 27" xfId="218" xr:uid="{F96F905A-DBFD-4A56-A426-784EC43CE868}"/>
    <cellStyle name="Comma 27 2" xfId="1304" xr:uid="{1296475D-E53C-4196-8779-A51008B6D903}"/>
    <cellStyle name="Comma 27 2 2" xfId="3362" xr:uid="{2150224A-31B5-489E-B49B-45D7BCA9BC20}"/>
    <cellStyle name="Comma 27 2 2 2" xfId="8595" xr:uid="{33877CF1-3F16-4CF9-93A9-FBA9D5ED619D}"/>
    <cellStyle name="Comma 27 2 2 2 2" xfId="18947" xr:uid="{1EE02148-8DA5-4A01-B55F-035C48BBFDEC}"/>
    <cellStyle name="Comma 27 2 2 3" xfId="13772" xr:uid="{CA2453AC-7A16-45B3-9C38-BD266F9552AA}"/>
    <cellStyle name="Comma 27 2 3" xfId="6537" xr:uid="{E682D8CD-5784-4C76-8DDE-D222C1DEB82B}"/>
    <cellStyle name="Comma 27 2 3 2" xfId="16889" xr:uid="{CE56FAD7-4466-478A-B695-6ABDCDD04B8C}"/>
    <cellStyle name="Comma 27 2 4" xfId="11714" xr:uid="{063F19B0-4595-4CF9-8228-4912D6867A62}"/>
    <cellStyle name="Comma 27 3" xfId="2332" xr:uid="{A1D2D90D-29FA-43E0-BCB0-D095641DA2F9}"/>
    <cellStyle name="Comma 27 3 2" xfId="7565" xr:uid="{475DB5D0-0B50-4B71-9A53-7762A2F60BFA}"/>
    <cellStyle name="Comma 27 3 2 2" xfId="17917" xr:uid="{5E7A7CC3-908B-448B-BCE2-5BA63BD33BC1}"/>
    <cellStyle name="Comma 27 3 3" xfId="12742" xr:uid="{2F5D54DF-C16E-4D94-AD0A-D40ED3B6437A}"/>
    <cellStyle name="Comma 27 4" xfId="4458" xr:uid="{A326F800-64E6-48FF-84AD-59697385485E}"/>
    <cellStyle name="Comma 27 4 2" xfId="9634" xr:uid="{BB529136-EBFC-4904-9038-66AB0152AA83}"/>
    <cellStyle name="Comma 27 4 2 2" xfId="19986" xr:uid="{6AC3F32D-8F99-42E5-BBE6-F27148F1B9DE}"/>
    <cellStyle name="Comma 27 4 3" xfId="14810" xr:uid="{F4575BEF-4DB3-43C0-AB5A-5DC8C3DC1446}"/>
    <cellStyle name="Comma 27 5" xfId="5506" xr:uid="{195D1CE7-9552-41A5-B460-865BF12880DF}"/>
    <cellStyle name="Comma 27 5 2" xfId="15858" xr:uid="{F63AB98B-7159-41FD-A0B3-3F344CF7AD14}"/>
    <cellStyle name="Comma 27 6" xfId="10684" xr:uid="{832CC5C9-8363-4FA2-943B-A530B671398D}"/>
    <cellStyle name="Comma 270" xfId="510" xr:uid="{C5806A6F-D755-4C87-B9BB-CEA0F57816C9}"/>
    <cellStyle name="Comma 270 2" xfId="1548" xr:uid="{F6EC29E6-B0AC-4C62-88AF-36EEB3E61A43}"/>
    <cellStyle name="Comma 270 2 2" xfId="3606" xr:uid="{86D10A9F-2EF8-4092-A35E-EBCA10636FFE}"/>
    <cellStyle name="Comma 270 2 2 2" xfId="8839" xr:uid="{AC5A60F6-F46B-4B60-8EBF-F57EC3F45DEF}"/>
    <cellStyle name="Comma 270 2 2 2 2" xfId="19191" xr:uid="{4A4A701F-6A45-4C61-9762-B88FC852BF12}"/>
    <cellStyle name="Comma 270 2 2 3" xfId="14016" xr:uid="{5C97989F-E0B0-4B7A-A8ED-E9F0A350EC93}"/>
    <cellStyle name="Comma 270 2 3" xfId="6781" xr:uid="{8F389DF2-EC18-491F-AF89-2EF41C114C5E}"/>
    <cellStyle name="Comma 270 2 3 2" xfId="17133" xr:uid="{90E56E14-7025-45B4-B19E-47C6D41C116E}"/>
    <cellStyle name="Comma 270 2 4" xfId="11958" xr:uid="{0065D0C0-6B33-45F3-8655-87982DFF5AD9}"/>
    <cellStyle name="Comma 270 3" xfId="2576" xr:uid="{E60D6BFD-CDD1-4751-9EE8-3AB9D0495036}"/>
    <cellStyle name="Comma 270 3 2" xfId="7809" xr:uid="{7BED8592-C450-4FA3-9520-33429ADDC928}"/>
    <cellStyle name="Comma 270 3 2 2" xfId="18161" xr:uid="{5A76DB64-D31B-4230-8C4A-802A1758C779}"/>
    <cellStyle name="Comma 270 3 3" xfId="12986" xr:uid="{93E557E0-62E3-42B9-BB42-EE23B0F3609A}"/>
    <cellStyle name="Comma 270 4" xfId="4702" xr:uid="{A2A22927-6051-4FD9-975E-6CE9D31658D4}"/>
    <cellStyle name="Comma 270 4 2" xfId="9878" xr:uid="{1FE037C3-CC51-4E32-8F5A-77116FD40328}"/>
    <cellStyle name="Comma 270 4 2 2" xfId="20230" xr:uid="{6E204A30-A47D-4DBC-9166-6A0EDEA6831A}"/>
    <cellStyle name="Comma 270 4 3" xfId="15054" xr:uid="{03361F37-0932-478E-A1C1-8275FF3F628D}"/>
    <cellStyle name="Comma 270 5" xfId="5750" xr:uid="{A3B2882A-9B55-4957-9BB0-D35004EC45C6}"/>
    <cellStyle name="Comma 270 5 2" xfId="16102" xr:uid="{389D479F-1F3C-4F32-A964-61C25DE826C4}"/>
    <cellStyle name="Comma 270 6" xfId="10928" xr:uid="{6116F7B2-8179-4A36-8E5A-7D55B2D2FB80}"/>
    <cellStyle name="Comma 271" xfId="511" xr:uid="{42AB6B7D-8BAA-4DDA-8CF0-4D774C6F93F9}"/>
    <cellStyle name="Comma 271 2" xfId="1549" xr:uid="{9868B58D-A5C8-41CA-8CE6-DC4A88B1FF96}"/>
    <cellStyle name="Comma 271 2 2" xfId="3607" xr:uid="{551DB08F-D52E-45E5-B81E-FC1D25705D7D}"/>
    <cellStyle name="Comma 271 2 2 2" xfId="8840" xr:uid="{DDA78303-2558-42E2-B99E-E4C481F3C2DA}"/>
    <cellStyle name="Comma 271 2 2 2 2" xfId="19192" xr:uid="{282F0C6B-812D-45EF-8C05-365E160828C1}"/>
    <cellStyle name="Comma 271 2 2 3" xfId="14017" xr:uid="{8CA7F14A-30A4-474B-A0FA-79EF2F3D50C3}"/>
    <cellStyle name="Comma 271 2 3" xfId="6782" xr:uid="{444C3704-78C7-4090-A15A-3A9B11CAAAAB}"/>
    <cellStyle name="Comma 271 2 3 2" xfId="17134" xr:uid="{C280AEE5-C94F-4F7D-B8D5-76851D35F79C}"/>
    <cellStyle name="Comma 271 2 4" xfId="11959" xr:uid="{2B29F288-D0C4-44EC-9C45-55185B3B844D}"/>
    <cellStyle name="Comma 271 3" xfId="2577" xr:uid="{C33626CB-009A-466E-868C-264CC920CF7A}"/>
    <cellStyle name="Comma 271 3 2" xfId="7810" xr:uid="{09221474-1D2D-4C2D-B143-DED12D01E1D4}"/>
    <cellStyle name="Comma 271 3 2 2" xfId="18162" xr:uid="{7FB83956-6486-422A-9FD5-304977C02E62}"/>
    <cellStyle name="Comma 271 3 3" xfId="12987" xr:uid="{76AE2CF0-F591-498F-886D-881295E0335D}"/>
    <cellStyle name="Comma 271 4" xfId="4703" xr:uid="{324021ED-FB71-41E1-926E-02B655FFA83E}"/>
    <cellStyle name="Comma 271 4 2" xfId="9879" xr:uid="{E2029BD6-FD9A-419E-8423-3F9BCC17AE46}"/>
    <cellStyle name="Comma 271 4 2 2" xfId="20231" xr:uid="{2E2B61EB-E25C-409A-9D44-453FD615D206}"/>
    <cellStyle name="Comma 271 4 3" xfId="15055" xr:uid="{C9C8F176-A5DC-4203-9D25-73D5275054D5}"/>
    <cellStyle name="Comma 271 5" xfId="5751" xr:uid="{932BD939-0E04-42A6-9C86-D296E94BE111}"/>
    <cellStyle name="Comma 271 5 2" xfId="16103" xr:uid="{0037CC12-362A-4145-BC31-538F116A0093}"/>
    <cellStyle name="Comma 271 6" xfId="10929" xr:uid="{F4888344-CD87-4C03-B8BF-5E7CBC44FF82}"/>
    <cellStyle name="Comma 272" xfId="512" xr:uid="{F388964D-85EF-40B3-86EF-7020A373B4E2}"/>
    <cellStyle name="Comma 272 2" xfId="1550" xr:uid="{ED902CC6-7856-4137-8874-FC4E325FE804}"/>
    <cellStyle name="Comma 272 2 2" xfId="3608" xr:uid="{46E59F5F-9770-49EE-83A5-E07B107DD9E1}"/>
    <cellStyle name="Comma 272 2 2 2" xfId="8841" xr:uid="{3B7C9136-D225-4700-8B8D-EED0371F1C13}"/>
    <cellStyle name="Comma 272 2 2 2 2" xfId="19193" xr:uid="{5AAFB407-049C-44F9-A59A-36B762CF759B}"/>
    <cellStyle name="Comma 272 2 2 3" xfId="14018" xr:uid="{D65FACA8-1615-4111-ABCB-5F3F1203CC20}"/>
    <cellStyle name="Comma 272 2 3" xfId="6783" xr:uid="{3511EA0E-8AAA-410A-B4B7-DA7F27556CCC}"/>
    <cellStyle name="Comma 272 2 3 2" xfId="17135" xr:uid="{1FD8236C-1E68-46BA-B9EE-C3A8A4DE0A3E}"/>
    <cellStyle name="Comma 272 2 4" xfId="11960" xr:uid="{A8463A68-76EE-48C7-AF65-52D4A751C7A7}"/>
    <cellStyle name="Comma 272 3" xfId="2578" xr:uid="{EBBE1CE8-C591-4183-8278-BEA2A46583A7}"/>
    <cellStyle name="Comma 272 3 2" xfId="7811" xr:uid="{7071F8C2-D7C0-445D-AF15-8B0CE519F16D}"/>
    <cellStyle name="Comma 272 3 2 2" xfId="18163" xr:uid="{6DE85EC4-809A-40B5-838C-6F5ADBB8A02D}"/>
    <cellStyle name="Comma 272 3 3" xfId="12988" xr:uid="{6FB8C0F0-CA64-4C9C-AA1A-84D86D0D46C2}"/>
    <cellStyle name="Comma 272 4" xfId="4704" xr:uid="{37BB90AA-EF9F-4AF4-BFC5-E4CC4E17B8C1}"/>
    <cellStyle name="Comma 272 4 2" xfId="9880" xr:uid="{80BB9A7C-E55B-444E-904E-33EC9D7325EE}"/>
    <cellStyle name="Comma 272 4 2 2" xfId="20232" xr:uid="{083A68A3-B8BA-4797-BEB6-253F2ED259C2}"/>
    <cellStyle name="Comma 272 4 3" xfId="15056" xr:uid="{FAFD6B96-E598-4466-B14A-FE0D59AFB273}"/>
    <cellStyle name="Comma 272 5" xfId="5752" xr:uid="{256DDC5F-60E4-4CBD-AA06-383FBD91D0E2}"/>
    <cellStyle name="Comma 272 5 2" xfId="16104" xr:uid="{43BC321E-5732-4ACE-8803-4A87DBC2F9CB}"/>
    <cellStyle name="Comma 272 6" xfId="10930" xr:uid="{DDBFBAB6-4F15-4F5C-A995-9583A8EB5814}"/>
    <cellStyle name="Comma 273" xfId="513" xr:uid="{CFAD44A5-76FA-4D02-B68A-66DDDE888002}"/>
    <cellStyle name="Comma 273 2" xfId="1551" xr:uid="{2B98578C-8908-44C3-B636-D4F96E4F3570}"/>
    <cellStyle name="Comma 273 2 2" xfId="3609" xr:uid="{3FA77118-46A4-4627-96BA-916852EF5A27}"/>
    <cellStyle name="Comma 273 2 2 2" xfId="8842" xr:uid="{5763AA5B-D593-43B3-BC2D-6E15421CF33D}"/>
    <cellStyle name="Comma 273 2 2 2 2" xfId="19194" xr:uid="{346C2836-CD36-47B4-9766-E220A4C85B8D}"/>
    <cellStyle name="Comma 273 2 2 3" xfId="14019" xr:uid="{C808709A-22C0-47B8-9EE3-F4AB76E9527D}"/>
    <cellStyle name="Comma 273 2 3" xfId="6784" xr:uid="{B688EAC3-873A-4250-AA6F-2DA6B12DEE4F}"/>
    <cellStyle name="Comma 273 2 3 2" xfId="17136" xr:uid="{77DC8D4D-D386-4ABD-B195-8931CE29FAF7}"/>
    <cellStyle name="Comma 273 2 4" xfId="11961" xr:uid="{7B01ADA2-E4B0-4A7A-81FE-DC1B13D86F51}"/>
    <cellStyle name="Comma 273 3" xfId="2579" xr:uid="{B1AF4A93-42C2-4210-B426-3B782EAE4199}"/>
    <cellStyle name="Comma 273 3 2" xfId="7812" xr:uid="{3270798B-5EEE-4AB9-AA7D-2FC67819DCD5}"/>
    <cellStyle name="Comma 273 3 2 2" xfId="18164" xr:uid="{FD95B60B-695D-4E57-915D-E3863F1C6730}"/>
    <cellStyle name="Comma 273 3 3" xfId="12989" xr:uid="{B3DFE79F-25CA-4D8C-94F8-549A1DD25AA4}"/>
    <cellStyle name="Comma 273 4" xfId="4705" xr:uid="{B607C1AE-9E1B-4A1C-A39D-BE70E6A64799}"/>
    <cellStyle name="Comma 273 4 2" xfId="9881" xr:uid="{0A15D6E3-4269-4596-92E2-D578E4FC5CC2}"/>
    <cellStyle name="Comma 273 4 2 2" xfId="20233" xr:uid="{B1F6A48E-74BB-4177-A7AD-017A937CA678}"/>
    <cellStyle name="Comma 273 4 3" xfId="15057" xr:uid="{7B9AEE6E-18B7-4E7D-8DD6-11FAD445EEF6}"/>
    <cellStyle name="Comma 273 5" xfId="5753" xr:uid="{635BF416-A8C9-409F-98E7-AC5AA2251FB9}"/>
    <cellStyle name="Comma 273 5 2" xfId="16105" xr:uid="{DB72A500-BCAC-4BC6-99D0-8A1411E3393B}"/>
    <cellStyle name="Comma 273 6" xfId="10931" xr:uid="{9254C25F-D9FE-4F48-BAA7-EDE1A6950BBB}"/>
    <cellStyle name="Comma 274" xfId="514" xr:uid="{CD3C7E0D-8626-4824-95C5-AE6C67F70CB9}"/>
    <cellStyle name="Comma 274 2" xfId="1552" xr:uid="{3243C0B4-387B-45BC-B3D8-3EFFCDD37CAF}"/>
    <cellStyle name="Comma 274 2 2" xfId="3610" xr:uid="{1BC4083C-EAD9-4768-B35E-8A3F9F56FC63}"/>
    <cellStyle name="Comma 274 2 2 2" xfId="8843" xr:uid="{9C837DE5-7B3B-49A1-A801-176C6F40B5EF}"/>
    <cellStyle name="Comma 274 2 2 2 2" xfId="19195" xr:uid="{5FECB14C-7CEB-4931-998B-8125813A7946}"/>
    <cellStyle name="Comma 274 2 2 3" xfId="14020" xr:uid="{0505EDBB-D4D2-4719-854F-5B1A33FFB6FB}"/>
    <cellStyle name="Comma 274 2 3" xfId="6785" xr:uid="{7B9C9778-31C6-4E07-B63F-0938A463EA5D}"/>
    <cellStyle name="Comma 274 2 3 2" xfId="17137" xr:uid="{A603F840-281C-45C9-9F6F-58DE415FFF42}"/>
    <cellStyle name="Comma 274 2 4" xfId="11962" xr:uid="{8F03F921-C552-409E-981C-E24AFFE67753}"/>
    <cellStyle name="Comma 274 3" xfId="2580" xr:uid="{7EBD6306-A79F-465F-86EF-8E67149EFF96}"/>
    <cellStyle name="Comma 274 3 2" xfId="7813" xr:uid="{46F0C35D-A2B5-4CE7-9060-844DF4F1CF1A}"/>
    <cellStyle name="Comma 274 3 2 2" xfId="18165" xr:uid="{E01F4B29-ABE2-4129-9BA8-3D482B56921D}"/>
    <cellStyle name="Comma 274 3 3" xfId="12990" xr:uid="{2289694C-59EE-4752-87AC-C5D564AAED0C}"/>
    <cellStyle name="Comma 274 4" xfId="4706" xr:uid="{82B4CA3D-A579-47FC-BE87-5D6EFA65BA29}"/>
    <cellStyle name="Comma 274 4 2" xfId="9882" xr:uid="{7064C139-9C6F-4B8B-A532-553393A1822F}"/>
    <cellStyle name="Comma 274 4 2 2" xfId="20234" xr:uid="{79079EA2-D429-444E-9DA9-3576AE9D9440}"/>
    <cellStyle name="Comma 274 4 3" xfId="15058" xr:uid="{B8CC3ABB-AAFB-46BE-A55F-AD02A9C7D498}"/>
    <cellStyle name="Comma 274 5" xfId="5754" xr:uid="{3DE18ED3-4EA3-4281-8E9F-CCC7F411966D}"/>
    <cellStyle name="Comma 274 5 2" xfId="16106" xr:uid="{1FC88860-2457-49E6-9939-F02D30922A17}"/>
    <cellStyle name="Comma 274 6" xfId="10932" xr:uid="{B4D7216D-69ED-496F-A274-4E62A74B5B00}"/>
    <cellStyle name="Comma 275" xfId="515" xr:uid="{59F68C92-1A7A-4E3A-9201-666832B4F2F4}"/>
    <cellStyle name="Comma 275 2" xfId="1553" xr:uid="{2C042548-BA3A-4CDA-8F5C-6DD30CC9E3BC}"/>
    <cellStyle name="Comma 275 2 2" xfId="3611" xr:uid="{F43B88B5-097F-47A3-8E57-BF5710E0F4A4}"/>
    <cellStyle name="Comma 275 2 2 2" xfId="8844" xr:uid="{7F1FE692-A30A-463C-ACC9-059B20274692}"/>
    <cellStyle name="Comma 275 2 2 2 2" xfId="19196" xr:uid="{58A241AD-5FCB-41AA-8502-2AC8C2B63941}"/>
    <cellStyle name="Comma 275 2 2 3" xfId="14021" xr:uid="{20B9EAFB-B832-4420-94D3-DD753B09755C}"/>
    <cellStyle name="Comma 275 2 3" xfId="6786" xr:uid="{78006052-D736-4BBC-B04F-AC1E381ED130}"/>
    <cellStyle name="Comma 275 2 3 2" xfId="17138" xr:uid="{34B33626-EC1F-4A41-8A05-DF9F7C720FA5}"/>
    <cellStyle name="Comma 275 2 4" xfId="11963" xr:uid="{4634B508-719E-4D59-BAAE-D331F9A2026D}"/>
    <cellStyle name="Comma 275 3" xfId="2581" xr:uid="{1899B210-B079-4A80-BA7B-CF444CA8AEBA}"/>
    <cellStyle name="Comma 275 3 2" xfId="7814" xr:uid="{F1365222-1D3C-4705-9600-E0927E33C488}"/>
    <cellStyle name="Comma 275 3 2 2" xfId="18166" xr:uid="{CECB3150-4707-42AB-80A1-89B0A3286D3D}"/>
    <cellStyle name="Comma 275 3 3" xfId="12991" xr:uid="{5DC1E5C5-F32D-4FFE-9D73-05FC218F571D}"/>
    <cellStyle name="Comma 275 4" xfId="4707" xr:uid="{14F61B1E-5592-4BBF-AC86-B1F76A87B68A}"/>
    <cellStyle name="Comma 275 4 2" xfId="9883" xr:uid="{071AAD3B-0D1F-409D-B0C9-0C3F3FBAE574}"/>
    <cellStyle name="Comma 275 4 2 2" xfId="20235" xr:uid="{5F1D7222-8773-4118-9BD2-EA803DCA117E}"/>
    <cellStyle name="Comma 275 4 3" xfId="15059" xr:uid="{9B5207F4-5140-4AC3-8E5F-421D86CA3702}"/>
    <cellStyle name="Comma 275 5" xfId="5755" xr:uid="{6D161CCB-78D4-41B7-BCB3-A347AD62BAFE}"/>
    <cellStyle name="Comma 275 5 2" xfId="16107" xr:uid="{1A0E472C-7170-4CC9-8198-7F617BA38EFB}"/>
    <cellStyle name="Comma 275 6" xfId="10933" xr:uid="{88F38B9B-10EF-41E0-B8C0-CD43CE2D7C39}"/>
    <cellStyle name="Comma 276" xfId="516" xr:uid="{7E12F28A-35C5-4AE9-88FF-462160B562C7}"/>
    <cellStyle name="Comma 276 2" xfId="1554" xr:uid="{570439B8-38C5-4FF7-BC27-F0F5B8E0DFA3}"/>
    <cellStyle name="Comma 276 2 2" xfId="3612" xr:uid="{ED4493D8-33D2-40CD-A782-D06C087C1C25}"/>
    <cellStyle name="Comma 276 2 2 2" xfId="8845" xr:uid="{1DBF9FB6-E36F-4DCF-9938-1159AF499893}"/>
    <cellStyle name="Comma 276 2 2 2 2" xfId="19197" xr:uid="{E1C9B829-521E-42B4-AE9A-11DC02EC7312}"/>
    <cellStyle name="Comma 276 2 2 3" xfId="14022" xr:uid="{1AF36A5F-CCF1-41E8-93C5-0A8C4C730418}"/>
    <cellStyle name="Comma 276 2 3" xfId="6787" xr:uid="{65933469-FEB0-4A2B-8B1C-F862EF7CD62D}"/>
    <cellStyle name="Comma 276 2 3 2" xfId="17139" xr:uid="{76A3906E-B4E9-4AFB-8963-1B0FB8D34D30}"/>
    <cellStyle name="Comma 276 2 4" xfId="11964" xr:uid="{C8D345CA-5D17-4757-98DD-1FC38F2B140D}"/>
    <cellStyle name="Comma 276 3" xfId="2582" xr:uid="{FF7FF158-34EB-4532-92A9-8BA6A0F9BAB9}"/>
    <cellStyle name="Comma 276 3 2" xfId="7815" xr:uid="{E6572F93-AB23-4EC1-9272-3803FBDD48FF}"/>
    <cellStyle name="Comma 276 3 2 2" xfId="18167" xr:uid="{7D74CD43-5170-46AA-B5FF-C4B07CCC381F}"/>
    <cellStyle name="Comma 276 3 3" xfId="12992" xr:uid="{653DFAF2-2F7D-46FE-9602-8CE6F01388B7}"/>
    <cellStyle name="Comma 276 4" xfId="4708" xr:uid="{E46C877E-62C4-4DE4-87FD-4A39EB564768}"/>
    <cellStyle name="Comma 276 4 2" xfId="9884" xr:uid="{ACE1C591-57C0-4D16-825E-C13C892CE526}"/>
    <cellStyle name="Comma 276 4 2 2" xfId="20236" xr:uid="{EFFCF1B5-583E-43FF-982B-E50A30A88DF6}"/>
    <cellStyle name="Comma 276 4 3" xfId="15060" xr:uid="{BAB1B197-F24C-44AA-B028-1561AC2E4D8B}"/>
    <cellStyle name="Comma 276 5" xfId="5756" xr:uid="{02D73C86-3C1D-484C-9C6D-E693BE0A2FC6}"/>
    <cellStyle name="Comma 276 5 2" xfId="16108" xr:uid="{4A7616CF-A591-4188-A1B5-934A8BE67671}"/>
    <cellStyle name="Comma 276 6" xfId="10934" xr:uid="{017B1FD9-CEC6-4D6A-BD23-03D46C65AEFD}"/>
    <cellStyle name="Comma 277" xfId="517" xr:uid="{7B8750D0-DF96-4F08-B94D-D8A36780CBB6}"/>
    <cellStyle name="Comma 277 2" xfId="1555" xr:uid="{49D1734E-5527-4D80-AAAF-F1FFEF03DCD9}"/>
    <cellStyle name="Comma 277 2 2" xfId="3613" xr:uid="{3A92A81F-33ED-4A2A-8FCA-710C4375F373}"/>
    <cellStyle name="Comma 277 2 2 2" xfId="8846" xr:uid="{8613538B-D579-45C8-858E-F3EF34EC6573}"/>
    <cellStyle name="Comma 277 2 2 2 2" xfId="19198" xr:uid="{2D97BCD8-EE00-4D24-B66B-6D601AFB8FE8}"/>
    <cellStyle name="Comma 277 2 2 3" xfId="14023" xr:uid="{4803CE97-601B-476B-8701-28B51CDC685F}"/>
    <cellStyle name="Comma 277 2 3" xfId="6788" xr:uid="{363DB029-9DC9-4C0B-A05D-4CB385F2ABCB}"/>
    <cellStyle name="Comma 277 2 3 2" xfId="17140" xr:uid="{BD5E9DF1-159C-438B-AE54-5780D3F1EF3C}"/>
    <cellStyle name="Comma 277 2 4" xfId="11965" xr:uid="{1DE14D51-F186-4AEE-B98C-A3DFBE29EF5F}"/>
    <cellStyle name="Comma 277 3" xfId="2583" xr:uid="{3BFF507B-3BB0-4A4B-BD94-DE2057915AD6}"/>
    <cellStyle name="Comma 277 3 2" xfId="7816" xr:uid="{186E188E-8693-4D1B-BF46-93F16F872D6C}"/>
    <cellStyle name="Comma 277 3 2 2" xfId="18168" xr:uid="{9EAE5135-08D7-45E6-97EA-8B9E66213B4F}"/>
    <cellStyle name="Comma 277 3 3" xfId="12993" xr:uid="{44B11EF3-6636-4567-BFFE-80FEBDDF414D}"/>
    <cellStyle name="Comma 277 4" xfId="4709" xr:uid="{A83ACC76-3848-4D40-8D76-5484F6243D7A}"/>
    <cellStyle name="Comma 277 4 2" xfId="9885" xr:uid="{25BC5547-E0BB-47A6-85D0-BCF99C6CC74F}"/>
    <cellStyle name="Comma 277 4 2 2" xfId="20237" xr:uid="{FD732B4B-D394-466E-B2AE-0F5BB68F192F}"/>
    <cellStyle name="Comma 277 4 3" xfId="15061" xr:uid="{CB6AA0FF-1CF6-446F-BDD4-0BE64D85D410}"/>
    <cellStyle name="Comma 277 5" xfId="5757" xr:uid="{882F6071-FA0B-4B40-BE0F-9496B36E0D06}"/>
    <cellStyle name="Comma 277 5 2" xfId="16109" xr:uid="{CE089B47-5253-4B16-B175-8E1D80D6C70B}"/>
    <cellStyle name="Comma 277 6" xfId="10935" xr:uid="{C63707B0-6BA7-4B66-B0C5-DCC871A55A39}"/>
    <cellStyle name="Comma 278" xfId="518" xr:uid="{70772D88-35BD-49EA-9760-EF74629C7951}"/>
    <cellStyle name="Comma 278 2" xfId="1556" xr:uid="{5EFA6BC6-EF4B-4B28-A5C2-36B23D1892C1}"/>
    <cellStyle name="Comma 278 2 2" xfId="3614" xr:uid="{6E5B3247-36AE-479B-9214-764267E99D28}"/>
    <cellStyle name="Comma 278 2 2 2" xfId="8847" xr:uid="{E6802B05-B93B-4650-8F2B-B396923DE510}"/>
    <cellStyle name="Comma 278 2 2 2 2" xfId="19199" xr:uid="{80791567-7560-43B1-9504-B73C82A78B09}"/>
    <cellStyle name="Comma 278 2 2 3" xfId="14024" xr:uid="{467812CC-43A5-4F1F-AE3A-2B301A8A8BBD}"/>
    <cellStyle name="Comma 278 2 3" xfId="6789" xr:uid="{BCA54B16-29C0-4FA2-AB6C-8F0753E7A78C}"/>
    <cellStyle name="Comma 278 2 3 2" xfId="17141" xr:uid="{503B3E16-1049-46CA-A134-9AA7799EB22E}"/>
    <cellStyle name="Comma 278 2 4" xfId="11966" xr:uid="{D49517D6-3AC1-448C-9982-0F6CB60D94AE}"/>
    <cellStyle name="Comma 278 3" xfId="2584" xr:uid="{A99D9F09-9838-4F50-AE13-2315228F3B3F}"/>
    <cellStyle name="Comma 278 3 2" xfId="7817" xr:uid="{4869FA0F-2E82-463F-9FB2-61E6BC78543E}"/>
    <cellStyle name="Comma 278 3 2 2" xfId="18169" xr:uid="{B1766B94-DA42-4AAB-B562-7993828FFC16}"/>
    <cellStyle name="Comma 278 3 3" xfId="12994" xr:uid="{CACCF09C-D255-4192-AF9C-F19A81E90E84}"/>
    <cellStyle name="Comma 278 4" xfId="4710" xr:uid="{17563AB4-41F6-4D64-AA3D-375740B35068}"/>
    <cellStyle name="Comma 278 4 2" xfId="9886" xr:uid="{ED745B04-8237-4A45-8212-66F29A7D1531}"/>
    <cellStyle name="Comma 278 4 2 2" xfId="20238" xr:uid="{5B1DACF3-C8BC-4003-ADCF-330E9C58EFDC}"/>
    <cellStyle name="Comma 278 4 3" xfId="15062" xr:uid="{E4B94452-C31F-4AB5-8216-B767F092FFC3}"/>
    <cellStyle name="Comma 278 5" xfId="5758" xr:uid="{419ED193-810C-45F8-BC5C-FAFC9401113A}"/>
    <cellStyle name="Comma 278 5 2" xfId="16110" xr:uid="{007B2AFC-01C9-4167-B430-8F192B76322F}"/>
    <cellStyle name="Comma 278 6" xfId="10936" xr:uid="{3E188355-1A99-4F13-9257-E43363835B0B}"/>
    <cellStyle name="Comma 279" xfId="519" xr:uid="{09A902EF-1321-42CC-B761-2CF94F8C24EB}"/>
    <cellStyle name="Comma 279 2" xfId="1557" xr:uid="{40FE7E5A-C8F3-44DB-82CE-6D8718C23097}"/>
    <cellStyle name="Comma 279 2 2" xfId="3615" xr:uid="{755E72E2-DB42-4012-82CD-2DC60A3509C5}"/>
    <cellStyle name="Comma 279 2 2 2" xfId="8848" xr:uid="{F2CABB0D-C214-4F2F-9A9B-0EABDD0E3CAC}"/>
    <cellStyle name="Comma 279 2 2 2 2" xfId="19200" xr:uid="{0900BA1C-80AA-4FF0-AD1B-DBC84F27BC4F}"/>
    <cellStyle name="Comma 279 2 2 3" xfId="14025" xr:uid="{1C045120-8177-40DE-AFD8-D9DAEDC144A6}"/>
    <cellStyle name="Comma 279 2 3" xfId="6790" xr:uid="{C19005A4-E11B-4C32-8CA2-1D7950989F6B}"/>
    <cellStyle name="Comma 279 2 3 2" xfId="17142" xr:uid="{7C52C64F-3D65-47B1-86F1-951E08D88AAB}"/>
    <cellStyle name="Comma 279 2 4" xfId="11967" xr:uid="{696E14C0-1CDC-46B1-8A24-CBAD86F40693}"/>
    <cellStyle name="Comma 279 3" xfId="2585" xr:uid="{433B48CC-ED24-42F9-ADAF-7758F8EBB5ED}"/>
    <cellStyle name="Comma 279 3 2" xfId="7818" xr:uid="{E9D55361-11B2-4567-B9D6-B4AD16361750}"/>
    <cellStyle name="Comma 279 3 2 2" xfId="18170" xr:uid="{4EFCBADA-91E3-49E4-9FDE-0B842BE4AEB7}"/>
    <cellStyle name="Comma 279 3 3" xfId="12995" xr:uid="{0F77260B-E34D-4E17-A200-A9F058E987E3}"/>
    <cellStyle name="Comma 279 4" xfId="4711" xr:uid="{3EB192A2-CAEB-4B44-9533-34424133EFBC}"/>
    <cellStyle name="Comma 279 4 2" xfId="9887" xr:uid="{97BCDBF7-8B67-4A23-8A4D-61A830C169B5}"/>
    <cellStyle name="Comma 279 4 2 2" xfId="20239" xr:uid="{F70DCF5C-B96E-4B62-A932-EBD08085A2BF}"/>
    <cellStyle name="Comma 279 4 3" xfId="15063" xr:uid="{071ACE3F-605B-4CB9-B6DD-0C24A9B7F3F1}"/>
    <cellStyle name="Comma 279 5" xfId="5759" xr:uid="{9CA12DA5-BDAE-4BBE-A5E5-371631168F1E}"/>
    <cellStyle name="Comma 279 5 2" xfId="16111" xr:uid="{E14B8405-280F-4AB3-B5D0-91DAD6355245}"/>
    <cellStyle name="Comma 279 6" xfId="10937" xr:uid="{04A5CD52-B7D3-4FA4-BD6A-37CC3563576F}"/>
    <cellStyle name="Comma 28" xfId="219" xr:uid="{8FC4E6B6-4883-4120-8C2F-EF67E0890ED3}"/>
    <cellStyle name="Comma 28 2" xfId="1305" xr:uid="{F7FABDB2-699A-4616-9704-B05700EF52F5}"/>
    <cellStyle name="Comma 28 2 2" xfId="3363" xr:uid="{7FA9E153-344D-4890-B805-62B793AC1074}"/>
    <cellStyle name="Comma 28 2 2 2" xfId="8596" xr:uid="{6B437BAC-9243-40F7-8701-5BD81A407DD9}"/>
    <cellStyle name="Comma 28 2 2 2 2" xfId="18948" xr:uid="{5B46E8AD-46D1-41AA-B100-923E392FC1BF}"/>
    <cellStyle name="Comma 28 2 2 3" xfId="13773" xr:uid="{46BB70D0-26D9-4101-87E2-79DD4B0E134F}"/>
    <cellStyle name="Comma 28 2 3" xfId="6538" xr:uid="{7BBEABE2-8D34-4393-80EF-BBB03237E4C0}"/>
    <cellStyle name="Comma 28 2 3 2" xfId="16890" xr:uid="{2DBA0743-E3D7-4F1F-A8B3-FDB3486AB37D}"/>
    <cellStyle name="Comma 28 2 4" xfId="11715" xr:uid="{082C3FE4-6374-4FBF-B8DC-355AAFF1E7CC}"/>
    <cellStyle name="Comma 28 3" xfId="2333" xr:uid="{0B8A41D3-358A-4D49-B161-62F7D17B76CB}"/>
    <cellStyle name="Comma 28 3 2" xfId="7566" xr:uid="{7F5515FF-E558-45C4-AFC4-53994E1A78D0}"/>
    <cellStyle name="Comma 28 3 2 2" xfId="17918" xr:uid="{2E7CB7F9-62B3-4B81-94D7-A372D7B02030}"/>
    <cellStyle name="Comma 28 3 3" xfId="12743" xr:uid="{F7284610-E1A0-47EE-A23D-DE57ED35C233}"/>
    <cellStyle name="Comma 28 4" xfId="4459" xr:uid="{01492A6C-AF92-4FBF-864C-4B8EA4DED880}"/>
    <cellStyle name="Comma 28 4 2" xfId="9635" xr:uid="{FDBA982B-74C5-4CB8-98F5-B4F0542EFD99}"/>
    <cellStyle name="Comma 28 4 2 2" xfId="19987" xr:uid="{88992774-CF18-4A82-9FE5-9A6539C4B30B}"/>
    <cellStyle name="Comma 28 4 3" xfId="14811" xr:uid="{541DD9B5-ACD0-44AE-A5D1-9807259DE299}"/>
    <cellStyle name="Comma 28 5" xfId="5507" xr:uid="{059F5644-5ACF-4BE2-8240-208D2310D74E}"/>
    <cellStyle name="Comma 28 5 2" xfId="15859" xr:uid="{20F4DD45-E08F-499C-8978-2CCFE9B31333}"/>
    <cellStyle name="Comma 28 6" xfId="10685" xr:uid="{0B398D03-19F4-4886-9632-11FE0038BDFE}"/>
    <cellStyle name="Comma 280" xfId="520" xr:uid="{F8CEC265-2B2B-468D-9F61-64FB5F086212}"/>
    <cellStyle name="Comma 280 2" xfId="1558" xr:uid="{485251EA-6299-4B5B-984A-6D7AD9CBC7F2}"/>
    <cellStyle name="Comma 280 2 2" xfId="3616" xr:uid="{2E16BFB7-A437-40A8-9A04-839C84112775}"/>
    <cellStyle name="Comma 280 2 2 2" xfId="8849" xr:uid="{41956BF6-FE82-4118-B0D4-E4183FB00EAA}"/>
    <cellStyle name="Comma 280 2 2 2 2" xfId="19201" xr:uid="{0D5995D1-BC48-4A8B-A351-A7CA70A41E6B}"/>
    <cellStyle name="Comma 280 2 2 3" xfId="14026" xr:uid="{0D049F61-E16A-48D5-A465-A31A3FE9E38C}"/>
    <cellStyle name="Comma 280 2 3" xfId="6791" xr:uid="{31C37E9E-3F7F-43BF-A766-3C40449749F2}"/>
    <cellStyle name="Comma 280 2 3 2" xfId="17143" xr:uid="{3C0F6063-47A5-47A5-AC3F-57D8FBE84248}"/>
    <cellStyle name="Comma 280 2 4" xfId="11968" xr:uid="{EEE5B744-DCEF-4CFC-98E8-7A2962F96682}"/>
    <cellStyle name="Comma 280 3" xfId="2586" xr:uid="{488D4016-7CE7-4DC9-8B0F-11FC624AC25D}"/>
    <cellStyle name="Comma 280 3 2" xfId="7819" xr:uid="{779ECB7F-E101-450F-8829-BD7652488A39}"/>
    <cellStyle name="Comma 280 3 2 2" xfId="18171" xr:uid="{D011EA7D-87C7-431E-BA61-11323D867D3C}"/>
    <cellStyle name="Comma 280 3 3" xfId="12996" xr:uid="{3E6B9C19-A38C-4C80-A39B-A87B73E3FDE1}"/>
    <cellStyle name="Comma 280 4" xfId="4712" xr:uid="{29381CB3-4EA9-4216-BEA4-BA4F1F521A32}"/>
    <cellStyle name="Comma 280 4 2" xfId="9888" xr:uid="{5B9655AA-290D-4191-9473-5013721D2CE7}"/>
    <cellStyle name="Comma 280 4 2 2" xfId="20240" xr:uid="{BA4786A2-DD9A-4E8F-9234-E37894227931}"/>
    <cellStyle name="Comma 280 4 3" xfId="15064" xr:uid="{8C2C17D7-4D2D-4C2B-BBCF-4B4887962982}"/>
    <cellStyle name="Comma 280 5" xfId="5760" xr:uid="{B4AC7760-B8F4-470C-87F4-936EC876193A}"/>
    <cellStyle name="Comma 280 5 2" xfId="16112" xr:uid="{A3643780-BD3C-4FF5-ABBD-F9BC1DD0CE8D}"/>
    <cellStyle name="Comma 280 6" xfId="10938" xr:uid="{53F2EE1F-E9C9-4B35-9A74-E3030A84934B}"/>
    <cellStyle name="Comma 281" xfId="521" xr:uid="{25C9D183-531B-4CD2-8B06-A500202EE41B}"/>
    <cellStyle name="Comma 281 2" xfId="1559" xr:uid="{CAB05921-1C8E-4426-B109-B2FC14ADBF5D}"/>
    <cellStyle name="Comma 281 2 2" xfId="3617" xr:uid="{35C8FAC8-24F7-47C9-8A1B-34CC5C4BB7CC}"/>
    <cellStyle name="Comma 281 2 2 2" xfId="8850" xr:uid="{82624B2D-8473-4C08-BD91-3202EBECA201}"/>
    <cellStyle name="Comma 281 2 2 2 2" xfId="19202" xr:uid="{E35A1313-0712-4B2E-A43E-2FF0F04F0835}"/>
    <cellStyle name="Comma 281 2 2 3" xfId="14027" xr:uid="{DCE6C0DD-AB69-49B8-9702-D71D5F0B80F8}"/>
    <cellStyle name="Comma 281 2 3" xfId="6792" xr:uid="{585CEA94-F81C-4302-BD45-7C61EAEF0042}"/>
    <cellStyle name="Comma 281 2 3 2" xfId="17144" xr:uid="{2B07B59F-2C9C-4C06-AAC5-AD1FA01FC85F}"/>
    <cellStyle name="Comma 281 2 4" xfId="11969" xr:uid="{25EE9FB1-C278-4630-963D-21F31CFE3C1A}"/>
    <cellStyle name="Comma 281 3" xfId="2587" xr:uid="{6A51B79B-8587-4172-A146-E8F97510E1A2}"/>
    <cellStyle name="Comma 281 3 2" xfId="7820" xr:uid="{401AF7D7-8E81-440B-A4F0-0B0E3C399BDC}"/>
    <cellStyle name="Comma 281 3 2 2" xfId="18172" xr:uid="{A387AD05-654A-45C7-BD52-28CAAD8E29DC}"/>
    <cellStyle name="Comma 281 3 3" xfId="12997" xr:uid="{0BEA88F6-5FA3-47A8-868E-E23EA392D26E}"/>
    <cellStyle name="Comma 281 4" xfId="4713" xr:uid="{F3405409-B3C7-4908-955D-A7B37C6A7C5A}"/>
    <cellStyle name="Comma 281 4 2" xfId="9889" xr:uid="{A82DA410-AC06-4CB6-B3C3-278AAB7B3B4C}"/>
    <cellStyle name="Comma 281 4 2 2" xfId="20241" xr:uid="{BAFE5D6B-C5EE-43E2-9AE1-F32AD68696B3}"/>
    <cellStyle name="Comma 281 4 3" xfId="15065" xr:uid="{85D60E3F-204E-49A1-98A7-0A2D312F3CF7}"/>
    <cellStyle name="Comma 281 5" xfId="5761" xr:uid="{1CCBC681-D812-49EA-BDD6-9BDE79DCF9A4}"/>
    <cellStyle name="Comma 281 5 2" xfId="16113" xr:uid="{FC13D516-5098-4671-B101-C784D9B28378}"/>
    <cellStyle name="Comma 281 6" xfId="10939" xr:uid="{CE73BF34-1F30-4E76-B9B3-CBD0F5BA39A4}"/>
    <cellStyle name="Comma 282" xfId="522" xr:uid="{78F95613-A053-44AE-930C-DDDF99829935}"/>
    <cellStyle name="Comma 282 2" xfId="1560" xr:uid="{0B0FDD2D-ECD6-48F5-98CF-BEE63F271585}"/>
    <cellStyle name="Comma 282 2 2" xfId="3618" xr:uid="{8093E27B-2077-407C-B706-ED5EE1AD2C98}"/>
    <cellStyle name="Comma 282 2 2 2" xfId="8851" xr:uid="{3B5897BA-5E13-458C-87EE-CA71F6CD8360}"/>
    <cellStyle name="Comma 282 2 2 2 2" xfId="19203" xr:uid="{9BB2DB25-B292-4B1C-9B01-1B28952B3B9C}"/>
    <cellStyle name="Comma 282 2 2 3" xfId="14028" xr:uid="{3B6AC029-D19C-40AF-99DB-62C722CB9B31}"/>
    <cellStyle name="Comma 282 2 3" xfId="6793" xr:uid="{499E4A46-A8CF-458A-9143-95BDBF92FB3D}"/>
    <cellStyle name="Comma 282 2 3 2" xfId="17145" xr:uid="{911D03AD-2D37-4FED-9070-1225E105FB7A}"/>
    <cellStyle name="Comma 282 2 4" xfId="11970" xr:uid="{2F2E032F-EDAC-4732-829B-CD9FDE02C319}"/>
    <cellStyle name="Comma 282 3" xfId="2588" xr:uid="{32CC2892-5665-4025-BDBC-F759ED698F99}"/>
    <cellStyle name="Comma 282 3 2" xfId="7821" xr:uid="{6AEEAE26-C01B-405C-B755-F516AE25333D}"/>
    <cellStyle name="Comma 282 3 2 2" xfId="18173" xr:uid="{3DFA6D79-D95B-44ED-B3B6-A998B1131708}"/>
    <cellStyle name="Comma 282 3 3" xfId="12998" xr:uid="{BC00F07A-D0CC-4AC1-A89E-17708EEE8BC7}"/>
    <cellStyle name="Comma 282 4" xfId="4714" xr:uid="{46A5FFBA-74CA-4D1A-8BE8-9E93E3BD3E37}"/>
    <cellStyle name="Comma 282 4 2" xfId="9890" xr:uid="{5E0A5AA9-BAFA-4FBF-A7A3-C8904D408EFF}"/>
    <cellStyle name="Comma 282 4 2 2" xfId="20242" xr:uid="{E438DE7A-BA12-4E57-A5D8-7CF22889C67F}"/>
    <cellStyle name="Comma 282 4 3" xfId="15066" xr:uid="{23BC0907-4565-42B6-B900-015B72CB2D95}"/>
    <cellStyle name="Comma 282 5" xfId="5762" xr:uid="{B54E4BB0-7360-4468-9A44-25F75DE52539}"/>
    <cellStyle name="Comma 282 5 2" xfId="16114" xr:uid="{ADE298E0-268E-4A3D-931C-5C5EEBE7D2A4}"/>
    <cellStyle name="Comma 282 6" xfId="10940" xr:uid="{D73795C2-9A98-483D-8D65-7FEB12A16EC0}"/>
    <cellStyle name="Comma 283" xfId="523" xr:uid="{1C598791-041B-457F-8A7E-344CAA2A4D2F}"/>
    <cellStyle name="Comma 283 2" xfId="1561" xr:uid="{E37B4641-9927-49FD-BF37-BF95FB46BDB9}"/>
    <cellStyle name="Comma 283 2 2" xfId="3619" xr:uid="{2FB251A1-F431-4A9D-8E4B-0C727B68DD39}"/>
    <cellStyle name="Comma 283 2 2 2" xfId="8852" xr:uid="{448A6C48-5814-4EA3-9B91-76CF8826DB3B}"/>
    <cellStyle name="Comma 283 2 2 2 2" xfId="19204" xr:uid="{D06C21AF-CF96-4BDB-9019-61DB90B47EB9}"/>
    <cellStyle name="Comma 283 2 2 3" xfId="14029" xr:uid="{AED16061-FFAF-4EA4-AC36-51B57AA5A731}"/>
    <cellStyle name="Comma 283 2 3" xfId="6794" xr:uid="{C4C18A5C-90FA-4CDB-8ACB-A497293FE475}"/>
    <cellStyle name="Comma 283 2 3 2" xfId="17146" xr:uid="{D27445E7-4ABF-49A3-9C57-3DE2688960FC}"/>
    <cellStyle name="Comma 283 2 4" xfId="11971" xr:uid="{C4578469-E9A3-4177-9D0F-23920C293808}"/>
    <cellStyle name="Comma 283 3" xfId="2589" xr:uid="{3916AB13-56F0-43D6-91D0-11C717D43236}"/>
    <cellStyle name="Comma 283 3 2" xfId="7822" xr:uid="{D3E39326-6ADA-403C-9873-C2EE2EC34BA5}"/>
    <cellStyle name="Comma 283 3 2 2" xfId="18174" xr:uid="{BCFD94D5-211E-4A5F-8352-BA00164452AB}"/>
    <cellStyle name="Comma 283 3 3" xfId="12999" xr:uid="{D0004AB3-DEEC-4817-BA8E-1DDBC7DD3F48}"/>
    <cellStyle name="Comma 283 4" xfId="4715" xr:uid="{8F491DAD-DEED-4EDD-A962-AA310A67865B}"/>
    <cellStyle name="Comma 283 4 2" xfId="9891" xr:uid="{1F45468F-59D5-4B27-8F2F-9FE750EFBA3F}"/>
    <cellStyle name="Comma 283 4 2 2" xfId="20243" xr:uid="{EB973FCD-7652-4C38-B928-83D72101CDF8}"/>
    <cellStyle name="Comma 283 4 3" xfId="15067" xr:uid="{3855AE5C-EF94-47A3-8AB1-5C00F60BB074}"/>
    <cellStyle name="Comma 283 5" xfId="5763" xr:uid="{D2A8C2F0-3092-4066-812D-26041579AAAB}"/>
    <cellStyle name="Comma 283 5 2" xfId="16115" xr:uid="{51D0A0DB-DD92-4BB1-96ED-EE76BD3B8718}"/>
    <cellStyle name="Comma 283 6" xfId="10941" xr:uid="{575E7461-6825-4AD1-A432-D9EA016B61BE}"/>
    <cellStyle name="Comma 284" xfId="524" xr:uid="{AEDDE0A3-9F6A-4DE9-AC79-19B28F5B1989}"/>
    <cellStyle name="Comma 284 2" xfId="1562" xr:uid="{0A2E78C3-8BEA-47BA-87B0-FC54D0A61FA0}"/>
    <cellStyle name="Comma 284 2 2" xfId="3620" xr:uid="{96E4ABFA-4FF3-421F-90F4-9C5805119E76}"/>
    <cellStyle name="Comma 284 2 2 2" xfId="8853" xr:uid="{C8D1E0BE-E044-429A-83E5-D1D5D0965F80}"/>
    <cellStyle name="Comma 284 2 2 2 2" xfId="19205" xr:uid="{29CD629A-7E60-4313-A3CB-B2606293F85E}"/>
    <cellStyle name="Comma 284 2 2 3" xfId="14030" xr:uid="{D4481B22-0A94-4DBF-A314-CBEBAD8F12AE}"/>
    <cellStyle name="Comma 284 2 3" xfId="6795" xr:uid="{A072EFC6-BB07-44D4-A461-9742AF134A4E}"/>
    <cellStyle name="Comma 284 2 3 2" xfId="17147" xr:uid="{13D3657E-1EB3-409C-9DC3-208D0DEC7D17}"/>
    <cellStyle name="Comma 284 2 4" xfId="11972" xr:uid="{4F1FE650-C7AC-40E6-9025-65EE32487DE0}"/>
    <cellStyle name="Comma 284 3" xfId="2590" xr:uid="{F89D60F3-B0B5-4A47-A2EF-13B9702A5790}"/>
    <cellStyle name="Comma 284 3 2" xfId="7823" xr:uid="{01DD00BE-B3CC-42E6-96D1-157E6FFE234A}"/>
    <cellStyle name="Comma 284 3 2 2" xfId="18175" xr:uid="{9E002711-142A-4B6F-B8A8-DEBECA87DA2E}"/>
    <cellStyle name="Comma 284 3 3" xfId="13000" xr:uid="{3BA41322-DCA3-47DC-8EC3-FAEF63BA237A}"/>
    <cellStyle name="Comma 284 4" xfId="4716" xr:uid="{27867856-FCD0-4DED-B967-05E0414E5BBF}"/>
    <cellStyle name="Comma 284 4 2" xfId="9892" xr:uid="{6B17A8FB-0982-48EB-A982-74D78D57F98C}"/>
    <cellStyle name="Comma 284 4 2 2" xfId="20244" xr:uid="{1B6A76E5-E841-469D-BC5A-BF0F55015E47}"/>
    <cellStyle name="Comma 284 4 3" xfId="15068" xr:uid="{F2E0F9F5-14E6-42F3-8B88-ABD54DE5180E}"/>
    <cellStyle name="Comma 284 5" xfId="5764" xr:uid="{C9F9B777-FCD7-4988-85AF-A5CE0DBBD6C3}"/>
    <cellStyle name="Comma 284 5 2" xfId="16116" xr:uid="{A1D875ED-EB9C-41A3-9989-839F668A6DC9}"/>
    <cellStyle name="Comma 284 6" xfId="10942" xr:uid="{C881C751-0CF8-4FAC-AFDE-CF54FAFE1A95}"/>
    <cellStyle name="Comma 285" xfId="525" xr:uid="{6BC5A163-E49A-46FC-A269-14C5373CE538}"/>
    <cellStyle name="Comma 285 2" xfId="1563" xr:uid="{658D9A97-E168-4297-87EC-EF3248C55750}"/>
    <cellStyle name="Comma 285 2 2" xfId="3621" xr:uid="{923CE39A-3C89-4281-9DA4-6CBDDD6766A9}"/>
    <cellStyle name="Comma 285 2 2 2" xfId="8854" xr:uid="{8D715F54-AE93-4524-BC17-612094D8E3B6}"/>
    <cellStyle name="Comma 285 2 2 2 2" xfId="19206" xr:uid="{149BB295-0AA0-438A-8EA3-DBE46981D217}"/>
    <cellStyle name="Comma 285 2 2 3" xfId="14031" xr:uid="{6D319600-DB40-4550-AF3F-B98890D8F192}"/>
    <cellStyle name="Comma 285 2 3" xfId="6796" xr:uid="{90768186-F07B-45FD-822A-17D126F8DCB6}"/>
    <cellStyle name="Comma 285 2 3 2" xfId="17148" xr:uid="{000B8FC2-555D-4A88-A491-1D7EE4AE8C98}"/>
    <cellStyle name="Comma 285 2 4" xfId="11973" xr:uid="{9D43FF70-6FF7-443A-9825-8347D4E0A67E}"/>
    <cellStyle name="Comma 285 3" xfId="2591" xr:uid="{3E4004ED-41C4-4A44-B543-FBF7ECDB4946}"/>
    <cellStyle name="Comma 285 3 2" xfId="7824" xr:uid="{F240CFFC-8D8B-45DF-98E5-09CBA24FAB78}"/>
    <cellStyle name="Comma 285 3 2 2" xfId="18176" xr:uid="{5B0BEFD8-D0AD-44F6-80AB-F81151F64210}"/>
    <cellStyle name="Comma 285 3 3" xfId="13001" xr:uid="{8A0D31F3-40E1-414F-B655-2BBAF7F565C7}"/>
    <cellStyle name="Comma 285 4" xfId="4717" xr:uid="{8D14129E-6721-4D8E-AC12-1CB74F094712}"/>
    <cellStyle name="Comma 285 4 2" xfId="9893" xr:uid="{9A2AFBC5-91CF-4FEA-92E7-65AF69245AA9}"/>
    <cellStyle name="Comma 285 4 2 2" xfId="20245" xr:uid="{62C3DBE6-E7F2-4F50-A314-E535C3B03367}"/>
    <cellStyle name="Comma 285 4 3" xfId="15069" xr:uid="{1DF91D4F-A21A-49B6-AB2B-EDDCDFCE0139}"/>
    <cellStyle name="Comma 285 5" xfId="5765" xr:uid="{2CCB44A3-C6E1-477B-9CE0-219399A96508}"/>
    <cellStyle name="Comma 285 5 2" xfId="16117" xr:uid="{A83FD215-DEFE-4D5C-B392-44EFBB85CF2E}"/>
    <cellStyle name="Comma 285 6" xfId="10943" xr:uid="{2D4959E7-05C6-4C3A-A1C8-185AEE501354}"/>
    <cellStyle name="Comma 286" xfId="526" xr:uid="{5CA8EBF8-2B13-40A4-81E2-2145A79B91FD}"/>
    <cellStyle name="Comma 286 2" xfId="1564" xr:uid="{76465CFA-092E-495F-97E0-1BF90E74AFBB}"/>
    <cellStyle name="Comma 286 2 2" xfId="3622" xr:uid="{A3946C9C-D159-48A2-8BED-83E3CE177DFE}"/>
    <cellStyle name="Comma 286 2 2 2" xfId="8855" xr:uid="{51B648DE-25E2-42E1-B675-9E426CC04963}"/>
    <cellStyle name="Comma 286 2 2 2 2" xfId="19207" xr:uid="{F73C17B8-A4FE-46C3-9DED-F5BC5E0B2E92}"/>
    <cellStyle name="Comma 286 2 2 3" xfId="14032" xr:uid="{14397807-8C6F-4D5E-90FA-9064B748D32F}"/>
    <cellStyle name="Comma 286 2 3" xfId="6797" xr:uid="{66AF414A-4BD8-4AB7-AEE1-626074AAC9EA}"/>
    <cellStyle name="Comma 286 2 3 2" xfId="17149" xr:uid="{26CD9486-F0E5-40C5-9A6C-E824DCCA1030}"/>
    <cellStyle name="Comma 286 2 4" xfId="11974" xr:uid="{1121922E-7DEB-4AFB-94CD-707769E0D98E}"/>
    <cellStyle name="Comma 286 3" xfId="2592" xr:uid="{6065D419-98A8-4AEA-8A8E-51BB7A707BCC}"/>
    <cellStyle name="Comma 286 3 2" xfId="7825" xr:uid="{8F40C456-C5F2-4412-B66F-962ED9593C52}"/>
    <cellStyle name="Comma 286 3 2 2" xfId="18177" xr:uid="{0C342347-4459-43C5-BCCF-1B285965E846}"/>
    <cellStyle name="Comma 286 3 3" xfId="13002" xr:uid="{3D3B861C-D77D-4312-B36E-733758944BEE}"/>
    <cellStyle name="Comma 286 4" xfId="4718" xr:uid="{D9E61179-C222-49F6-AD5C-FEB8010B1A78}"/>
    <cellStyle name="Comma 286 4 2" xfId="9894" xr:uid="{E13D4880-A669-4AE1-B5CF-AFDADFB33C5C}"/>
    <cellStyle name="Comma 286 4 2 2" xfId="20246" xr:uid="{33E4C8C8-9678-4A9A-9E2E-44C06E5885D8}"/>
    <cellStyle name="Comma 286 4 3" xfId="15070" xr:uid="{10CC58F0-782A-4CAE-A5C9-56D26380A2D9}"/>
    <cellStyle name="Comma 286 5" xfId="5766" xr:uid="{0CEEC9DD-2660-41B1-9F4F-C4E15ED89089}"/>
    <cellStyle name="Comma 286 5 2" xfId="16118" xr:uid="{B40C588C-9E17-4DB0-B281-41443FE9FAE3}"/>
    <cellStyle name="Comma 286 6" xfId="10944" xr:uid="{D7C1E451-FEA1-4D05-BCB5-94E2884BE260}"/>
    <cellStyle name="Comma 287" xfId="527" xr:uid="{67F04A28-2BD5-459C-B64A-3F9D3F4BC940}"/>
    <cellStyle name="Comma 287 2" xfId="1565" xr:uid="{E523D818-F1E4-4478-A900-8398F7FE39C0}"/>
    <cellStyle name="Comma 287 2 2" xfId="3623" xr:uid="{633F9334-F861-4543-8656-64F75094B1F1}"/>
    <cellStyle name="Comma 287 2 2 2" xfId="8856" xr:uid="{80EBFF7D-005E-494B-BDCC-F0C44391A8E6}"/>
    <cellStyle name="Comma 287 2 2 2 2" xfId="19208" xr:uid="{06E8ED2F-A3DF-4C1E-A10E-2A596F363680}"/>
    <cellStyle name="Comma 287 2 2 3" xfId="14033" xr:uid="{10876BC4-DF01-474E-9AB7-BD8B719AC760}"/>
    <cellStyle name="Comma 287 2 3" xfId="6798" xr:uid="{B6699C60-FB19-4BBF-9007-DCEDCFCD157A}"/>
    <cellStyle name="Comma 287 2 3 2" xfId="17150" xr:uid="{124A1BBD-2F79-46C1-86B5-F1F251C4FD70}"/>
    <cellStyle name="Comma 287 2 4" xfId="11975" xr:uid="{9DBE28A6-A884-4533-AB51-7CD9A3D94F32}"/>
    <cellStyle name="Comma 287 3" xfId="2593" xr:uid="{00227867-C7A9-4DB8-991A-EB62B75072E1}"/>
    <cellStyle name="Comma 287 3 2" xfId="7826" xr:uid="{5254E5B6-EDAA-4A15-9DA6-B603E6E9A3CA}"/>
    <cellStyle name="Comma 287 3 2 2" xfId="18178" xr:uid="{1C110DD2-33F6-429A-A84B-B66800638A1B}"/>
    <cellStyle name="Comma 287 3 3" xfId="13003" xr:uid="{F6F57D76-2B98-42C6-BFD6-9E5D99285AF8}"/>
    <cellStyle name="Comma 287 4" xfId="4719" xr:uid="{9C6AE282-EE98-4ABC-8C02-BA48E640A83A}"/>
    <cellStyle name="Comma 287 4 2" xfId="9895" xr:uid="{30D84BBF-49CA-4D83-88EB-03071EDC6592}"/>
    <cellStyle name="Comma 287 4 2 2" xfId="20247" xr:uid="{1F740A94-1725-4D51-A911-9D8203DBE82C}"/>
    <cellStyle name="Comma 287 4 3" xfId="15071" xr:uid="{F299DAD6-5E8B-4EFC-B80C-B539BA11FC02}"/>
    <cellStyle name="Comma 287 5" xfId="5767" xr:uid="{D48329CE-E730-493F-BCA3-E770B0488B7D}"/>
    <cellStyle name="Comma 287 5 2" xfId="16119" xr:uid="{2781874E-B40E-43C4-AC56-B0F4875EF1B7}"/>
    <cellStyle name="Comma 287 6" xfId="10945" xr:uid="{4E06311B-74E2-4EE7-B8E5-953E04EE888A}"/>
    <cellStyle name="Comma 288" xfId="528" xr:uid="{4CD260A2-E0D4-4CCA-92BA-02008EA506FD}"/>
    <cellStyle name="Comma 288 2" xfId="1566" xr:uid="{59ABCA6F-3AB7-4323-A58E-7A638D7FFDF2}"/>
    <cellStyle name="Comma 288 2 2" xfId="3624" xr:uid="{BE0DE7B3-D9DF-442F-BC87-801281D86CEA}"/>
    <cellStyle name="Comma 288 2 2 2" xfId="8857" xr:uid="{636AB559-07FE-412E-B4E8-F4AE8F6EAD60}"/>
    <cellStyle name="Comma 288 2 2 2 2" xfId="19209" xr:uid="{5C56401A-0A7D-49B3-BDB8-CDF692A08AEB}"/>
    <cellStyle name="Comma 288 2 2 3" xfId="14034" xr:uid="{BE00DAC0-DEAD-45A4-9C67-5117D2424583}"/>
    <cellStyle name="Comma 288 2 3" xfId="6799" xr:uid="{3668A493-B3F7-40A1-96DF-DB9016172C45}"/>
    <cellStyle name="Comma 288 2 3 2" xfId="17151" xr:uid="{A7C69DF6-5EA4-4364-A3C5-2847D9F8BC4F}"/>
    <cellStyle name="Comma 288 2 4" xfId="11976" xr:uid="{EBFE5C69-E6B5-4BEB-975C-3D858136AEC4}"/>
    <cellStyle name="Comma 288 3" xfId="2594" xr:uid="{1DA7E453-BABE-43FF-A9BD-FA6E0BF5BED7}"/>
    <cellStyle name="Comma 288 3 2" xfId="7827" xr:uid="{A2E9D2CF-9252-4263-B740-E7107F4B8BDB}"/>
    <cellStyle name="Comma 288 3 2 2" xfId="18179" xr:uid="{1B4E837B-2F7E-4651-934B-7348235E3D06}"/>
    <cellStyle name="Comma 288 3 3" xfId="13004" xr:uid="{F883F118-DA71-4B3E-BEC9-C35F9D9C66DF}"/>
    <cellStyle name="Comma 288 4" xfId="4720" xr:uid="{5444C410-9260-4687-980C-01DDB7A2114E}"/>
    <cellStyle name="Comma 288 4 2" xfId="9896" xr:uid="{F4B7C6AB-A438-4870-A3BE-9C8C8B549E5E}"/>
    <cellStyle name="Comma 288 4 2 2" xfId="20248" xr:uid="{C81AEFE9-206C-4E1E-832D-FC3FD9545A70}"/>
    <cellStyle name="Comma 288 4 3" xfId="15072" xr:uid="{2AECEDDA-6452-4095-ABC7-2CCCEE1070A6}"/>
    <cellStyle name="Comma 288 5" xfId="5768" xr:uid="{7751FCB1-3A4A-47BF-9746-ABA4A0D62D69}"/>
    <cellStyle name="Comma 288 5 2" xfId="16120" xr:uid="{7BE88B46-FA55-48BB-B951-1556F3173176}"/>
    <cellStyle name="Comma 288 6" xfId="10946" xr:uid="{965CB0B6-6098-4D45-ACB0-69736125D618}"/>
    <cellStyle name="Comma 289" xfId="529" xr:uid="{566AD59D-67EB-4429-B1CD-7654DC31C414}"/>
    <cellStyle name="Comma 289 2" xfId="1567" xr:uid="{FE25765C-5DB9-4BD8-A71D-CCE283ADC57F}"/>
    <cellStyle name="Comma 289 2 2" xfId="3625" xr:uid="{D2EE1662-3E44-4219-A66A-2DA89071D76D}"/>
    <cellStyle name="Comma 289 2 2 2" xfId="8858" xr:uid="{2FA9BDB5-FD43-4D5E-826A-A108CA305366}"/>
    <cellStyle name="Comma 289 2 2 2 2" xfId="19210" xr:uid="{530D1929-C0F3-4220-9130-4C6B0E47112F}"/>
    <cellStyle name="Comma 289 2 2 3" xfId="14035" xr:uid="{EFFF25CE-2C10-4A06-BC1E-DF9142C3B965}"/>
    <cellStyle name="Comma 289 2 3" xfId="6800" xr:uid="{E1CD68DC-2CFC-411A-960C-8D18D1C3A67D}"/>
    <cellStyle name="Comma 289 2 3 2" xfId="17152" xr:uid="{B511EC9F-3308-4EE0-BF2A-7ED3675BBCB5}"/>
    <cellStyle name="Comma 289 2 4" xfId="11977" xr:uid="{010A8A61-4F9E-4717-A0FD-9F627D3CEF4C}"/>
    <cellStyle name="Comma 289 3" xfId="2595" xr:uid="{3C72AFD3-87A5-44B6-88CB-93BCEB52B07A}"/>
    <cellStyle name="Comma 289 3 2" xfId="7828" xr:uid="{4663935B-2BF8-4BBA-A1C7-1EC21A06BE1A}"/>
    <cellStyle name="Comma 289 3 2 2" xfId="18180" xr:uid="{63319F53-F4F1-4A62-B700-1277F8CFE3D6}"/>
    <cellStyle name="Comma 289 3 3" xfId="13005" xr:uid="{E7BF2925-EACA-4027-B8B7-8410CEF69326}"/>
    <cellStyle name="Comma 289 4" xfId="4721" xr:uid="{E654BE1A-1FFB-45BD-B7BD-EF32850D7A5B}"/>
    <cellStyle name="Comma 289 4 2" xfId="9897" xr:uid="{06448947-3024-49DD-A870-83295E9611DE}"/>
    <cellStyle name="Comma 289 4 2 2" xfId="20249" xr:uid="{A59DB3C2-2F4B-498F-87AE-2021831421C5}"/>
    <cellStyle name="Comma 289 4 3" xfId="15073" xr:uid="{00F7DC27-CF3D-4368-9703-45EF6FD5E25E}"/>
    <cellStyle name="Comma 289 5" xfId="5769" xr:uid="{3FC750CD-6420-41B1-9835-963481329BF5}"/>
    <cellStyle name="Comma 289 5 2" xfId="16121" xr:uid="{5C317AC0-8AA1-418F-AA61-13C1B098BB2A}"/>
    <cellStyle name="Comma 289 6" xfId="10947" xr:uid="{695CB76F-FAF3-45F9-8AEA-216BBD8CF854}"/>
    <cellStyle name="Comma 29" xfId="220" xr:uid="{6C11BF91-DBC8-4105-AD01-C515080A20C5}"/>
    <cellStyle name="Comma 29 2" xfId="1306" xr:uid="{B336D3C7-3DAD-405F-8183-6F3703C57F2D}"/>
    <cellStyle name="Comma 29 2 2" xfId="3364" xr:uid="{CBF87C08-5583-4723-85A9-DB24C2389AE8}"/>
    <cellStyle name="Comma 29 2 2 2" xfId="8597" xr:uid="{F294EFEC-10E3-40CA-856F-BDE894BFFB44}"/>
    <cellStyle name="Comma 29 2 2 2 2" xfId="18949" xr:uid="{96A66DD3-620D-460D-B0E5-B568474D8194}"/>
    <cellStyle name="Comma 29 2 2 3" xfId="13774" xr:uid="{D7D76053-3DCA-4081-A0F5-79A885DF5D10}"/>
    <cellStyle name="Comma 29 2 3" xfId="6539" xr:uid="{08B4CDAA-D9B1-4E95-A762-5DA987EF6E96}"/>
    <cellStyle name="Comma 29 2 3 2" xfId="16891" xr:uid="{ECA3E4AC-A582-4A99-AEE9-A9DCAB79989D}"/>
    <cellStyle name="Comma 29 2 4" xfId="11716" xr:uid="{E0987EC8-4F22-4D3F-837A-AB5FCC503EBE}"/>
    <cellStyle name="Comma 29 3" xfId="2334" xr:uid="{2C0A9DFF-A7EA-4FF8-8751-1C295601C598}"/>
    <cellStyle name="Comma 29 3 2" xfId="7567" xr:uid="{5FC95352-44D1-499A-8E83-0B953A3804C0}"/>
    <cellStyle name="Comma 29 3 2 2" xfId="17919" xr:uid="{D470ECCA-7DE3-4560-AD71-7DF009E73B17}"/>
    <cellStyle name="Comma 29 3 3" xfId="12744" xr:uid="{4F0165B9-2046-45A6-BE7A-09C5DA0331EE}"/>
    <cellStyle name="Comma 29 4" xfId="4460" xr:uid="{7BF738C1-300C-4B3F-9F7E-2FC62B33CFA1}"/>
    <cellStyle name="Comma 29 4 2" xfId="9636" xr:uid="{AB7C7A9A-5706-4D08-A6FD-97066A7C1A49}"/>
    <cellStyle name="Comma 29 4 2 2" xfId="19988" xr:uid="{91EEF5F8-850F-4528-8C4B-23C027339199}"/>
    <cellStyle name="Comma 29 4 3" xfId="14812" xr:uid="{AE2223A3-D0BD-41C7-9977-692A5A5063BE}"/>
    <cellStyle name="Comma 29 5" xfId="5508" xr:uid="{7BDF46B7-E403-457F-A4BA-BA0E61E1A480}"/>
    <cellStyle name="Comma 29 5 2" xfId="15860" xr:uid="{DDA66310-AAF2-4475-9836-17CD9A763854}"/>
    <cellStyle name="Comma 29 6" xfId="10686" xr:uid="{F7DD9F04-F392-4FAA-9E6A-A19506C4FF5F}"/>
    <cellStyle name="Comma 290" xfId="530" xr:uid="{443DBEF3-0B50-4FD9-9E19-1BD6C072AFB1}"/>
    <cellStyle name="Comma 290 2" xfId="1568" xr:uid="{1DEFAE1D-A0F0-47C9-82EF-DBB3F7EBB090}"/>
    <cellStyle name="Comma 290 2 2" xfId="3626" xr:uid="{0EB8FB1B-4120-4658-A867-388F6461083A}"/>
    <cellStyle name="Comma 290 2 2 2" xfId="8859" xr:uid="{79538D88-D5FB-4E45-9275-69A75BC129C8}"/>
    <cellStyle name="Comma 290 2 2 2 2" xfId="19211" xr:uid="{9CFD99CB-707D-401A-8692-20CC47087F91}"/>
    <cellStyle name="Comma 290 2 2 3" xfId="14036" xr:uid="{05EB89CF-A5BC-40ED-9545-9646340500F3}"/>
    <cellStyle name="Comma 290 2 3" xfId="6801" xr:uid="{EBB08A19-006A-4339-BDE3-CA7CB750C62F}"/>
    <cellStyle name="Comma 290 2 3 2" xfId="17153" xr:uid="{0ADA9B66-EC01-41DE-BE77-1F08A8485702}"/>
    <cellStyle name="Comma 290 2 4" xfId="11978" xr:uid="{A0F5070D-CED9-4267-B1D2-C6187894F769}"/>
    <cellStyle name="Comma 290 3" xfId="2596" xr:uid="{436A20D0-4A76-46BE-91AC-DFEA88DC0DC3}"/>
    <cellStyle name="Comma 290 3 2" xfId="7829" xr:uid="{A9C64F52-EAB1-497C-83A7-62D533007917}"/>
    <cellStyle name="Comma 290 3 2 2" xfId="18181" xr:uid="{4D5968C6-2EDC-48CF-8D62-890F82A5CA69}"/>
    <cellStyle name="Comma 290 3 3" xfId="13006" xr:uid="{A1642764-A138-4616-B207-D38FCAEF0F79}"/>
    <cellStyle name="Comma 290 4" xfId="4722" xr:uid="{E45DED1C-90D1-4A55-97E0-03248DB96B46}"/>
    <cellStyle name="Comma 290 4 2" xfId="9898" xr:uid="{868DE818-1636-4E04-AC55-FCD13FFCDE89}"/>
    <cellStyle name="Comma 290 4 2 2" xfId="20250" xr:uid="{E69CAD9E-B3C6-4F15-8F04-D75BF235806A}"/>
    <cellStyle name="Comma 290 4 3" xfId="15074" xr:uid="{3A840DEC-73DF-45BB-967A-F476965848B4}"/>
    <cellStyle name="Comma 290 5" xfId="5770" xr:uid="{074D1922-0F2A-45CD-A199-33FF28AF893E}"/>
    <cellStyle name="Comma 290 5 2" xfId="16122" xr:uid="{721FC910-64BD-4EB5-90BE-BF8EA76CD25B}"/>
    <cellStyle name="Comma 290 6" xfId="10948" xr:uid="{C7D5F1B3-4E0B-4120-8065-2BCB00AF2167}"/>
    <cellStyle name="Comma 291" xfId="531" xr:uid="{2784211C-DE15-4A4C-AA7E-D8320B3BB3EB}"/>
    <cellStyle name="Comma 291 2" xfId="1569" xr:uid="{4B1520D8-B1DD-4B83-958F-900F630C7C22}"/>
    <cellStyle name="Comma 291 2 2" xfId="3627" xr:uid="{4931411B-5A1D-4F49-A618-049423FD0081}"/>
    <cellStyle name="Comma 291 2 2 2" xfId="8860" xr:uid="{519000F6-EB7C-4EBD-A506-868F3E9F33E1}"/>
    <cellStyle name="Comma 291 2 2 2 2" xfId="19212" xr:uid="{DEE5D09C-0CF0-42D2-8FE4-B69C1EDB3106}"/>
    <cellStyle name="Comma 291 2 2 3" xfId="14037" xr:uid="{55707E81-BA90-4A49-A5FB-47E67B811295}"/>
    <cellStyle name="Comma 291 2 3" xfId="6802" xr:uid="{B3D76CBE-6D44-4DF6-AC81-799F756BFC9C}"/>
    <cellStyle name="Comma 291 2 3 2" xfId="17154" xr:uid="{366A4E25-7721-43B8-9190-3E502520117D}"/>
    <cellStyle name="Comma 291 2 4" xfId="11979" xr:uid="{21104DAE-67AE-4C1B-BC8D-4403AD612A18}"/>
    <cellStyle name="Comma 291 3" xfId="2597" xr:uid="{288832E0-A2C6-4BEC-B106-A492015061B3}"/>
    <cellStyle name="Comma 291 3 2" xfId="7830" xr:uid="{D742124B-5906-4ADD-8D8D-817366F3E2DF}"/>
    <cellStyle name="Comma 291 3 2 2" xfId="18182" xr:uid="{D4E549B0-A425-41D0-BB1C-B1BA00FF7EE2}"/>
    <cellStyle name="Comma 291 3 3" xfId="13007" xr:uid="{23B3C946-3D31-4C1C-AD97-D7A7F945DDAB}"/>
    <cellStyle name="Comma 291 4" xfId="4723" xr:uid="{DF665563-0FB5-400C-9222-43B8D4EC48FE}"/>
    <cellStyle name="Comma 291 4 2" xfId="9899" xr:uid="{068F019C-1423-42CB-985B-DE61DCE388EF}"/>
    <cellStyle name="Comma 291 4 2 2" xfId="20251" xr:uid="{B69757E9-37AE-44C3-B175-1120487B0DAE}"/>
    <cellStyle name="Comma 291 4 3" xfId="15075" xr:uid="{9062207E-C155-42EB-95AD-8BFCA1B2BDE9}"/>
    <cellStyle name="Comma 291 5" xfId="5771" xr:uid="{3B19BAB6-47BA-4011-A8E4-D96205E3A17A}"/>
    <cellStyle name="Comma 291 5 2" xfId="16123" xr:uid="{82BA106E-3E47-4CC0-BB07-658C86AD27BD}"/>
    <cellStyle name="Comma 291 6" xfId="10949" xr:uid="{C8A77515-2B76-4282-AED1-6CA2FE65D116}"/>
    <cellStyle name="Comma 292" xfId="532" xr:uid="{4843B861-8D30-4BE5-BDA4-37E4E356277C}"/>
    <cellStyle name="Comma 292 2" xfId="1570" xr:uid="{426B21FF-4490-4044-8E13-218876D5D2C3}"/>
    <cellStyle name="Comma 292 2 2" xfId="3628" xr:uid="{6536CE5C-4553-4D2C-9B5A-815EE53DE48A}"/>
    <cellStyle name="Comma 292 2 2 2" xfId="8861" xr:uid="{8AFAAA1A-D662-47C2-83E9-9A6F774717F7}"/>
    <cellStyle name="Comma 292 2 2 2 2" xfId="19213" xr:uid="{84129023-9AA8-4CA0-AD94-99C3EA153609}"/>
    <cellStyle name="Comma 292 2 2 3" xfId="14038" xr:uid="{929D4C10-B5DD-453F-BBD9-D146CDC99E88}"/>
    <cellStyle name="Comma 292 2 3" xfId="6803" xr:uid="{97C8EDA7-D06B-460B-9348-A38EF3EF5254}"/>
    <cellStyle name="Comma 292 2 3 2" xfId="17155" xr:uid="{B24D1366-E299-4994-8622-8C485D7B3086}"/>
    <cellStyle name="Comma 292 2 4" xfId="11980" xr:uid="{4DC4EAE3-B153-4C82-BD3D-4BA716E25625}"/>
    <cellStyle name="Comma 292 3" xfId="2598" xr:uid="{912A6EE1-80BE-4090-9561-07DC8CAD966E}"/>
    <cellStyle name="Comma 292 3 2" xfId="7831" xr:uid="{6769D9ED-E097-494E-9701-68D9E70EB622}"/>
    <cellStyle name="Comma 292 3 2 2" xfId="18183" xr:uid="{56D19AD6-6BA0-458C-B548-932082EB052D}"/>
    <cellStyle name="Comma 292 3 3" xfId="13008" xr:uid="{1FC44917-82D0-4888-9A61-2216B6959D27}"/>
    <cellStyle name="Comma 292 4" xfId="4724" xr:uid="{0528209C-A2E9-418D-B649-F472428853E8}"/>
    <cellStyle name="Comma 292 4 2" xfId="9900" xr:uid="{3E713D21-1E2E-42EE-894E-83AA25A72248}"/>
    <cellStyle name="Comma 292 4 2 2" xfId="20252" xr:uid="{47EAC2CE-501B-4149-85AB-701472896396}"/>
    <cellStyle name="Comma 292 4 3" xfId="15076" xr:uid="{00D331E4-60E0-4350-8601-ADE033FD9A4D}"/>
    <cellStyle name="Comma 292 5" xfId="5772" xr:uid="{C1F894B6-4DF7-432D-84D2-133B1D1D8FA9}"/>
    <cellStyle name="Comma 292 5 2" xfId="16124" xr:uid="{0D9CF8D3-FA73-49A0-932F-1C25CCA2F275}"/>
    <cellStyle name="Comma 292 6" xfId="10950" xr:uid="{F8FED7F5-48E0-4A3D-A7F0-A7B84C4204E4}"/>
    <cellStyle name="Comma 293" xfId="533" xr:uid="{E553E160-C12E-443C-A1AF-2356362A8E0F}"/>
    <cellStyle name="Comma 293 2" xfId="1571" xr:uid="{CCDB7664-499E-4C7F-A4DB-9720AFEDC432}"/>
    <cellStyle name="Comma 293 2 2" xfId="3629" xr:uid="{F28E80A5-450B-4E0A-BE08-5C0031F93B19}"/>
    <cellStyle name="Comma 293 2 2 2" xfId="8862" xr:uid="{B6F5F8D7-DD39-474D-AFA5-B8091F61B2CD}"/>
    <cellStyle name="Comma 293 2 2 2 2" xfId="19214" xr:uid="{841D5B5D-6DF3-4249-97DA-2A64CCB82078}"/>
    <cellStyle name="Comma 293 2 2 3" xfId="14039" xr:uid="{E0FE297D-F765-4C5F-A519-CAA2D029F1D6}"/>
    <cellStyle name="Comma 293 2 3" xfId="6804" xr:uid="{E0B1B1FC-CDEB-4C32-8FD0-615E975EAA07}"/>
    <cellStyle name="Comma 293 2 3 2" xfId="17156" xr:uid="{6CD4EEB1-BE6A-46A0-A7E3-D4B0E5A65587}"/>
    <cellStyle name="Comma 293 2 4" xfId="11981" xr:uid="{A7A11302-F1FF-4ED6-8F5B-11AFBA087DFD}"/>
    <cellStyle name="Comma 293 3" xfId="2599" xr:uid="{025FF40B-14FD-4BB1-8D78-3B84E61CA5A2}"/>
    <cellStyle name="Comma 293 3 2" xfId="7832" xr:uid="{B85D77F9-72A2-4B98-8B5A-B6D753DE76C2}"/>
    <cellStyle name="Comma 293 3 2 2" xfId="18184" xr:uid="{D431560D-4E61-4047-BF97-3E3513E290E9}"/>
    <cellStyle name="Comma 293 3 3" xfId="13009" xr:uid="{A2F4DA5B-6B25-497B-ABED-F5D11569722F}"/>
    <cellStyle name="Comma 293 4" xfId="4725" xr:uid="{A5DBED01-0CB8-45B4-B1B9-4CA6DA16A0AD}"/>
    <cellStyle name="Comma 293 4 2" xfId="9901" xr:uid="{07F9C836-E73F-41BF-A28B-C53654288CDF}"/>
    <cellStyle name="Comma 293 4 2 2" xfId="20253" xr:uid="{A018824F-1F73-4104-A122-8506311E725C}"/>
    <cellStyle name="Comma 293 4 3" xfId="15077" xr:uid="{7E55E1B8-0C22-48AC-A30E-B05C1CCB8F3B}"/>
    <cellStyle name="Comma 293 5" xfId="5773" xr:uid="{FC52F2ED-0D69-4249-9551-C4E8074A4911}"/>
    <cellStyle name="Comma 293 5 2" xfId="16125" xr:uid="{CD7879B3-C0C4-4924-B902-82911CF9D61C}"/>
    <cellStyle name="Comma 293 6" xfId="10951" xr:uid="{F612A0F7-F1A8-4609-8380-C8B07EE70491}"/>
    <cellStyle name="Comma 294" xfId="534" xr:uid="{DBBE0D2A-DFE2-4B95-961E-8FE5932F9D8D}"/>
    <cellStyle name="Comma 294 2" xfId="1572" xr:uid="{DCCF8299-F676-4AF5-9F37-0D53F6B30803}"/>
    <cellStyle name="Comma 294 2 2" xfId="3630" xr:uid="{D90BF484-9FD3-433F-AAEF-FB8132B276ED}"/>
    <cellStyle name="Comma 294 2 2 2" xfId="8863" xr:uid="{F522FAC6-A04B-4C89-8DA6-F903BF234955}"/>
    <cellStyle name="Comma 294 2 2 2 2" xfId="19215" xr:uid="{9A6404ED-5387-43E6-8015-9EFDD4EE8781}"/>
    <cellStyle name="Comma 294 2 2 3" xfId="14040" xr:uid="{4AA59303-C29F-4092-9A88-BCF957ACE055}"/>
    <cellStyle name="Comma 294 2 3" xfId="6805" xr:uid="{57A8B88E-B676-4D5E-8807-8384D400EA44}"/>
    <cellStyle name="Comma 294 2 3 2" xfId="17157" xr:uid="{9C6CB9C5-C4E9-433A-BB07-AD663A36474C}"/>
    <cellStyle name="Comma 294 2 4" xfId="11982" xr:uid="{57B0BF5C-7951-4DE1-8A27-137859553230}"/>
    <cellStyle name="Comma 294 3" xfId="2600" xr:uid="{40BC9F1C-C03F-4CD5-A3C1-F8E00AF3ABC6}"/>
    <cellStyle name="Comma 294 3 2" xfId="7833" xr:uid="{D097B8BA-2A36-4074-88E9-24FC9B2B93EA}"/>
    <cellStyle name="Comma 294 3 2 2" xfId="18185" xr:uid="{81AF4429-5038-48DB-92D9-B8F3BA70AFDA}"/>
    <cellStyle name="Comma 294 3 3" xfId="13010" xr:uid="{30FDB356-A0F4-4CA9-98A6-CEE9C56873EB}"/>
    <cellStyle name="Comma 294 4" xfId="4726" xr:uid="{6A6DFA39-D755-4594-AE8C-1907D114AC9C}"/>
    <cellStyle name="Comma 294 4 2" xfId="9902" xr:uid="{5D6C79BC-2544-460D-988C-0B20BB886EC0}"/>
    <cellStyle name="Comma 294 4 2 2" xfId="20254" xr:uid="{C6A5CB12-2964-4969-8E0C-97A531EF3CE3}"/>
    <cellStyle name="Comma 294 4 3" xfId="15078" xr:uid="{1872DBD0-0330-4D33-9291-429A40FB64E3}"/>
    <cellStyle name="Comma 294 5" xfId="5774" xr:uid="{9F236DA3-2772-43A6-A8C6-8D8BE1656C6A}"/>
    <cellStyle name="Comma 294 5 2" xfId="16126" xr:uid="{B1704556-6C8E-4E63-B793-8F60035AB46C}"/>
    <cellStyle name="Comma 294 6" xfId="10952" xr:uid="{2A9C437F-E761-4335-A03B-1BD463F1E5F6}"/>
    <cellStyle name="Comma 295" xfId="535" xr:uid="{CC310A86-DF5E-4CE1-905B-E63B68309E4D}"/>
    <cellStyle name="Comma 295 2" xfId="1573" xr:uid="{7C57B3AE-AAB4-416E-9AE4-ECC58C23AE84}"/>
    <cellStyle name="Comma 295 2 2" xfId="3631" xr:uid="{89BB2699-288E-48A1-B9C8-21538EE62A4B}"/>
    <cellStyle name="Comma 295 2 2 2" xfId="8864" xr:uid="{BB3F8DCC-FC95-4935-961A-01B8EAA2C1D2}"/>
    <cellStyle name="Comma 295 2 2 2 2" xfId="19216" xr:uid="{646B68FA-5910-467B-9552-7FF983086C6B}"/>
    <cellStyle name="Comma 295 2 2 3" xfId="14041" xr:uid="{0BC0CDD9-1D32-4BBA-8571-41EBFE9718BE}"/>
    <cellStyle name="Comma 295 2 3" xfId="6806" xr:uid="{994CFAFA-73DF-4583-96A9-2B72B9EA7778}"/>
    <cellStyle name="Comma 295 2 3 2" xfId="17158" xr:uid="{DA0DE701-D5B7-4F69-AE1C-C8126BCEACD9}"/>
    <cellStyle name="Comma 295 2 4" xfId="11983" xr:uid="{D34B4AD7-B2CD-40EC-A571-47A879D57CF5}"/>
    <cellStyle name="Comma 295 3" xfId="2601" xr:uid="{ECDFBD1F-41FD-42ED-A742-686F86FA9C1C}"/>
    <cellStyle name="Comma 295 3 2" xfId="7834" xr:uid="{EAF0524A-3586-49B8-B970-CB6A48099EED}"/>
    <cellStyle name="Comma 295 3 2 2" xfId="18186" xr:uid="{B96DAA2B-8461-4EF6-A5BD-2CCD3252FD72}"/>
    <cellStyle name="Comma 295 3 3" xfId="13011" xr:uid="{ECA00EC6-8B23-4752-BC6F-06A10D6DEC2E}"/>
    <cellStyle name="Comma 295 4" xfId="4727" xr:uid="{847AD7BD-5C31-42D2-8C8D-5304F6566D33}"/>
    <cellStyle name="Comma 295 4 2" xfId="9903" xr:uid="{4C742E9C-27AD-4F7E-8A99-5303126DF4AB}"/>
    <cellStyle name="Comma 295 4 2 2" xfId="20255" xr:uid="{529B15F1-A4F2-46FE-A0FC-EDD3556ADB6F}"/>
    <cellStyle name="Comma 295 4 3" xfId="15079" xr:uid="{0DA9FEBE-39C0-4F19-860A-6715F45F9064}"/>
    <cellStyle name="Comma 295 5" xfId="5775" xr:uid="{F6BE3FAC-A697-4839-85B2-62E62119C308}"/>
    <cellStyle name="Comma 295 5 2" xfId="16127" xr:uid="{B4059086-034D-4A64-A813-4987AB937603}"/>
    <cellStyle name="Comma 295 6" xfId="10953" xr:uid="{5EB5C5F9-29D5-4634-AA4B-2844BA386C2B}"/>
    <cellStyle name="Comma 296" xfId="536" xr:uid="{79BEFBC8-4BE9-4359-9AC4-9DE0B48A8580}"/>
    <cellStyle name="Comma 296 2" xfId="1574" xr:uid="{54FCFF14-4303-4541-B7F5-22C16B81C6FC}"/>
    <cellStyle name="Comma 296 2 2" xfId="3632" xr:uid="{CEDFC768-4BA2-4154-B19B-D792590878B6}"/>
    <cellStyle name="Comma 296 2 2 2" xfId="8865" xr:uid="{49677054-1DB4-47B3-BA8E-F8E3C45B684E}"/>
    <cellStyle name="Comma 296 2 2 2 2" xfId="19217" xr:uid="{19C0248E-888B-4459-A511-251877A48836}"/>
    <cellStyle name="Comma 296 2 2 3" xfId="14042" xr:uid="{BBE020E9-7ED4-4EBA-A460-5CA8EA8A326C}"/>
    <cellStyle name="Comma 296 2 3" xfId="6807" xr:uid="{D83C20C5-5520-4A30-A269-B2D5ED8DCF2D}"/>
    <cellStyle name="Comma 296 2 3 2" xfId="17159" xr:uid="{E27BF2CD-965D-434F-BD4C-C30434C7EA19}"/>
    <cellStyle name="Comma 296 2 4" xfId="11984" xr:uid="{B2930726-EE25-4EDD-91F0-7DF8FB57E1F7}"/>
    <cellStyle name="Comma 296 3" xfId="2602" xr:uid="{1AAB30A0-6D46-42C3-A38F-A8D43165BC07}"/>
    <cellStyle name="Comma 296 3 2" xfId="7835" xr:uid="{E6EAE329-7CBF-4DA6-9798-B5106555B025}"/>
    <cellStyle name="Comma 296 3 2 2" xfId="18187" xr:uid="{FF149180-FC0E-479C-8E5F-416CEB38AF8C}"/>
    <cellStyle name="Comma 296 3 3" xfId="13012" xr:uid="{C766C5D1-B846-4374-8988-8F7C7C3502DF}"/>
    <cellStyle name="Comma 296 4" xfId="4728" xr:uid="{29E5FB65-EA1C-4780-BF8F-2F53EFC14B69}"/>
    <cellStyle name="Comma 296 4 2" xfId="9904" xr:uid="{F980C6F5-BCF6-43AE-873D-4819897AA52B}"/>
    <cellStyle name="Comma 296 4 2 2" xfId="20256" xr:uid="{D52B5E0D-B9B5-446A-9136-A8A494AA2F4A}"/>
    <cellStyle name="Comma 296 4 3" xfId="15080" xr:uid="{C43C7758-3844-4B7D-90AC-8425EC0B770B}"/>
    <cellStyle name="Comma 296 5" xfId="5776" xr:uid="{E1471176-E102-4F03-9C4A-E8F6E8286374}"/>
    <cellStyle name="Comma 296 5 2" xfId="16128" xr:uid="{6E86B350-0F37-4A16-BB15-AF7DEC6A90EA}"/>
    <cellStyle name="Comma 296 6" xfId="10954" xr:uid="{79F7FC74-297E-4C91-8FF7-A27F5A0A1BEF}"/>
    <cellStyle name="Comma 297" xfId="537" xr:uid="{8860C7A3-BC10-4F4D-815B-4F837D657958}"/>
    <cellStyle name="Comma 297 2" xfId="1575" xr:uid="{D3AB8D06-77C0-4313-B05C-4CC89D3A3B81}"/>
    <cellStyle name="Comma 297 2 2" xfId="3633" xr:uid="{E43C17F8-866C-49EF-B1DB-BBCFEA95A5A2}"/>
    <cellStyle name="Comma 297 2 2 2" xfId="8866" xr:uid="{6DF9B9A2-B501-4486-A977-117AD4D24FF7}"/>
    <cellStyle name="Comma 297 2 2 2 2" xfId="19218" xr:uid="{7A04EFD9-54B8-48E3-B2FC-EE57B77AD90D}"/>
    <cellStyle name="Comma 297 2 2 3" xfId="14043" xr:uid="{1A0C43A8-05A5-4EF0-816A-4DC64E3A6EB4}"/>
    <cellStyle name="Comma 297 2 3" xfId="6808" xr:uid="{3CFFFB01-545A-41B2-ACBE-4453FEE1BEF5}"/>
    <cellStyle name="Comma 297 2 3 2" xfId="17160" xr:uid="{C7063AC6-8B31-4DAF-BF88-9B0BFDBC0ECA}"/>
    <cellStyle name="Comma 297 2 4" xfId="11985" xr:uid="{7688DC1E-4BE6-4F03-9111-863C359DA664}"/>
    <cellStyle name="Comma 297 3" xfId="2603" xr:uid="{496ECD53-C1C9-4DFE-924B-0745BD0F20C5}"/>
    <cellStyle name="Comma 297 3 2" xfId="7836" xr:uid="{1E3B8236-03BF-4998-B3BD-CE5569123562}"/>
    <cellStyle name="Comma 297 3 2 2" xfId="18188" xr:uid="{AE5B54B2-5826-4BC5-A6BC-B6BC1F9D566A}"/>
    <cellStyle name="Comma 297 3 3" xfId="13013" xr:uid="{A97E8EFE-1097-48FD-AD5A-77B39C0906DA}"/>
    <cellStyle name="Comma 297 4" xfId="4729" xr:uid="{80EBAAE2-8E52-434C-94B1-B36AED2593A1}"/>
    <cellStyle name="Comma 297 4 2" xfId="9905" xr:uid="{F45B93A7-2559-4E6B-BFD7-5E503055B129}"/>
    <cellStyle name="Comma 297 4 2 2" xfId="20257" xr:uid="{00E650F3-37AC-4435-9E33-706695C1C591}"/>
    <cellStyle name="Comma 297 4 3" xfId="15081" xr:uid="{853A21B8-7F6B-47C0-8FA4-04115B2AC9FE}"/>
    <cellStyle name="Comma 297 5" xfId="5777" xr:uid="{6F90CC69-196F-4786-919D-3E4BD2FAC360}"/>
    <cellStyle name="Comma 297 5 2" xfId="16129" xr:uid="{2AC1066D-6DC9-48D7-8637-E60D0ED6894F}"/>
    <cellStyle name="Comma 297 6" xfId="10955" xr:uid="{ADF9059F-69EA-4DDE-8A09-8AE0790C28A2}"/>
    <cellStyle name="Comma 298" xfId="538" xr:uid="{9E890DFA-396F-4561-9447-9A974A799660}"/>
    <cellStyle name="Comma 298 2" xfId="1576" xr:uid="{37570124-68F0-46D2-AED7-BAAA4E46E201}"/>
    <cellStyle name="Comma 298 2 2" xfId="3634" xr:uid="{226A9949-8A80-4F23-85B0-5A4AB8E3D4C8}"/>
    <cellStyle name="Comma 298 2 2 2" xfId="8867" xr:uid="{9FC27CD5-83BD-4713-8E95-10C84652548D}"/>
    <cellStyle name="Comma 298 2 2 2 2" xfId="19219" xr:uid="{7B2C6C0F-5599-4C60-8AA4-BEBA969412B5}"/>
    <cellStyle name="Comma 298 2 2 3" xfId="14044" xr:uid="{03C3DDC6-4EB9-4F89-93AD-4F2984342115}"/>
    <cellStyle name="Comma 298 2 3" xfId="6809" xr:uid="{D4C090F6-205F-46E9-A300-5FBBA53FD5F7}"/>
    <cellStyle name="Comma 298 2 3 2" xfId="17161" xr:uid="{AFFD40E1-6EF3-4EBE-B24A-46EB9CC36F72}"/>
    <cellStyle name="Comma 298 2 4" xfId="11986" xr:uid="{55775569-D495-4A4C-9824-E569EBF4C58D}"/>
    <cellStyle name="Comma 298 3" xfId="2604" xr:uid="{43BD4114-8A3F-4936-87A3-2BA879F3AF0E}"/>
    <cellStyle name="Comma 298 3 2" xfId="7837" xr:uid="{3B9BE117-C6A3-4EC3-8749-FAC1F21D12E4}"/>
    <cellStyle name="Comma 298 3 2 2" xfId="18189" xr:uid="{BCB71681-5041-48C4-8881-D605F5C4FB18}"/>
    <cellStyle name="Comma 298 3 3" xfId="13014" xr:uid="{EF4F9B9C-5AFC-4827-975F-A61D1DC28010}"/>
    <cellStyle name="Comma 298 4" xfId="4730" xr:uid="{25E4D8EA-6C17-494F-BB19-2B0AF548EC2D}"/>
    <cellStyle name="Comma 298 4 2" xfId="9906" xr:uid="{A8C68C54-C5A2-45D4-8728-37D9E04D9310}"/>
    <cellStyle name="Comma 298 4 2 2" xfId="20258" xr:uid="{790E24FE-36FC-4325-BA38-0CD92270D7F9}"/>
    <cellStyle name="Comma 298 4 3" xfId="15082" xr:uid="{3AEFBC01-C994-4745-9FDB-CCAFBFBD7371}"/>
    <cellStyle name="Comma 298 5" xfId="5778" xr:uid="{CF5DA435-7DCF-48D8-B408-52DC312F1344}"/>
    <cellStyle name="Comma 298 5 2" xfId="16130" xr:uid="{9208E992-EA85-4B62-A359-1334B58C6461}"/>
    <cellStyle name="Comma 298 6" xfId="10956" xr:uid="{4A02C57D-8EE7-4507-B7EA-64846004E938}"/>
    <cellStyle name="Comma 299" xfId="539" xr:uid="{E68E4A7C-B6DD-4C10-8D76-8921F5A643F2}"/>
    <cellStyle name="Comma 299 2" xfId="1577" xr:uid="{40E25484-1453-44C1-9A14-CAE987A0D55D}"/>
    <cellStyle name="Comma 299 2 2" xfId="3635" xr:uid="{52F9DAAC-E513-4BE8-BFAF-A3AD31C577DD}"/>
    <cellStyle name="Comma 299 2 2 2" xfId="8868" xr:uid="{5C643E1E-B73E-4619-8254-5F3BD2CB6470}"/>
    <cellStyle name="Comma 299 2 2 2 2" xfId="19220" xr:uid="{F36AC402-F41D-4B28-BB16-AD9A0C9BE68E}"/>
    <cellStyle name="Comma 299 2 2 3" xfId="14045" xr:uid="{39D29C65-08C2-4863-9FBE-04933B3C07C9}"/>
    <cellStyle name="Comma 299 2 3" xfId="6810" xr:uid="{751FE408-8707-4822-81D2-98F62BFAC1B1}"/>
    <cellStyle name="Comma 299 2 3 2" xfId="17162" xr:uid="{DF098E39-CCE9-413D-A364-B8C1DF33022C}"/>
    <cellStyle name="Comma 299 2 4" xfId="11987" xr:uid="{FA787AFF-7C61-400A-B97B-FE74DC897268}"/>
    <cellStyle name="Comma 299 3" xfId="2605" xr:uid="{1B9AD13C-11B7-4769-877D-D9F86A23F254}"/>
    <cellStyle name="Comma 299 3 2" xfId="7838" xr:uid="{3CC068B9-14E5-498A-A9CC-69402B21FC5C}"/>
    <cellStyle name="Comma 299 3 2 2" xfId="18190" xr:uid="{BCB3B02A-F5D4-4A07-9F94-28E186BAD2A0}"/>
    <cellStyle name="Comma 299 3 3" xfId="13015" xr:uid="{B808FA44-6091-4846-AF71-AECC82D1DB4A}"/>
    <cellStyle name="Comma 299 4" xfId="4731" xr:uid="{06FB09F3-7F63-458C-B10D-DA1CA26FFF46}"/>
    <cellStyle name="Comma 299 4 2" xfId="9907" xr:uid="{B7948756-6384-43A3-A63E-20852DD1F298}"/>
    <cellStyle name="Comma 299 4 2 2" xfId="20259" xr:uid="{6598CE26-5D00-4DE5-9B02-53CD08E58930}"/>
    <cellStyle name="Comma 299 4 3" xfId="15083" xr:uid="{7240CFA6-BC8C-4C0E-A54A-156ED6BFF341}"/>
    <cellStyle name="Comma 299 5" xfId="5779" xr:uid="{B99B2E71-8497-4B14-8795-16637BF5F9E9}"/>
    <cellStyle name="Comma 299 5 2" xfId="16131" xr:uid="{16B46C3D-C55F-4CF8-9999-4A7EB9F7A15C}"/>
    <cellStyle name="Comma 299 6" xfId="10957" xr:uid="{22632B3D-57C8-45E8-B799-9523115B5FD5}"/>
    <cellStyle name="Comma 3" xfId="70" xr:uid="{C3346164-E80B-4974-AEAD-60E90A414BA9}"/>
    <cellStyle name="Comma 3 2" xfId="71" xr:uid="{60C773DB-D108-4037-86D0-2BF7AFCBDF58}"/>
    <cellStyle name="Comma 3 2 2" xfId="1277" xr:uid="{3BFDF842-8166-4200-A1D5-8662EDB8ECC3}"/>
    <cellStyle name="Comma 3 2 2 2" xfId="3335" xr:uid="{C22735D1-3F57-4D8C-AF3B-BEC13056B447}"/>
    <cellStyle name="Comma 3 2 2 2 2" xfId="8568" xr:uid="{E9A68976-55E5-48D4-BC33-B5CD7B7F7D35}"/>
    <cellStyle name="Comma 3 2 2 2 2 2" xfId="18920" xr:uid="{BD9C5AC5-E3E0-4FF3-92FC-F037A27CF929}"/>
    <cellStyle name="Comma 3 2 2 2 3" xfId="13745" xr:uid="{CAB390BB-DE4A-4D0D-9B5B-020928E37964}"/>
    <cellStyle name="Comma 3 2 2 3" xfId="6510" xr:uid="{C2CDE11D-45A3-4C2D-807B-54B0EF2671FF}"/>
    <cellStyle name="Comma 3 2 2 3 2" xfId="16862" xr:uid="{9D806701-EC96-448D-8ED4-51361B71A149}"/>
    <cellStyle name="Comma 3 2 2 4" xfId="11687" xr:uid="{85365AC4-DE95-4AAF-99C3-1A19ABE76CD3}"/>
    <cellStyle name="Comma 3 2 3" xfId="2305" xr:uid="{6608C437-FB7F-429E-802A-E9698A5961B1}"/>
    <cellStyle name="Comma 3 2 3 2" xfId="7538" xr:uid="{5F480C35-FA65-4E0B-B5A0-8F2CFF6525EE}"/>
    <cellStyle name="Comma 3 2 3 2 2" xfId="17890" xr:uid="{3CF3CEC6-79D4-4997-BE4D-14965D259B93}"/>
    <cellStyle name="Comma 3 2 3 3" xfId="12715" xr:uid="{97A8B653-EB9B-44BB-A4BB-D25819500B25}"/>
    <cellStyle name="Comma 3 2 4" xfId="4431" xr:uid="{A1D8042B-676C-4428-8EED-96B213818C37}"/>
    <cellStyle name="Comma 3 2 4 2" xfId="9607" xr:uid="{268EA930-7829-49A0-AF8B-0B6FD28A5D9D}"/>
    <cellStyle name="Comma 3 2 4 2 2" xfId="19959" xr:uid="{FAA9D7A6-7BD3-4BAE-8B41-F16E3A65D1B2}"/>
    <cellStyle name="Comma 3 2 4 3" xfId="14783" xr:uid="{5740F246-1F8E-4B9B-8B4B-45AD298F919A}"/>
    <cellStyle name="Comma 3 2 5" xfId="5478" xr:uid="{4402DE7A-06B6-4D9C-8A05-02AB9912329A}"/>
    <cellStyle name="Comma 3 2 5 2" xfId="15830" xr:uid="{237E6D6B-58F2-4E9A-AFA0-781D3E8B92F7}"/>
    <cellStyle name="Comma 3 2 6" xfId="10657" xr:uid="{0E828D63-5808-466E-9430-1B9CA7014500}"/>
    <cellStyle name="Comma 3 3" xfId="72" xr:uid="{3B590112-92E0-4C6F-B73B-9875FCFACA5D}"/>
    <cellStyle name="Comma 3 3 2" xfId="1278" xr:uid="{00A39CF8-6306-4DF6-9464-D4E51C931EC4}"/>
    <cellStyle name="Comma 3 3 2 2" xfId="3336" xr:uid="{7C51197C-8BF8-47A0-985E-BF08ABB95CF2}"/>
    <cellStyle name="Comma 3 3 2 2 2" xfId="8569" xr:uid="{FE315BFD-8C17-42BB-9997-DCB680AE12CA}"/>
    <cellStyle name="Comma 3 3 2 2 2 2" xfId="18921" xr:uid="{6E6F0421-D1A2-48FA-95D8-E21FF1982780}"/>
    <cellStyle name="Comma 3 3 2 2 3" xfId="13746" xr:uid="{F916D546-C199-4621-B033-14A20BDD1B88}"/>
    <cellStyle name="Comma 3 3 2 3" xfId="6511" xr:uid="{88008D75-78B7-4FCC-A737-1642206EAEFE}"/>
    <cellStyle name="Comma 3 3 2 3 2" xfId="16863" xr:uid="{E752132A-25ED-4A99-A153-1C732F5356CD}"/>
    <cellStyle name="Comma 3 3 2 4" xfId="11688" xr:uid="{DABAE8E0-B0D5-47C6-A6EF-02F42A4208C9}"/>
    <cellStyle name="Comma 3 3 3" xfId="2306" xr:uid="{713E449F-42BA-4069-854D-131C916221E5}"/>
    <cellStyle name="Comma 3 3 3 2" xfId="7539" xr:uid="{E4AD3363-0FE1-44FF-BE12-1686049C5BFA}"/>
    <cellStyle name="Comma 3 3 3 2 2" xfId="17891" xr:uid="{33E2E452-DCFB-4C4C-851A-A111B2FB576D}"/>
    <cellStyle name="Comma 3 3 3 3" xfId="12716" xr:uid="{81958F28-452A-4C95-93FC-CB2CEFA980EA}"/>
    <cellStyle name="Comma 3 3 4" xfId="4432" xr:uid="{A4A53D20-A265-4775-BE5B-0C828BEDC16B}"/>
    <cellStyle name="Comma 3 3 4 2" xfId="9608" xr:uid="{6B86AF7D-D921-4C79-A357-8F1B06F81B00}"/>
    <cellStyle name="Comma 3 3 4 2 2" xfId="19960" xr:uid="{2C8C4AA7-8F4B-4284-932B-C0C78C374738}"/>
    <cellStyle name="Comma 3 3 4 3" xfId="14784" xr:uid="{8EDC0012-C192-476A-8FBE-26F58010667B}"/>
    <cellStyle name="Comma 3 3 5" xfId="5479" xr:uid="{80A49F56-03D0-4FE9-842A-0A29070BC973}"/>
    <cellStyle name="Comma 3 3 5 2" xfId="15831" xr:uid="{28ABB1AC-131C-4B68-922D-C52B7ED06718}"/>
    <cellStyle name="Comma 3 3 6" xfId="10658" xr:uid="{C5C3839C-33F9-47B2-B999-99BE0167C7A0}"/>
    <cellStyle name="Comma 3 4" xfId="1276" xr:uid="{368C6E56-9C8C-495F-8B62-050178419C76}"/>
    <cellStyle name="Comma 3 4 2" xfId="3334" xr:uid="{4B32DA60-A5CB-4D03-B7AF-D00F1CA336B3}"/>
    <cellStyle name="Comma 3 4 2 2" xfId="8567" xr:uid="{F362896A-013B-460C-BD54-4DCEF9F69F54}"/>
    <cellStyle name="Comma 3 4 2 2 2" xfId="18919" xr:uid="{A3E36057-EACB-46C2-AF85-3D05488850AE}"/>
    <cellStyle name="Comma 3 4 2 3" xfId="13744" xr:uid="{92E59562-17CE-4268-938A-F1E7C9FC7C09}"/>
    <cellStyle name="Comma 3 4 3" xfId="6509" xr:uid="{74366563-5555-4DCB-A3AE-57B8F116964A}"/>
    <cellStyle name="Comma 3 4 3 2" xfId="16861" xr:uid="{2AF0F61C-701D-4C37-9B1E-080810F3C828}"/>
    <cellStyle name="Comma 3 4 4" xfId="11686" xr:uid="{F1490868-C251-46E1-AB97-7498C41D323F}"/>
    <cellStyle name="Comma 3 5" xfId="2304" xr:uid="{A3BEF739-2EE8-4273-A95F-69F15DD73397}"/>
    <cellStyle name="Comma 3 5 2" xfId="7537" xr:uid="{BEA90B33-97E2-45E6-AB79-3751F9EAACF4}"/>
    <cellStyle name="Comma 3 5 2 2" xfId="17889" xr:uid="{B7FFBA3D-8C76-4212-89B2-7042FEC15729}"/>
    <cellStyle name="Comma 3 5 3" xfId="12714" xr:uid="{2BAF6377-B490-4494-8ECD-2D4CE298DFF6}"/>
    <cellStyle name="Comma 3 6" xfId="4430" xr:uid="{F74F05F1-F93E-45BC-95A2-D3791BCF808A}"/>
    <cellStyle name="Comma 3 6 2" xfId="9606" xr:uid="{B3D465E4-B057-4EC7-823D-B595F3A15F5E}"/>
    <cellStyle name="Comma 3 6 2 2" xfId="19958" xr:uid="{8753BE09-36C7-44A4-81AE-C808E3B980B1}"/>
    <cellStyle name="Comma 3 6 3" xfId="14782" xr:uid="{23133F89-BA21-491C-B79F-69A94962C928}"/>
    <cellStyle name="Comma 3 7" xfId="5477" xr:uid="{9C058EAA-8D7B-458A-81E3-0A34FCFCDEFE}"/>
    <cellStyle name="Comma 3 7 2" xfId="15829" xr:uid="{443B30E7-E863-4066-909B-103E63566C14}"/>
    <cellStyle name="Comma 3 8" xfId="10656" xr:uid="{F983F899-9797-4F61-BA4C-F0534801E70C}"/>
    <cellStyle name="Comma 30" xfId="221" xr:uid="{70A0824E-14D2-4627-B9BA-AF37C8522B23}"/>
    <cellStyle name="Comma 30 2" xfId="1307" xr:uid="{0F0150F5-FAD3-4A93-AA17-30DEEB5F925B}"/>
    <cellStyle name="Comma 30 2 2" xfId="3365" xr:uid="{E2CD1A95-5649-4C10-8511-64E728548A10}"/>
    <cellStyle name="Comma 30 2 2 2" xfId="8598" xr:uid="{8BA08E37-E190-4939-8281-97AA84A258D7}"/>
    <cellStyle name="Comma 30 2 2 2 2" xfId="18950" xr:uid="{9AD6B4B4-8A24-404B-AF3A-C895F3B21073}"/>
    <cellStyle name="Comma 30 2 2 3" xfId="13775" xr:uid="{A381DA66-E5EB-4E35-9A79-48755A1963E6}"/>
    <cellStyle name="Comma 30 2 3" xfId="6540" xr:uid="{D92725F5-6528-47E6-8C4C-B80D981D2046}"/>
    <cellStyle name="Comma 30 2 3 2" xfId="16892" xr:uid="{C238D51E-70D0-4C85-9640-B06E377E4236}"/>
    <cellStyle name="Comma 30 2 4" xfId="11717" xr:uid="{2F39C31E-A745-47CA-B85C-E9DA0CDBC577}"/>
    <cellStyle name="Comma 30 3" xfId="2335" xr:uid="{13357266-94E1-4632-A69B-D9D622D13B76}"/>
    <cellStyle name="Comma 30 3 2" xfId="7568" xr:uid="{28A8F5DB-832D-4D3C-917E-A88241995816}"/>
    <cellStyle name="Comma 30 3 2 2" xfId="17920" xr:uid="{EEFDB3A8-2BD1-445F-911B-6DBEF1629CF7}"/>
    <cellStyle name="Comma 30 3 3" xfId="12745" xr:uid="{9A4D567D-B0BD-43B8-9485-557878497783}"/>
    <cellStyle name="Comma 30 4" xfId="4461" xr:uid="{A7CE06AB-289B-4888-A0DB-06065CD4D385}"/>
    <cellStyle name="Comma 30 4 2" xfId="9637" xr:uid="{F54C0ACD-FEF3-4BD6-9034-37B73FD7CFBE}"/>
    <cellStyle name="Comma 30 4 2 2" xfId="19989" xr:uid="{BF3CC49B-CC17-4AE7-863A-F15B6F8F37D2}"/>
    <cellStyle name="Comma 30 4 3" xfId="14813" xr:uid="{EF589C40-EDEA-4951-A2DD-C21B935948B5}"/>
    <cellStyle name="Comma 30 5" xfId="5509" xr:uid="{097CB24F-4C8A-4795-ACDC-43547393B1A9}"/>
    <cellStyle name="Comma 30 5 2" xfId="15861" xr:uid="{233256D1-6D7D-4A17-82B8-03194E01A589}"/>
    <cellStyle name="Comma 30 6" xfId="10687" xr:uid="{6384937B-9D73-4AD7-B568-320A54FF96A1}"/>
    <cellStyle name="Comma 300" xfId="540" xr:uid="{D2D8237D-D739-4B15-A3ED-3C48C3B3CC99}"/>
    <cellStyle name="Comma 300 2" xfId="1578" xr:uid="{C3283358-C221-46E4-8A96-ECFE0DB27907}"/>
    <cellStyle name="Comma 300 2 2" xfId="3636" xr:uid="{87123FE0-33E3-42A3-980C-F4D1A2A5D029}"/>
    <cellStyle name="Comma 300 2 2 2" xfId="8869" xr:uid="{9C703530-CD16-4A06-A062-DC4195949961}"/>
    <cellStyle name="Comma 300 2 2 2 2" xfId="19221" xr:uid="{15EC2247-136F-4C40-B484-B6C2F6DCF0E4}"/>
    <cellStyle name="Comma 300 2 2 3" xfId="14046" xr:uid="{63F24C41-8CDB-4926-82EF-4D4305D7E94D}"/>
    <cellStyle name="Comma 300 2 3" xfId="6811" xr:uid="{48C4A8DF-6382-4AAF-A20F-CFD241C80472}"/>
    <cellStyle name="Comma 300 2 3 2" xfId="17163" xr:uid="{5B327549-C436-4121-B1BA-08ACAEC3C55A}"/>
    <cellStyle name="Comma 300 2 4" xfId="11988" xr:uid="{EA1C8B35-7EE7-4110-9285-8173092AA678}"/>
    <cellStyle name="Comma 300 3" xfId="2606" xr:uid="{AC3EC441-7479-4D97-AD03-40070B2E7305}"/>
    <cellStyle name="Comma 300 3 2" xfId="7839" xr:uid="{852F24C2-9132-4295-A1D8-4E6730DB14AF}"/>
    <cellStyle name="Comma 300 3 2 2" xfId="18191" xr:uid="{B9DCB913-36CC-4FD4-B7D2-120EA7BCDDB3}"/>
    <cellStyle name="Comma 300 3 3" xfId="13016" xr:uid="{DDFE7FBB-078F-4185-82A1-CA9093752B04}"/>
    <cellStyle name="Comma 300 4" xfId="4732" xr:uid="{C2D884A5-257E-4934-B7F9-ED92655011E0}"/>
    <cellStyle name="Comma 300 4 2" xfId="9908" xr:uid="{0F37CE8A-41AE-4961-A78F-D52DE4580635}"/>
    <cellStyle name="Comma 300 4 2 2" xfId="20260" xr:uid="{C3B49E1C-777E-459D-9960-DC95DD985201}"/>
    <cellStyle name="Comma 300 4 3" xfId="15084" xr:uid="{AAE8CAFB-FBAF-487F-9D97-83EDED2169EC}"/>
    <cellStyle name="Comma 300 5" xfId="5780" xr:uid="{762E35E3-8207-45FD-851E-A1B689320168}"/>
    <cellStyle name="Comma 300 5 2" xfId="16132" xr:uid="{B3594906-CEEC-42A3-8BEE-06380EBC5D83}"/>
    <cellStyle name="Comma 300 6" xfId="10958" xr:uid="{DA7855D5-A379-4FDE-846B-C60685877D0B}"/>
    <cellStyle name="Comma 301" xfId="541" xr:uid="{4237F323-9242-4A1B-B4EC-FE5910D42FF6}"/>
    <cellStyle name="Comma 301 2" xfId="1579" xr:uid="{40A18163-592C-49EE-A349-03ABBF2E2312}"/>
    <cellStyle name="Comma 301 2 2" xfId="3637" xr:uid="{1582EB86-7B90-4107-BC85-E845CACE29AC}"/>
    <cellStyle name="Comma 301 2 2 2" xfId="8870" xr:uid="{8B7B5201-EC67-4A5F-98EC-CF6EA8994351}"/>
    <cellStyle name="Comma 301 2 2 2 2" xfId="19222" xr:uid="{A39189BB-6D7C-4C97-AF32-327FB6E5F446}"/>
    <cellStyle name="Comma 301 2 2 3" xfId="14047" xr:uid="{F217C467-8F50-4C9F-A6BD-5CD7FB5BFD6F}"/>
    <cellStyle name="Comma 301 2 3" xfId="6812" xr:uid="{82A65736-057C-47CA-AD62-FC2913B2B18C}"/>
    <cellStyle name="Comma 301 2 3 2" xfId="17164" xr:uid="{0A8BB7DF-C942-479D-B939-F1BA1A4FC411}"/>
    <cellStyle name="Comma 301 2 4" xfId="11989" xr:uid="{907573E4-FCCF-44BB-840C-CEBFAB6F3E3E}"/>
    <cellStyle name="Comma 301 3" xfId="2607" xr:uid="{52266DA3-6147-413F-A354-D4D189FFFB13}"/>
    <cellStyle name="Comma 301 3 2" xfId="7840" xr:uid="{E28D0CA5-FF12-47EB-9E82-AE0A22B6926B}"/>
    <cellStyle name="Comma 301 3 2 2" xfId="18192" xr:uid="{7C6DDE73-AACB-406C-8D54-93598A5763D7}"/>
    <cellStyle name="Comma 301 3 3" xfId="13017" xr:uid="{BBC9C75D-9A25-4460-BC06-89F7078D3364}"/>
    <cellStyle name="Comma 301 4" xfId="4733" xr:uid="{3D505D24-3E95-426E-B9B9-D3883B54E3E2}"/>
    <cellStyle name="Comma 301 4 2" xfId="9909" xr:uid="{17097BD5-9BC5-48BA-B90B-C5673E22A51D}"/>
    <cellStyle name="Comma 301 4 2 2" xfId="20261" xr:uid="{25DC1359-C192-4D9A-A3F3-A75496B8DDA5}"/>
    <cellStyle name="Comma 301 4 3" xfId="15085" xr:uid="{7E2AF28C-C207-4E1B-A390-7774C87D83E2}"/>
    <cellStyle name="Comma 301 5" xfId="5781" xr:uid="{FF956425-DBAE-4B2B-A532-F1BC1DDA8882}"/>
    <cellStyle name="Comma 301 5 2" xfId="16133" xr:uid="{21A07AB1-5156-4D46-9CBF-E9558C5EE4E6}"/>
    <cellStyle name="Comma 301 6" xfId="10959" xr:uid="{F4CD3A44-07AB-4BAF-808F-71DEBAC48C8E}"/>
    <cellStyle name="Comma 302" xfId="542" xr:uid="{826EA227-2592-499D-A893-3ABBC6E0F088}"/>
    <cellStyle name="Comma 302 2" xfId="1580" xr:uid="{0D5BF896-C148-4EC3-BE0F-C85FC8B8198D}"/>
    <cellStyle name="Comma 302 2 2" xfId="3638" xr:uid="{779C05B8-CA97-4D8D-BB22-B5E94A391D33}"/>
    <cellStyle name="Comma 302 2 2 2" xfId="8871" xr:uid="{148F015A-3123-4912-9B50-256B9A9074BF}"/>
    <cellStyle name="Comma 302 2 2 2 2" xfId="19223" xr:uid="{84CA8652-D7E0-4446-A4E5-DE14606EC69B}"/>
    <cellStyle name="Comma 302 2 2 3" xfId="14048" xr:uid="{12C016AF-B025-47A8-8CA5-46D67E85472A}"/>
    <cellStyle name="Comma 302 2 3" xfId="6813" xr:uid="{A28086F1-9C70-4354-B61F-846C6F126A5F}"/>
    <cellStyle name="Comma 302 2 3 2" xfId="17165" xr:uid="{236043C9-7A2A-4A64-A3E5-C7F9A2C34999}"/>
    <cellStyle name="Comma 302 2 4" xfId="11990" xr:uid="{807436DF-34E0-4F8F-9C8B-85E57867266F}"/>
    <cellStyle name="Comma 302 3" xfId="2608" xr:uid="{6174D5DA-F384-4233-BB93-690BCFE3955B}"/>
    <cellStyle name="Comma 302 3 2" xfId="7841" xr:uid="{074BA81B-56C7-4E5F-9F39-3CE13B092438}"/>
    <cellStyle name="Comma 302 3 2 2" xfId="18193" xr:uid="{E1F380E3-F956-46D7-8F02-79EB123AD4DE}"/>
    <cellStyle name="Comma 302 3 3" xfId="13018" xr:uid="{0F9F1FA7-E18B-4328-B0B4-0C467D95F609}"/>
    <cellStyle name="Comma 302 4" xfId="4734" xr:uid="{DF81A0EE-4E40-40AC-88DA-678372E006F7}"/>
    <cellStyle name="Comma 302 4 2" xfId="9910" xr:uid="{01D8451D-69A8-44A6-97B1-8B63B1A388C7}"/>
    <cellStyle name="Comma 302 4 2 2" xfId="20262" xr:uid="{0CEA4864-6A59-4610-A097-7FB0F847AB17}"/>
    <cellStyle name="Comma 302 4 3" xfId="15086" xr:uid="{DCC6DBD6-74BD-45A0-9582-79A1E64DE64F}"/>
    <cellStyle name="Comma 302 5" xfId="5782" xr:uid="{83275CD6-A45A-4172-8A9E-B4BD0885E679}"/>
    <cellStyle name="Comma 302 5 2" xfId="16134" xr:uid="{0A3F4C73-7073-49A1-B328-6311A9C65387}"/>
    <cellStyle name="Comma 302 6" xfId="10960" xr:uid="{C3807D72-EF86-4E8E-A755-BBFFF4CC4F59}"/>
    <cellStyle name="Comma 303" xfId="543" xr:uid="{53A59BE6-E3BD-49E5-9DF1-66394A66FE44}"/>
    <cellStyle name="Comma 303 2" xfId="1581" xr:uid="{46301706-F786-4EF3-834D-61DB5C8572D5}"/>
    <cellStyle name="Comma 303 2 2" xfId="3639" xr:uid="{8FE9BEFE-4432-40F0-8DFD-B9EFB4DC6F71}"/>
    <cellStyle name="Comma 303 2 2 2" xfId="8872" xr:uid="{A3D37081-4AAF-48FE-9A4B-FFE0BD70CC2F}"/>
    <cellStyle name="Comma 303 2 2 2 2" xfId="19224" xr:uid="{A498B436-F430-4ABE-8A62-0CB4C3D2A8C4}"/>
    <cellStyle name="Comma 303 2 2 3" xfId="14049" xr:uid="{D8CF37AB-61F6-417E-A38E-D94FA32897F1}"/>
    <cellStyle name="Comma 303 2 3" xfId="6814" xr:uid="{1FE5DADF-67A3-4D05-B23D-4232B8E2E47C}"/>
    <cellStyle name="Comma 303 2 3 2" xfId="17166" xr:uid="{26A3546B-BFB2-468D-85D2-A1734730F2EE}"/>
    <cellStyle name="Comma 303 2 4" xfId="11991" xr:uid="{253EBC68-493A-4D9B-838D-168726B122AF}"/>
    <cellStyle name="Comma 303 3" xfId="2609" xr:uid="{FBC8BC48-C7BA-4FE0-A0E8-59AFFB4188D4}"/>
    <cellStyle name="Comma 303 3 2" xfId="7842" xr:uid="{BFCF0FF0-2EFA-4A3D-BC67-40F4F18F608D}"/>
    <cellStyle name="Comma 303 3 2 2" xfId="18194" xr:uid="{D85F2899-F4EA-4571-A276-E49055220BB4}"/>
    <cellStyle name="Comma 303 3 3" xfId="13019" xr:uid="{3C70EFF6-3174-4B47-896A-B57F7B2C3A64}"/>
    <cellStyle name="Comma 303 4" xfId="4735" xr:uid="{FB755F72-120F-48B6-B4D0-209D9880CA8D}"/>
    <cellStyle name="Comma 303 4 2" xfId="9911" xr:uid="{931910B0-54EB-4BC6-BD44-A07BD04B8119}"/>
    <cellStyle name="Comma 303 4 2 2" xfId="20263" xr:uid="{4C5D3B63-F70B-48C0-8B7C-76FF95C63C63}"/>
    <cellStyle name="Comma 303 4 3" xfId="15087" xr:uid="{B60E327F-D4DC-4C7B-B83E-DE02B69022C6}"/>
    <cellStyle name="Comma 303 5" xfId="5783" xr:uid="{9F06A381-14FC-42C4-B89D-46D9B4AF1D5D}"/>
    <cellStyle name="Comma 303 5 2" xfId="16135" xr:uid="{9A30E85B-CAA2-47B7-98B6-B26D571BF6BE}"/>
    <cellStyle name="Comma 303 6" xfId="10961" xr:uid="{32C2E3C6-C678-4ABA-8CBD-863B097F5F8C}"/>
    <cellStyle name="Comma 304" xfId="544" xr:uid="{05212DB0-B296-48B5-ACFA-48EA587374EB}"/>
    <cellStyle name="Comma 304 2" xfId="1582" xr:uid="{50B853A7-87C3-4015-8D39-EF9A934FB3D9}"/>
    <cellStyle name="Comma 304 2 2" xfId="3640" xr:uid="{4DE9DA55-D1ED-4C9A-817D-ABB07B356D50}"/>
    <cellStyle name="Comma 304 2 2 2" xfId="8873" xr:uid="{80715225-917F-4F5B-A0EF-35005192B8BD}"/>
    <cellStyle name="Comma 304 2 2 2 2" xfId="19225" xr:uid="{0C0DC7F8-2D17-4BFD-83BD-0697A7B5DF22}"/>
    <cellStyle name="Comma 304 2 2 3" xfId="14050" xr:uid="{45861DD9-F98F-4B27-A4A5-E995AD666692}"/>
    <cellStyle name="Comma 304 2 3" xfId="6815" xr:uid="{6B5EDB81-689A-42CB-B1F4-6033DDA859F9}"/>
    <cellStyle name="Comma 304 2 3 2" xfId="17167" xr:uid="{36B374DB-C64D-4A63-82C6-6A140E7814E6}"/>
    <cellStyle name="Comma 304 2 4" xfId="11992" xr:uid="{7141E1AF-FA68-43F0-A4E1-5651D3C0867D}"/>
    <cellStyle name="Comma 304 3" xfId="2610" xr:uid="{E544F4C1-2E2C-41C2-B5C0-EBA006F8D6CD}"/>
    <cellStyle name="Comma 304 3 2" xfId="7843" xr:uid="{13237D9F-42AC-425B-B980-494F8B9FD046}"/>
    <cellStyle name="Comma 304 3 2 2" xfId="18195" xr:uid="{E7ECE3A1-C208-46D3-9203-2CEDE354710C}"/>
    <cellStyle name="Comma 304 3 3" xfId="13020" xr:uid="{6217669B-CCD9-4070-BC2B-851B2AFF2697}"/>
    <cellStyle name="Comma 304 4" xfId="4736" xr:uid="{186A36A0-7CAB-4775-9110-0ABE40FCEC9C}"/>
    <cellStyle name="Comma 304 4 2" xfId="9912" xr:uid="{26964593-0D80-4291-AD68-7431046FB024}"/>
    <cellStyle name="Comma 304 4 2 2" xfId="20264" xr:uid="{784F1B93-B223-4101-AFE1-73061FFD6DA6}"/>
    <cellStyle name="Comma 304 4 3" xfId="15088" xr:uid="{F74DB298-E62D-44F1-B0BC-A9A6EFE5FD25}"/>
    <cellStyle name="Comma 304 5" xfId="5784" xr:uid="{81C0E6B4-F0B6-4604-9054-43F532741339}"/>
    <cellStyle name="Comma 304 5 2" xfId="16136" xr:uid="{1C2DCE2C-79DD-451B-870F-585EDB653731}"/>
    <cellStyle name="Comma 304 6" xfId="10962" xr:uid="{BCB57018-F683-46E6-8FC0-2BE8BF9F1C4B}"/>
    <cellStyle name="Comma 305" xfId="545" xr:uid="{CFFD4BCC-BFAD-4BDD-A3DF-91E14ACE09FD}"/>
    <cellStyle name="Comma 305 2" xfId="1583" xr:uid="{5A432F73-73C1-43CF-A807-94D6B7273C39}"/>
    <cellStyle name="Comma 305 2 2" xfId="3641" xr:uid="{27AA9E6B-3015-4D4F-800F-C7117F36826F}"/>
    <cellStyle name="Comma 305 2 2 2" xfId="8874" xr:uid="{E0DC10CA-B02E-4A37-A8E3-E30FA2844A8D}"/>
    <cellStyle name="Comma 305 2 2 2 2" xfId="19226" xr:uid="{172E67CE-C24C-4FC2-9065-6FF309C34DC9}"/>
    <cellStyle name="Comma 305 2 2 3" xfId="14051" xr:uid="{79FB03C1-7524-414F-A5C6-94CEEE3F6170}"/>
    <cellStyle name="Comma 305 2 3" xfId="6816" xr:uid="{A8F522C9-D147-4B77-9E80-9E292E4F17C2}"/>
    <cellStyle name="Comma 305 2 3 2" xfId="17168" xr:uid="{9E56ED85-A62C-4474-9ECD-D4050356B948}"/>
    <cellStyle name="Comma 305 2 4" xfId="11993" xr:uid="{E46910B9-C540-4648-830E-336B3CD6AE32}"/>
    <cellStyle name="Comma 305 3" xfId="2611" xr:uid="{7398F58E-14A8-42A5-96CA-CD63E21F99DB}"/>
    <cellStyle name="Comma 305 3 2" xfId="7844" xr:uid="{FDEDFE0A-D6FC-46AE-814E-049021DCAAEF}"/>
    <cellStyle name="Comma 305 3 2 2" xfId="18196" xr:uid="{0BE9AEE2-40A9-4A28-8F98-6DC6F08FF0B0}"/>
    <cellStyle name="Comma 305 3 3" xfId="13021" xr:uid="{5FCF44C9-D62F-477B-AA63-6906A15032E9}"/>
    <cellStyle name="Comma 305 4" xfId="4737" xr:uid="{B920FAB5-C6D5-4CF6-8287-5C5BBF124A27}"/>
    <cellStyle name="Comma 305 4 2" xfId="9913" xr:uid="{4ECD6010-6FFC-4558-B3A8-55AA93969539}"/>
    <cellStyle name="Comma 305 4 2 2" xfId="20265" xr:uid="{0C4AE906-55BD-4366-8666-CB530540499E}"/>
    <cellStyle name="Comma 305 4 3" xfId="15089" xr:uid="{46B22F7A-A2C3-49D5-82E5-4D17CCB0953E}"/>
    <cellStyle name="Comma 305 5" xfId="5785" xr:uid="{66197D31-FF1C-41F6-AE28-BE4F10D81B72}"/>
    <cellStyle name="Comma 305 5 2" xfId="16137" xr:uid="{2B5B984B-BF19-4FFB-93A6-54470BC5197B}"/>
    <cellStyle name="Comma 305 6" xfId="10963" xr:uid="{26052291-C5D5-4842-91C4-7A729F533D25}"/>
    <cellStyle name="Comma 306" xfId="546" xr:uid="{85DD762A-A770-4B66-8E15-4AA6BB2F4D4E}"/>
    <cellStyle name="Comma 306 2" xfId="1584" xr:uid="{C4F23D52-3E15-4C6E-A510-7EF4FB72F698}"/>
    <cellStyle name="Comma 306 2 2" xfId="3642" xr:uid="{EA33EEEF-46EF-4A3B-9647-4B8D65B8AACC}"/>
    <cellStyle name="Comma 306 2 2 2" xfId="8875" xr:uid="{9D91EB66-EDC5-4CD9-B63D-E1A7AEF0AC89}"/>
    <cellStyle name="Comma 306 2 2 2 2" xfId="19227" xr:uid="{8488EB49-48B8-4445-B025-6235587CEA44}"/>
    <cellStyle name="Comma 306 2 2 3" xfId="14052" xr:uid="{22B714C9-2F72-46EB-B801-39BDE1D2D62C}"/>
    <cellStyle name="Comma 306 2 3" xfId="6817" xr:uid="{68160441-3635-4A4B-B8DD-EB7104675E13}"/>
    <cellStyle name="Comma 306 2 3 2" xfId="17169" xr:uid="{F4B0EF5C-12DD-4CC0-8756-0917BB7887A4}"/>
    <cellStyle name="Comma 306 2 4" xfId="11994" xr:uid="{DE232A26-5FE6-43DC-9183-14E57C116928}"/>
    <cellStyle name="Comma 306 3" xfId="2612" xr:uid="{DB7F938F-F10F-4475-A816-D88318B6FF51}"/>
    <cellStyle name="Comma 306 3 2" xfId="7845" xr:uid="{73F4DF12-F0DA-4798-AD02-59A7352A6A4D}"/>
    <cellStyle name="Comma 306 3 2 2" xfId="18197" xr:uid="{06E25C76-85A3-434E-B366-3CF2589A0EDD}"/>
    <cellStyle name="Comma 306 3 3" xfId="13022" xr:uid="{1FE6060B-1A76-4A8F-A20C-1C0B3FA7325C}"/>
    <cellStyle name="Comma 306 4" xfId="4738" xr:uid="{157D8807-5F06-4F1A-BDC8-4340812655CA}"/>
    <cellStyle name="Comma 306 4 2" xfId="9914" xr:uid="{90F6D03D-C96F-40B4-BFDF-4989736BF0DF}"/>
    <cellStyle name="Comma 306 4 2 2" xfId="20266" xr:uid="{1AB84EDE-0D2B-4D3A-8DA0-FDD29F4704DA}"/>
    <cellStyle name="Comma 306 4 3" xfId="15090" xr:uid="{9BAE0DB8-5ECB-46B5-96AF-51C3A15696A1}"/>
    <cellStyle name="Comma 306 5" xfId="5786" xr:uid="{7DCE5CF3-CB6B-46DC-AA10-D1C6E02CF9D1}"/>
    <cellStyle name="Comma 306 5 2" xfId="16138" xr:uid="{CEFDEF1F-58F9-4AD4-AC1A-97F199559E3E}"/>
    <cellStyle name="Comma 306 6" xfId="10964" xr:uid="{C181A4D1-8807-41BC-8CC6-5C49A636D518}"/>
    <cellStyle name="Comma 307" xfId="547" xr:uid="{639C972F-1290-4F1C-9738-1AD61133EEAC}"/>
    <cellStyle name="Comma 307 2" xfId="1585" xr:uid="{6D2F0A40-E147-4F5F-8BF3-6D018341AFE9}"/>
    <cellStyle name="Comma 307 2 2" xfId="3643" xr:uid="{7A755F66-D631-4277-B991-D499B9CFD7FE}"/>
    <cellStyle name="Comma 307 2 2 2" xfId="8876" xr:uid="{9BB62C13-8957-4C0F-99B8-A4DD133B4BBC}"/>
    <cellStyle name="Comma 307 2 2 2 2" xfId="19228" xr:uid="{425D83C2-EF92-4440-A92D-016D2DAB92C7}"/>
    <cellStyle name="Comma 307 2 2 3" xfId="14053" xr:uid="{D3D55FBA-E369-4CD6-8EFD-3F0AEF4DE53E}"/>
    <cellStyle name="Comma 307 2 3" xfId="6818" xr:uid="{7C48FF86-9DA9-438B-8E20-028F3B59FE3C}"/>
    <cellStyle name="Comma 307 2 3 2" xfId="17170" xr:uid="{E6391AEB-20CD-4406-8874-7C8313DEF289}"/>
    <cellStyle name="Comma 307 2 4" xfId="11995" xr:uid="{277A5305-5FCE-41F6-BAB1-307340D0ECF1}"/>
    <cellStyle name="Comma 307 3" xfId="2613" xr:uid="{CF59B702-85C5-44BB-9AC0-571E0E79D855}"/>
    <cellStyle name="Comma 307 3 2" xfId="7846" xr:uid="{A1DBA591-4D7F-43EB-A77B-9599F7E04C8A}"/>
    <cellStyle name="Comma 307 3 2 2" xfId="18198" xr:uid="{A88C871A-9784-4223-BDC4-596F7F683D45}"/>
    <cellStyle name="Comma 307 3 3" xfId="13023" xr:uid="{EB990662-1327-4B86-8E9D-1E3D5AACA495}"/>
    <cellStyle name="Comma 307 4" xfId="4739" xr:uid="{8C1D1246-CAE8-490E-86CF-C2F1AF3F82AA}"/>
    <cellStyle name="Comma 307 4 2" xfId="9915" xr:uid="{806B953A-B40A-49DE-BAFA-2E15D6A78C25}"/>
    <cellStyle name="Comma 307 4 2 2" xfId="20267" xr:uid="{AE59C016-D37D-4E48-B0FB-65B9488FEF91}"/>
    <cellStyle name="Comma 307 4 3" xfId="15091" xr:uid="{C323D219-5DA2-48D5-8EC1-A203AD86150A}"/>
    <cellStyle name="Comma 307 5" xfId="5787" xr:uid="{44FF6A30-88D4-4D35-A749-443AC7214A33}"/>
    <cellStyle name="Comma 307 5 2" xfId="16139" xr:uid="{6718D3B1-C226-448C-9754-E81864554D48}"/>
    <cellStyle name="Comma 307 6" xfId="10965" xr:uid="{AC25512B-EC82-4CF6-A70B-FA5066AA3F98}"/>
    <cellStyle name="Comma 308" xfId="548" xr:uid="{6F4D1D1A-AC45-46DF-9281-69CE5B43F45C}"/>
    <cellStyle name="Comma 308 2" xfId="1586" xr:uid="{F0CCB5B0-E99D-4773-889A-9AAB07DA1B75}"/>
    <cellStyle name="Comma 308 2 2" xfId="3644" xr:uid="{67EF8345-070B-4859-B567-8D4064A1866D}"/>
    <cellStyle name="Comma 308 2 2 2" xfId="8877" xr:uid="{42EBDF42-4800-4EFA-B9F2-CDE7AE780CD9}"/>
    <cellStyle name="Comma 308 2 2 2 2" xfId="19229" xr:uid="{09822506-C27D-485C-B2FB-FB1B6C2E9E57}"/>
    <cellStyle name="Comma 308 2 2 3" xfId="14054" xr:uid="{DF6819BE-766C-441D-BA6E-A52CA2E3B7B4}"/>
    <cellStyle name="Comma 308 2 3" xfId="6819" xr:uid="{1FC96EF8-1C34-4A07-B184-DE28F3452E87}"/>
    <cellStyle name="Comma 308 2 3 2" xfId="17171" xr:uid="{51DB3DC4-33AA-4EAB-B0A7-B89FEAEF952A}"/>
    <cellStyle name="Comma 308 2 4" xfId="11996" xr:uid="{C23667C0-C122-4033-961B-56FAF3AC5A21}"/>
    <cellStyle name="Comma 308 3" xfId="2614" xr:uid="{7D404B98-72F1-44CE-89FB-1480CCB11024}"/>
    <cellStyle name="Comma 308 3 2" xfId="7847" xr:uid="{6F29343E-DBA8-4F1D-BCA4-CF24CFE42249}"/>
    <cellStyle name="Comma 308 3 2 2" xfId="18199" xr:uid="{6C6B3D5B-93B1-444D-B539-0009D181EA38}"/>
    <cellStyle name="Comma 308 3 3" xfId="13024" xr:uid="{070E208D-DF7A-4C8D-9F0E-A938C443AED8}"/>
    <cellStyle name="Comma 308 4" xfId="4740" xr:uid="{91CEDA1D-2FAA-40F8-914F-9586AD378287}"/>
    <cellStyle name="Comma 308 4 2" xfId="9916" xr:uid="{1E975C95-968C-4D68-AE88-7894D86C351B}"/>
    <cellStyle name="Comma 308 4 2 2" xfId="20268" xr:uid="{6973D53A-B53B-4412-939C-BF790FB371BD}"/>
    <cellStyle name="Comma 308 4 3" xfId="15092" xr:uid="{37EF1EF4-A685-4FA0-A5E2-63D357EA685A}"/>
    <cellStyle name="Comma 308 5" xfId="5788" xr:uid="{B36A0E50-FCE7-45CB-BC77-2DB73BA844ED}"/>
    <cellStyle name="Comma 308 5 2" xfId="16140" xr:uid="{74159080-75FC-41AD-BC89-EF53FBB5E46E}"/>
    <cellStyle name="Comma 308 6" xfId="10966" xr:uid="{728A8903-34BC-4140-B112-5174D9465419}"/>
    <cellStyle name="Comma 309" xfId="549" xr:uid="{5115EF3F-C997-47C0-8C24-D1A1042DF4B7}"/>
    <cellStyle name="Comma 309 2" xfId="1587" xr:uid="{137B24CA-967A-4B86-974B-9713C172CADB}"/>
    <cellStyle name="Comma 309 2 2" xfId="3645" xr:uid="{C2E37A4A-BCB3-427E-B018-90297D91DF15}"/>
    <cellStyle name="Comma 309 2 2 2" xfId="8878" xr:uid="{2A11E8A0-7B75-401B-9B6C-EE6167620813}"/>
    <cellStyle name="Comma 309 2 2 2 2" xfId="19230" xr:uid="{908982D7-CDD1-4CF7-9FEA-ADBD93C813E7}"/>
    <cellStyle name="Comma 309 2 2 3" xfId="14055" xr:uid="{C659DA01-E08A-47B7-815A-BB9BAD2AFCF5}"/>
    <cellStyle name="Comma 309 2 3" xfId="6820" xr:uid="{64D34A2B-99CA-4B84-B416-9368D14C350F}"/>
    <cellStyle name="Comma 309 2 3 2" xfId="17172" xr:uid="{0E308457-72A9-41E9-B04D-AAA696B00741}"/>
    <cellStyle name="Comma 309 2 4" xfId="11997" xr:uid="{292930C8-C294-4FA6-B172-B9B33A1152C9}"/>
    <cellStyle name="Comma 309 3" xfId="2615" xr:uid="{BE45173C-CE4B-4847-94D3-B64AC61C92D0}"/>
    <cellStyle name="Comma 309 3 2" xfId="7848" xr:uid="{A1DCC538-5817-493D-95CF-FA713B31CB25}"/>
    <cellStyle name="Comma 309 3 2 2" xfId="18200" xr:uid="{10BF008D-E1BB-4D7B-A9CC-BF8229CDAA10}"/>
    <cellStyle name="Comma 309 3 3" xfId="13025" xr:uid="{96CC8FCB-05A8-4609-8C77-56AC77D6B71D}"/>
    <cellStyle name="Comma 309 4" xfId="4741" xr:uid="{ECB76FDE-85DE-46D8-8BC5-7146A0C63C7A}"/>
    <cellStyle name="Comma 309 4 2" xfId="9917" xr:uid="{4EE62D8A-716C-4182-A1BC-8055ABEA7C62}"/>
    <cellStyle name="Comma 309 4 2 2" xfId="20269" xr:uid="{1C1C28F3-0B02-440B-A9A5-C984CD23848C}"/>
    <cellStyle name="Comma 309 4 3" xfId="15093" xr:uid="{4E7FF852-D224-40C6-B3E1-DC3B404C8AA1}"/>
    <cellStyle name="Comma 309 5" xfId="5789" xr:uid="{E55FB5E1-0CCC-4D3C-A58A-6D80B0116C7B}"/>
    <cellStyle name="Comma 309 5 2" xfId="16141" xr:uid="{000A80D7-959C-4976-910C-485DD1950AA0}"/>
    <cellStyle name="Comma 309 6" xfId="10967" xr:uid="{0E370F91-3A43-4B27-A8DB-3046EAFCEA5C}"/>
    <cellStyle name="Comma 31" xfId="222" xr:uid="{9782B841-98D0-45D7-819E-9AD857BF4D13}"/>
    <cellStyle name="Comma 31 2" xfId="1308" xr:uid="{3003237E-091D-49F8-8419-D578538AF9C8}"/>
    <cellStyle name="Comma 31 2 2" xfId="3366" xr:uid="{2AE6DD64-CF87-4CC6-A20E-DC28AD6B74A7}"/>
    <cellStyle name="Comma 31 2 2 2" xfId="8599" xr:uid="{C4488157-30BD-4147-9F20-192391620981}"/>
    <cellStyle name="Comma 31 2 2 2 2" xfId="18951" xr:uid="{13874051-AA9A-431C-8561-F0BDF87500CB}"/>
    <cellStyle name="Comma 31 2 2 3" xfId="13776" xr:uid="{8D5CB875-C1CE-497E-ABB9-8E5E815ADA6D}"/>
    <cellStyle name="Comma 31 2 3" xfId="6541" xr:uid="{6F287000-A667-427C-B49E-5E370B975607}"/>
    <cellStyle name="Comma 31 2 3 2" xfId="16893" xr:uid="{402D0093-56BC-4CA5-ABC1-46CD2D4F311E}"/>
    <cellStyle name="Comma 31 2 4" xfId="11718" xr:uid="{56AEEA6E-D262-431A-B629-1348DCFA8B2C}"/>
    <cellStyle name="Comma 31 3" xfId="2336" xr:uid="{231DDBDA-095E-46C8-9167-3E1A6A056A1F}"/>
    <cellStyle name="Comma 31 3 2" xfId="7569" xr:uid="{AC9433BA-1321-460B-AD99-CFBD16DAE27D}"/>
    <cellStyle name="Comma 31 3 2 2" xfId="17921" xr:uid="{46DA69F7-17CD-443B-8220-8B680E8B1DB2}"/>
    <cellStyle name="Comma 31 3 3" xfId="12746" xr:uid="{9E167410-AEFC-47AA-B2FA-A38186273EE9}"/>
    <cellStyle name="Comma 31 4" xfId="4462" xr:uid="{167CEE08-69F8-4176-99C5-C8BEC53F47CF}"/>
    <cellStyle name="Comma 31 4 2" xfId="9638" xr:uid="{65DF8226-0A92-44CF-9E55-EDAE0052DD37}"/>
    <cellStyle name="Comma 31 4 2 2" xfId="19990" xr:uid="{DEA24885-E2AD-449C-B45B-3226A5F3A83D}"/>
    <cellStyle name="Comma 31 4 3" xfId="14814" xr:uid="{1D662CDD-F9AC-4E5F-8967-982480109D38}"/>
    <cellStyle name="Comma 31 5" xfId="5510" xr:uid="{A245604A-7170-4A41-82CE-D7C685C0E31E}"/>
    <cellStyle name="Comma 31 5 2" xfId="15862" xr:uid="{3327C5F5-E37F-4B1D-86CF-D3ADCBB8EC9D}"/>
    <cellStyle name="Comma 31 6" xfId="10688" xr:uid="{E9A92334-2C60-4DA6-824A-111BB7466E9F}"/>
    <cellStyle name="Comma 310" xfId="550" xr:uid="{F61D9593-D40A-42AD-82E3-299F93C3A64D}"/>
    <cellStyle name="Comma 310 2" xfId="1588" xr:uid="{8DE7FA9D-3449-49FE-AEB2-BC8B4813CC60}"/>
    <cellStyle name="Comma 310 2 2" xfId="3646" xr:uid="{3DD8CB5B-730E-4E97-A83C-EDE4477FDAB9}"/>
    <cellStyle name="Comma 310 2 2 2" xfId="8879" xr:uid="{1DEA5A41-D9BD-428A-86FC-77194CE49363}"/>
    <cellStyle name="Comma 310 2 2 2 2" xfId="19231" xr:uid="{D1109542-70E9-4D34-AC39-36741EAC9DF7}"/>
    <cellStyle name="Comma 310 2 2 3" xfId="14056" xr:uid="{8BF673AC-024B-483B-A71E-5B63F9C8A74D}"/>
    <cellStyle name="Comma 310 2 3" xfId="6821" xr:uid="{715AC8C2-BDC3-4BCC-BD06-85B48287D483}"/>
    <cellStyle name="Comma 310 2 3 2" xfId="17173" xr:uid="{6F3B6A07-8926-4C4A-8C1A-03F966327A04}"/>
    <cellStyle name="Comma 310 2 4" xfId="11998" xr:uid="{098A3169-EB2E-4D57-B4AE-90B889F553D0}"/>
    <cellStyle name="Comma 310 3" xfId="2616" xr:uid="{804EE8CF-B746-4662-B768-A22C07605336}"/>
    <cellStyle name="Comma 310 3 2" xfId="7849" xr:uid="{119D8B4F-5F51-4678-9B12-75187971B248}"/>
    <cellStyle name="Comma 310 3 2 2" xfId="18201" xr:uid="{F93FB708-4D3F-4861-9EEB-9702EEDE9E30}"/>
    <cellStyle name="Comma 310 3 3" xfId="13026" xr:uid="{6B7F51C9-40CC-4225-A9C4-0571B90BBEBB}"/>
    <cellStyle name="Comma 310 4" xfId="4742" xr:uid="{59A351F7-AB77-44DC-9DB5-4CBC7C3D297A}"/>
    <cellStyle name="Comma 310 4 2" xfId="9918" xr:uid="{137E3CBD-C708-44E8-8F5C-2171405D5BC0}"/>
    <cellStyle name="Comma 310 4 2 2" xfId="20270" xr:uid="{6FB71FFC-7E17-42DF-A15C-2F57EF7ECF5F}"/>
    <cellStyle name="Comma 310 4 3" xfId="15094" xr:uid="{4B767A3C-BED6-4842-9B6D-36E568C6657C}"/>
    <cellStyle name="Comma 310 5" xfId="5790" xr:uid="{5711DDE4-272C-4F61-8A03-AFC339670758}"/>
    <cellStyle name="Comma 310 5 2" xfId="16142" xr:uid="{BB578E1D-81F1-4DCB-815E-F8FE88D53ACC}"/>
    <cellStyle name="Comma 310 6" xfId="10968" xr:uid="{36654DC7-0576-403B-B6A1-439D9D5C792B}"/>
    <cellStyle name="Comma 311" xfId="551" xr:uid="{25383505-DA98-462C-8E2F-BF6E139C15D9}"/>
    <cellStyle name="Comma 311 2" xfId="1589" xr:uid="{312887C5-E00B-4583-942C-5BF426703CF7}"/>
    <cellStyle name="Comma 311 2 2" xfId="3647" xr:uid="{A389DD75-4ED4-4A0D-BC5D-9C811A47CE10}"/>
    <cellStyle name="Comma 311 2 2 2" xfId="8880" xr:uid="{1EA68377-B6E7-41C9-A69C-DCE749EFCFCF}"/>
    <cellStyle name="Comma 311 2 2 2 2" xfId="19232" xr:uid="{B85A9ED9-5645-4EE3-A261-DB3055C216BF}"/>
    <cellStyle name="Comma 311 2 2 3" xfId="14057" xr:uid="{14674C43-EE80-4F7D-A397-BC5A92F11515}"/>
    <cellStyle name="Comma 311 2 3" xfId="6822" xr:uid="{DB211B0F-7B18-4208-BC1F-83DAE9C2A101}"/>
    <cellStyle name="Comma 311 2 3 2" xfId="17174" xr:uid="{367ABD67-105B-46B0-ABD8-8248B7D127EB}"/>
    <cellStyle name="Comma 311 2 4" xfId="11999" xr:uid="{20E707C1-E6EC-4280-9540-4C513DF4F460}"/>
    <cellStyle name="Comma 311 3" xfId="2617" xr:uid="{6E789538-3DA3-4C4A-8B97-383102C85A51}"/>
    <cellStyle name="Comma 311 3 2" xfId="7850" xr:uid="{D0E44744-80E7-4EB1-AEDE-C4FFB46C0E73}"/>
    <cellStyle name="Comma 311 3 2 2" xfId="18202" xr:uid="{DC651C64-9E81-4F63-8F8D-0F2F5D3BC827}"/>
    <cellStyle name="Comma 311 3 3" xfId="13027" xr:uid="{3828BC24-004D-4F01-9711-78F40DF6C95A}"/>
    <cellStyle name="Comma 311 4" xfId="4743" xr:uid="{2460D602-8606-4E8F-9A6D-9F7E74B73A93}"/>
    <cellStyle name="Comma 311 4 2" xfId="9919" xr:uid="{D5932961-9A56-476C-B244-51D266785BF3}"/>
    <cellStyle name="Comma 311 4 2 2" xfId="20271" xr:uid="{D7FE1F66-D295-4AC3-A97D-A56050299CB1}"/>
    <cellStyle name="Comma 311 4 3" xfId="15095" xr:uid="{B41ABD0A-EDFD-4ED3-8451-1E2895CC2494}"/>
    <cellStyle name="Comma 311 5" xfId="5791" xr:uid="{1BE026ED-9ADA-4B06-BB70-6F923B11FC6E}"/>
    <cellStyle name="Comma 311 5 2" xfId="16143" xr:uid="{2396FBC9-D3A3-4B75-8D28-E03FD40800B6}"/>
    <cellStyle name="Comma 311 6" xfId="10969" xr:uid="{0E3777CE-D686-4186-8F08-04CE1F6DDCC5}"/>
    <cellStyle name="Comma 312" xfId="552" xr:uid="{78B68AE6-201F-4B06-A103-92BD00EF2072}"/>
    <cellStyle name="Comma 312 2" xfId="1590" xr:uid="{A8D32B8A-85B2-43D3-B24F-D12C8547B8B8}"/>
    <cellStyle name="Comma 312 2 2" xfId="3648" xr:uid="{E79B2924-7C66-4DF8-B54A-4E2E40AC33DE}"/>
    <cellStyle name="Comma 312 2 2 2" xfId="8881" xr:uid="{CF794232-BEF1-4B68-9F47-CDF86CE1CE79}"/>
    <cellStyle name="Comma 312 2 2 2 2" xfId="19233" xr:uid="{AC673172-CEBE-4D1B-8AED-933AB263530C}"/>
    <cellStyle name="Comma 312 2 2 3" xfId="14058" xr:uid="{40722993-3BCC-4CB1-8CFF-7852AFEEA2A5}"/>
    <cellStyle name="Comma 312 2 3" xfId="6823" xr:uid="{ACF18FE6-4C11-40F1-B2E8-8474FE586929}"/>
    <cellStyle name="Comma 312 2 3 2" xfId="17175" xr:uid="{98693341-377B-4928-B7B8-89F72C8F15C3}"/>
    <cellStyle name="Comma 312 2 4" xfId="12000" xr:uid="{3D4D23F9-60BC-4994-ABD9-5B3FED7A54BB}"/>
    <cellStyle name="Comma 312 3" xfId="2618" xr:uid="{EC4EB2B6-EA0C-4228-8FF6-C9986A954F29}"/>
    <cellStyle name="Comma 312 3 2" xfId="7851" xr:uid="{A028E8B1-920A-4624-8D2F-26CE8AD0A214}"/>
    <cellStyle name="Comma 312 3 2 2" xfId="18203" xr:uid="{68865618-C83A-4850-A233-B035DC0DA351}"/>
    <cellStyle name="Comma 312 3 3" xfId="13028" xr:uid="{EFCC5B7C-1D51-4934-AB2A-5254188BBB76}"/>
    <cellStyle name="Comma 312 4" xfId="4744" xr:uid="{1AE049F4-E507-49EF-80A1-A5847CA15482}"/>
    <cellStyle name="Comma 312 4 2" xfId="9920" xr:uid="{613F84D5-6907-4190-837A-727BD64660F0}"/>
    <cellStyle name="Comma 312 4 2 2" xfId="20272" xr:uid="{9139E529-3BC2-4862-975F-979B97438F88}"/>
    <cellStyle name="Comma 312 4 3" xfId="15096" xr:uid="{223A1A75-9370-45EC-9097-CEB5D8197518}"/>
    <cellStyle name="Comma 312 5" xfId="5792" xr:uid="{948F4D2D-4438-4BF6-AFF5-5CB3028FB8E4}"/>
    <cellStyle name="Comma 312 5 2" xfId="16144" xr:uid="{4BC8ED56-14E0-4F9F-A20C-E69219ACF2CA}"/>
    <cellStyle name="Comma 312 6" xfId="10970" xr:uid="{8BB5B8D9-65FF-496F-80A5-16B8B599ED0C}"/>
    <cellStyle name="Comma 313" xfId="553" xr:uid="{52D3A887-1E79-4F05-A222-58456A65E0DF}"/>
    <cellStyle name="Comma 313 2" xfId="1591" xr:uid="{B98A8D5C-6E23-41CE-81E9-7042EE77DF95}"/>
    <cellStyle name="Comma 313 2 2" xfId="3649" xr:uid="{EB7D9DA9-DD3E-4764-8E9E-CAFF3FFD8D77}"/>
    <cellStyle name="Comma 313 2 2 2" xfId="8882" xr:uid="{6B41E035-C67A-4536-89F5-88A1E229EC04}"/>
    <cellStyle name="Comma 313 2 2 2 2" xfId="19234" xr:uid="{4DCB1632-9FD0-4A5B-86FD-E550B6C2DE2F}"/>
    <cellStyle name="Comma 313 2 2 3" xfId="14059" xr:uid="{7D36B858-C050-4A1C-A08D-3CD5A9C5B058}"/>
    <cellStyle name="Comma 313 2 3" xfId="6824" xr:uid="{1EF25D07-A1C6-4E47-B53E-895BE76239BD}"/>
    <cellStyle name="Comma 313 2 3 2" xfId="17176" xr:uid="{EDC721C5-D433-43C3-BDD6-49059913311B}"/>
    <cellStyle name="Comma 313 2 4" xfId="12001" xr:uid="{11380AA0-6198-44ED-BEDE-CD8A3D75C593}"/>
    <cellStyle name="Comma 313 3" xfId="2619" xr:uid="{5DE1EB73-848E-4958-BEA6-7CC634E4F50D}"/>
    <cellStyle name="Comma 313 3 2" xfId="7852" xr:uid="{BD0ABB1B-91B4-445F-85B1-FA3FC706E1C0}"/>
    <cellStyle name="Comma 313 3 2 2" xfId="18204" xr:uid="{351096DE-EDAE-4FFF-924F-CE9CDD471B61}"/>
    <cellStyle name="Comma 313 3 3" xfId="13029" xr:uid="{907A0947-9CBD-4872-B08E-6893FC758B16}"/>
    <cellStyle name="Comma 313 4" xfId="4745" xr:uid="{2D02BEFD-9CBE-47B3-9B7D-1B2D73B21A09}"/>
    <cellStyle name="Comma 313 4 2" xfId="9921" xr:uid="{80972755-63EC-4900-A756-296D5F929787}"/>
    <cellStyle name="Comma 313 4 2 2" xfId="20273" xr:uid="{2AB61B7C-693D-4A35-AAB4-230BA613692E}"/>
    <cellStyle name="Comma 313 4 3" xfId="15097" xr:uid="{5EB8D66E-4D96-4527-BC6A-458ABD7EE27B}"/>
    <cellStyle name="Comma 313 5" xfId="5793" xr:uid="{B399ED90-695B-4E77-BC3A-3F9FF72B4B75}"/>
    <cellStyle name="Comma 313 5 2" xfId="16145" xr:uid="{4435B78E-396C-4F15-AA0E-EEE26D716285}"/>
    <cellStyle name="Comma 313 6" xfId="10971" xr:uid="{8D3EB424-34D8-4E4F-B00E-BD8DB1849BDF}"/>
    <cellStyle name="Comma 314" xfId="554" xr:uid="{B077BC57-5CF2-400D-A6E4-DDC177175FBE}"/>
    <cellStyle name="Comma 314 2" xfId="1592" xr:uid="{523238F3-A300-4D6D-953C-934999CB7261}"/>
    <cellStyle name="Comma 314 2 2" xfId="3650" xr:uid="{D5D1F217-F897-4855-A079-1476D7A018D7}"/>
    <cellStyle name="Comma 314 2 2 2" xfId="8883" xr:uid="{F890C28B-D5F6-460C-B048-101F7F8AC0EE}"/>
    <cellStyle name="Comma 314 2 2 2 2" xfId="19235" xr:uid="{20E2D189-08E0-4CBE-8292-67DCE2F35F46}"/>
    <cellStyle name="Comma 314 2 2 3" xfId="14060" xr:uid="{BC6AC081-7BF7-42E3-9672-C57A0FABB967}"/>
    <cellStyle name="Comma 314 2 3" xfId="6825" xr:uid="{C204BAD2-157C-41D0-8AE6-327E088F6F4F}"/>
    <cellStyle name="Comma 314 2 3 2" xfId="17177" xr:uid="{122965D5-9946-4D11-A8C7-C6A121680380}"/>
    <cellStyle name="Comma 314 2 4" xfId="12002" xr:uid="{1125D299-5C69-4B14-A086-B651A9E37BD7}"/>
    <cellStyle name="Comma 314 3" xfId="2620" xr:uid="{93C3D9F8-9E9D-4E9C-B532-C4356D78F9A7}"/>
    <cellStyle name="Comma 314 3 2" xfId="7853" xr:uid="{38465B77-8D63-4145-9EBC-13C0D920891C}"/>
    <cellStyle name="Comma 314 3 2 2" xfId="18205" xr:uid="{D2520DB5-B942-4D83-9CC1-C007C3A1299F}"/>
    <cellStyle name="Comma 314 3 3" xfId="13030" xr:uid="{F8AAB6AC-0F5A-47C7-8CC8-166FD1CF285B}"/>
    <cellStyle name="Comma 314 4" xfId="4746" xr:uid="{02B21954-9E2A-4DF2-9CF6-47E724257FED}"/>
    <cellStyle name="Comma 314 4 2" xfId="9922" xr:uid="{53886930-6331-43E6-9467-E33F26E999AA}"/>
    <cellStyle name="Comma 314 4 2 2" xfId="20274" xr:uid="{C22D57E5-F36B-434F-9DF0-ABC9892223D2}"/>
    <cellStyle name="Comma 314 4 3" xfId="15098" xr:uid="{03170154-DB7C-4F60-86FD-8E41336A8B2C}"/>
    <cellStyle name="Comma 314 5" xfId="5794" xr:uid="{995A80A9-D55D-4F58-A53C-5E9FF7AB12A3}"/>
    <cellStyle name="Comma 314 5 2" xfId="16146" xr:uid="{7491164D-CE83-47A5-A2D8-515FDFF06EFC}"/>
    <cellStyle name="Comma 314 6" xfId="10972" xr:uid="{7BE45F1F-2F80-4619-95E2-A9085F9A1468}"/>
    <cellStyle name="Comma 315" xfId="555" xr:uid="{16EF5A4C-7D31-4ABA-B211-35518AF8BE52}"/>
    <cellStyle name="Comma 315 2" xfId="1593" xr:uid="{EDCA2E40-78FA-4781-A87A-8E8C9BAA172F}"/>
    <cellStyle name="Comma 315 2 2" xfId="3651" xr:uid="{0B264213-7A5C-4200-AD87-E1A3F8368591}"/>
    <cellStyle name="Comma 315 2 2 2" xfId="8884" xr:uid="{ACE87224-BF9C-4F13-A2D4-3EAC889186F2}"/>
    <cellStyle name="Comma 315 2 2 2 2" xfId="19236" xr:uid="{53072EBE-59F4-4C48-8827-D9103897CE08}"/>
    <cellStyle name="Comma 315 2 2 3" xfId="14061" xr:uid="{A05B6C9C-6493-4BF3-A96E-671EBF105B23}"/>
    <cellStyle name="Comma 315 2 3" xfId="6826" xr:uid="{6C2A2FAA-D9F7-4357-9C1C-B2E88B372B3C}"/>
    <cellStyle name="Comma 315 2 3 2" xfId="17178" xr:uid="{1E35DA0B-4AA4-4097-9C55-658AA49547BE}"/>
    <cellStyle name="Comma 315 2 4" xfId="12003" xr:uid="{8059AA8D-9EC7-4C85-AEBF-85EF239BE7AB}"/>
    <cellStyle name="Comma 315 3" xfId="2621" xr:uid="{DA9360DD-C773-4D59-A80F-27559ABF221E}"/>
    <cellStyle name="Comma 315 3 2" xfId="7854" xr:uid="{A5A71599-375B-4EB1-BEA0-66990F71887D}"/>
    <cellStyle name="Comma 315 3 2 2" xfId="18206" xr:uid="{6BC0EAB9-4DA2-4735-9F8F-FEF808FEB4F7}"/>
    <cellStyle name="Comma 315 3 3" xfId="13031" xr:uid="{69B91B54-D229-4D9C-B293-2CF749B99FF4}"/>
    <cellStyle name="Comma 315 4" xfId="4747" xr:uid="{A3CAAD4B-E4C9-4ECE-9064-8D2BD2A10416}"/>
    <cellStyle name="Comma 315 4 2" xfId="9923" xr:uid="{C4E2956C-3711-4406-93EF-26DD8668A154}"/>
    <cellStyle name="Comma 315 4 2 2" xfId="20275" xr:uid="{7DEBA908-F295-4188-88A4-9A8ACB030FBF}"/>
    <cellStyle name="Comma 315 4 3" xfId="15099" xr:uid="{CF57DA10-B7BB-43BE-AB78-3528EF91CBAD}"/>
    <cellStyle name="Comma 315 5" xfId="5795" xr:uid="{3C41C5E3-E011-40A7-B30F-912CF3E5B69E}"/>
    <cellStyle name="Comma 315 5 2" xfId="16147" xr:uid="{AA4131CD-CC52-41EC-82A4-48E20542C3FE}"/>
    <cellStyle name="Comma 315 6" xfId="10973" xr:uid="{E3B0ADF2-B5C0-45BB-8085-77DD95345403}"/>
    <cellStyle name="Comma 316" xfId="556" xr:uid="{F482F7E1-8D20-4054-B84D-B30B30BF7896}"/>
    <cellStyle name="Comma 316 2" xfId="1594" xr:uid="{C5D1C770-BB2F-4EB1-A4FE-8C40376B117B}"/>
    <cellStyle name="Comma 316 2 2" xfId="3652" xr:uid="{180721CA-1003-44FC-B7B7-16FE820322E4}"/>
    <cellStyle name="Comma 316 2 2 2" xfId="8885" xr:uid="{0577F89F-30B3-4549-A21D-F7F168A73AA8}"/>
    <cellStyle name="Comma 316 2 2 2 2" xfId="19237" xr:uid="{BD1C4AFF-51BC-4771-A2FF-C369B17C5EB1}"/>
    <cellStyle name="Comma 316 2 2 3" xfId="14062" xr:uid="{401B0FFB-BD80-4CEE-9DA5-804FE2A81E83}"/>
    <cellStyle name="Comma 316 2 3" xfId="6827" xr:uid="{E49217B6-CDD4-4C1D-BD5D-853871187951}"/>
    <cellStyle name="Comma 316 2 3 2" xfId="17179" xr:uid="{6E55EC07-F207-4D73-86F7-BE97B03066DB}"/>
    <cellStyle name="Comma 316 2 4" xfId="12004" xr:uid="{A318A979-DC58-49B3-A9B1-D89DA5035374}"/>
    <cellStyle name="Comma 316 3" xfId="2622" xr:uid="{85C3CFD8-A74F-4A11-A6F4-61337B54C1F7}"/>
    <cellStyle name="Comma 316 3 2" xfId="7855" xr:uid="{1BC9E99C-BCD5-4AA0-9021-C5BF014FC530}"/>
    <cellStyle name="Comma 316 3 2 2" xfId="18207" xr:uid="{72EAE7E9-19D0-42D8-A818-649C42FBCDBE}"/>
    <cellStyle name="Comma 316 3 3" xfId="13032" xr:uid="{394E95BA-DA94-4A8B-A8B4-8CFDED8CE537}"/>
    <cellStyle name="Comma 316 4" xfId="4748" xr:uid="{0463A7E8-8D16-412E-B4B4-84039E9F88C0}"/>
    <cellStyle name="Comma 316 4 2" xfId="9924" xr:uid="{3B502A64-275F-4EE2-9FB7-58EB09C6E691}"/>
    <cellStyle name="Comma 316 4 2 2" xfId="20276" xr:uid="{3B108FF8-B735-400C-8605-B0BEC2A2F8CC}"/>
    <cellStyle name="Comma 316 4 3" xfId="15100" xr:uid="{8424F736-0E36-4B95-86D8-94510B7BD9E4}"/>
    <cellStyle name="Comma 316 5" xfId="5796" xr:uid="{6270C19D-F44D-4457-9460-4E8D57BD95A8}"/>
    <cellStyle name="Comma 316 5 2" xfId="16148" xr:uid="{5E926964-7A1C-4DF7-AFC2-D77D7823AEC2}"/>
    <cellStyle name="Comma 316 6" xfId="10974" xr:uid="{A7F79553-0338-4020-BC80-4284202CD4B5}"/>
    <cellStyle name="Comma 317" xfId="557" xr:uid="{086E8DED-7A5F-443B-8CD5-BC541485A773}"/>
    <cellStyle name="Comma 317 2" xfId="1595" xr:uid="{A1D5FACE-A978-4364-AAD4-73C3B274D9B2}"/>
    <cellStyle name="Comma 317 2 2" xfId="3653" xr:uid="{BEFA1A69-7AA0-4308-9DC5-0BE7F8052569}"/>
    <cellStyle name="Comma 317 2 2 2" xfId="8886" xr:uid="{3584AFD6-AB36-4AE2-9277-52FA72C1EDB0}"/>
    <cellStyle name="Comma 317 2 2 2 2" xfId="19238" xr:uid="{AD80A042-371C-4452-8507-DC28E7095383}"/>
    <cellStyle name="Comma 317 2 2 3" xfId="14063" xr:uid="{AF7E7F01-B414-4909-B065-2EFE690C448C}"/>
    <cellStyle name="Comma 317 2 3" xfId="6828" xr:uid="{6B35E286-2349-40B5-9101-D9E0D161758F}"/>
    <cellStyle name="Comma 317 2 3 2" xfId="17180" xr:uid="{93C22572-9BFE-42B0-A278-5883154C0F1A}"/>
    <cellStyle name="Comma 317 2 4" xfId="12005" xr:uid="{EAEEBADB-C820-4F5E-BD18-ED17461CE588}"/>
    <cellStyle name="Comma 317 3" xfId="2623" xr:uid="{7F50CBFA-D37A-44EF-8107-937E508A0F75}"/>
    <cellStyle name="Comma 317 3 2" xfId="7856" xr:uid="{B20C72C7-8077-4CEC-A08C-E0E135938D8E}"/>
    <cellStyle name="Comma 317 3 2 2" xfId="18208" xr:uid="{7C27A830-968E-4CA1-BA31-724951EEE3BE}"/>
    <cellStyle name="Comma 317 3 3" xfId="13033" xr:uid="{1C3660E9-856E-4904-A07E-A64A5732A151}"/>
    <cellStyle name="Comma 317 4" xfId="4749" xr:uid="{2860170E-215A-44BA-B9E4-D2029D68944B}"/>
    <cellStyle name="Comma 317 4 2" xfId="9925" xr:uid="{6B9B76E4-EB57-48E8-8A76-C302A650DCC3}"/>
    <cellStyle name="Comma 317 4 2 2" xfId="20277" xr:uid="{8E35A6B3-50B8-474A-BD60-D854B18EFBEB}"/>
    <cellStyle name="Comma 317 4 3" xfId="15101" xr:uid="{BBA6D951-EFC6-4ECE-BC56-EA595E04B7BE}"/>
    <cellStyle name="Comma 317 5" xfId="5797" xr:uid="{B317A104-F885-422B-AF98-B25F70A280DA}"/>
    <cellStyle name="Comma 317 5 2" xfId="16149" xr:uid="{F0BBFA53-C3BB-4EBB-8110-194E079B16EE}"/>
    <cellStyle name="Comma 317 6" xfId="10975" xr:uid="{8D4367E9-4133-4EB5-8573-E5C3B9765F23}"/>
    <cellStyle name="Comma 318" xfId="558" xr:uid="{55C18016-5354-47D8-BB00-C618D945DABD}"/>
    <cellStyle name="Comma 318 2" xfId="1596" xr:uid="{6B78DAF8-D8C0-4920-A6A1-D6D2464F6376}"/>
    <cellStyle name="Comma 318 2 2" xfId="3654" xr:uid="{FF83218B-991E-45EA-AF83-5036ACD18981}"/>
    <cellStyle name="Comma 318 2 2 2" xfId="8887" xr:uid="{93000A67-C03D-4266-9EEF-AC9BC1F734BF}"/>
    <cellStyle name="Comma 318 2 2 2 2" xfId="19239" xr:uid="{4F0506EB-CC03-48D4-A3B9-CA76E8973EFC}"/>
    <cellStyle name="Comma 318 2 2 3" xfId="14064" xr:uid="{38F85A1D-1C7F-4081-B58C-80935FE0ECF2}"/>
    <cellStyle name="Comma 318 2 3" xfId="6829" xr:uid="{A9214EB2-6A72-415F-BB3A-4374E214832B}"/>
    <cellStyle name="Comma 318 2 3 2" xfId="17181" xr:uid="{EB243C35-3671-4112-9BEA-A019CFECC7AB}"/>
    <cellStyle name="Comma 318 2 4" xfId="12006" xr:uid="{E624CD13-0966-407C-9AE2-0A1D24B1E26B}"/>
    <cellStyle name="Comma 318 3" xfId="2624" xr:uid="{A17054DF-26AF-484B-AC70-905B6BE218B6}"/>
    <cellStyle name="Comma 318 3 2" xfId="7857" xr:uid="{83C12D26-168D-433D-AC9C-06510AE773C4}"/>
    <cellStyle name="Comma 318 3 2 2" xfId="18209" xr:uid="{01C71E16-F53C-4016-9FF7-16DF10075CC1}"/>
    <cellStyle name="Comma 318 3 3" xfId="13034" xr:uid="{5B5626DC-4151-4592-B0EE-2EB6CCC3A25B}"/>
    <cellStyle name="Comma 318 4" xfId="4750" xr:uid="{15607165-43B1-433F-89DA-27B8A9303DB7}"/>
    <cellStyle name="Comma 318 4 2" xfId="9926" xr:uid="{BFD255C6-E4A3-40E4-8605-0417333733E5}"/>
    <cellStyle name="Comma 318 4 2 2" xfId="20278" xr:uid="{89F78DBD-E1F1-4508-8C9C-4CC2675D877F}"/>
    <cellStyle name="Comma 318 4 3" xfId="15102" xr:uid="{3682A37A-2D9C-4791-A1A8-DEC3D8EB74DC}"/>
    <cellStyle name="Comma 318 5" xfId="5798" xr:uid="{5A0EC29F-C698-437B-BE41-E3A96DED4143}"/>
    <cellStyle name="Comma 318 5 2" xfId="16150" xr:uid="{4A38803E-B600-46BF-B2CF-C8D9E1F8463D}"/>
    <cellStyle name="Comma 318 6" xfId="10976" xr:uid="{5E465846-1E37-4BA5-9B1E-51CCD50C4E10}"/>
    <cellStyle name="Comma 319" xfId="559" xr:uid="{0F114F61-AF85-4052-BEB2-97311F761328}"/>
    <cellStyle name="Comma 319 2" xfId="1597" xr:uid="{7BEF3BC0-A66C-4652-8EA6-6A70F038246F}"/>
    <cellStyle name="Comma 319 2 2" xfId="3655" xr:uid="{02D35982-7869-48EC-8C67-1D31F8C2A133}"/>
    <cellStyle name="Comma 319 2 2 2" xfId="8888" xr:uid="{A8D10F0C-471E-4917-A4AF-65442D8FDD95}"/>
    <cellStyle name="Comma 319 2 2 2 2" xfId="19240" xr:uid="{B7E183C5-BE9A-4470-BC46-308E7065C03A}"/>
    <cellStyle name="Comma 319 2 2 3" xfId="14065" xr:uid="{44BEA590-DAF0-481E-B8D8-680C4AA56BA8}"/>
    <cellStyle name="Comma 319 2 3" xfId="6830" xr:uid="{031DDB3D-3FF8-4C45-B04B-AFBCA0B08A33}"/>
    <cellStyle name="Comma 319 2 3 2" xfId="17182" xr:uid="{E55214C4-CB7F-41C9-B68F-F957D8F051A8}"/>
    <cellStyle name="Comma 319 2 4" xfId="12007" xr:uid="{C040A73B-D9E1-4527-AEE0-190D5DE4EEB4}"/>
    <cellStyle name="Comma 319 3" xfId="2625" xr:uid="{39E21517-6BCF-4A31-B9CB-7381B5452B30}"/>
    <cellStyle name="Comma 319 3 2" xfId="7858" xr:uid="{9959A45C-9DAE-4C82-8BBC-441C4C4229A9}"/>
    <cellStyle name="Comma 319 3 2 2" xfId="18210" xr:uid="{53C6D7F9-31AC-4B65-B500-D967A716D161}"/>
    <cellStyle name="Comma 319 3 3" xfId="13035" xr:uid="{4BEA72E9-F8EF-4B0C-B230-C6907B1F4819}"/>
    <cellStyle name="Comma 319 4" xfId="4751" xr:uid="{8E108592-A59C-4D80-938C-88B47AB26AAC}"/>
    <cellStyle name="Comma 319 4 2" xfId="9927" xr:uid="{F2732948-7E0F-412D-BFC2-4BF0AC624196}"/>
    <cellStyle name="Comma 319 4 2 2" xfId="20279" xr:uid="{6FBDAEE1-4BEB-460C-8E63-31F1E4F15553}"/>
    <cellStyle name="Comma 319 4 3" xfId="15103" xr:uid="{3381D868-E893-469E-B6BB-F91286CFF1CD}"/>
    <cellStyle name="Comma 319 5" xfId="5799" xr:uid="{6DC2E81B-AD77-45AA-A5A8-5AA92448E543}"/>
    <cellStyle name="Comma 319 5 2" xfId="16151" xr:uid="{94CA821F-1A82-410E-89FA-1E6C2B3C9A61}"/>
    <cellStyle name="Comma 319 6" xfId="10977" xr:uid="{8CC882F2-753C-4A85-B8D0-B0B75F2670BC}"/>
    <cellStyle name="Comma 32" xfId="223" xr:uid="{4FFFFA4C-4C65-4EF8-BEB6-0925E267950A}"/>
    <cellStyle name="Comma 32 2" xfId="1309" xr:uid="{E7FEA8DD-8887-49B5-9F38-8DD22E601B33}"/>
    <cellStyle name="Comma 32 2 2" xfId="3367" xr:uid="{8BDE07B8-DD3A-4297-B3E7-4F3AB6E95665}"/>
    <cellStyle name="Comma 32 2 2 2" xfId="8600" xr:uid="{971BCDA8-FD53-4C19-AE51-15CE61E514E8}"/>
    <cellStyle name="Comma 32 2 2 2 2" xfId="18952" xr:uid="{F4A784AF-A284-4B43-8EF0-9922C5646E48}"/>
    <cellStyle name="Comma 32 2 2 3" xfId="13777" xr:uid="{F73DF554-6E56-48A5-902C-9C6FD12D8B67}"/>
    <cellStyle name="Comma 32 2 3" xfId="6542" xr:uid="{9AEDF75B-CF13-42C0-B811-0AFF27D53558}"/>
    <cellStyle name="Comma 32 2 3 2" xfId="16894" xr:uid="{B7DD795B-7C16-4B49-B808-6C28530E3559}"/>
    <cellStyle name="Comma 32 2 4" xfId="11719" xr:uid="{DB48A7DA-2221-493D-8E17-EAA1870B2169}"/>
    <cellStyle name="Comma 32 3" xfId="2337" xr:uid="{7E1E2F28-0BF7-4BEA-BEAA-B4CC1D4FE6B0}"/>
    <cellStyle name="Comma 32 3 2" xfId="7570" xr:uid="{A349AF3E-B17F-4DC8-A587-A5520E85CD84}"/>
    <cellStyle name="Comma 32 3 2 2" xfId="17922" xr:uid="{294DD7E2-AE83-423C-B5AC-E799A402B87A}"/>
    <cellStyle name="Comma 32 3 3" xfId="12747" xr:uid="{18527405-8FFD-49A0-8A7E-94413005E3D2}"/>
    <cellStyle name="Comma 32 4" xfId="4463" xr:uid="{3CCD9160-C3CA-455D-94BE-AE79237D1843}"/>
    <cellStyle name="Comma 32 4 2" xfId="9639" xr:uid="{C8B146B4-CBBB-4928-B4E4-7870ED325D2C}"/>
    <cellStyle name="Comma 32 4 2 2" xfId="19991" xr:uid="{8F0DCD37-C88B-4343-A7EE-B49A4D14BADF}"/>
    <cellStyle name="Comma 32 4 3" xfId="14815" xr:uid="{D2E65790-D24F-4B91-8A99-735AAC044AA0}"/>
    <cellStyle name="Comma 32 5" xfId="5511" xr:uid="{19FC4CC4-EDEC-4E2C-9B4B-366D3DABFAD4}"/>
    <cellStyle name="Comma 32 5 2" xfId="15863" xr:uid="{CCAB56C3-2D7C-43B2-BEC0-6C163399D501}"/>
    <cellStyle name="Comma 32 6" xfId="10689" xr:uid="{41AFB065-59A8-46FD-8447-E792851D55F9}"/>
    <cellStyle name="Comma 320" xfId="560" xr:uid="{CD78ED47-F7C7-4465-BFD4-4432688EEC59}"/>
    <cellStyle name="Comma 320 2" xfId="1598" xr:uid="{412D1552-4B17-4C86-9E38-3CA03E27D11A}"/>
    <cellStyle name="Comma 320 2 2" xfId="3656" xr:uid="{334F574B-5843-4B87-A0F3-751C640DD826}"/>
    <cellStyle name="Comma 320 2 2 2" xfId="8889" xr:uid="{F325F25A-76B0-4DD2-96E9-5B9108534B83}"/>
    <cellStyle name="Comma 320 2 2 2 2" xfId="19241" xr:uid="{EC2DA0B3-4BC5-4732-B1D9-BE38A95A2740}"/>
    <cellStyle name="Comma 320 2 2 3" xfId="14066" xr:uid="{E83E5E9C-D656-478B-A468-E12DCF4B4201}"/>
    <cellStyle name="Comma 320 2 3" xfId="6831" xr:uid="{2FCE8BB0-2D73-44BA-8538-CE984BF3404C}"/>
    <cellStyle name="Comma 320 2 3 2" xfId="17183" xr:uid="{8AF4B1C9-E76E-4902-9FE6-5BDAECD294FB}"/>
    <cellStyle name="Comma 320 2 4" xfId="12008" xr:uid="{CC743544-FD9B-4023-87E8-CC6CC386D329}"/>
    <cellStyle name="Comma 320 3" xfId="2626" xr:uid="{8E6A6E66-BB43-4C40-B212-FB9EA3CF589D}"/>
    <cellStyle name="Comma 320 3 2" xfId="7859" xr:uid="{FB373464-788B-44E8-BB68-4114C073C9FD}"/>
    <cellStyle name="Comma 320 3 2 2" xfId="18211" xr:uid="{21685573-C3C5-444A-B49F-ED12D4D300A2}"/>
    <cellStyle name="Comma 320 3 3" xfId="13036" xr:uid="{93913CA3-E228-420A-AC18-239A5CCCF496}"/>
    <cellStyle name="Comma 320 4" xfId="4752" xr:uid="{55CA16FB-6A58-483F-A666-106E9706DFF5}"/>
    <cellStyle name="Comma 320 4 2" xfId="9928" xr:uid="{86EAF0DC-010E-4329-9B6C-0DDB238930AE}"/>
    <cellStyle name="Comma 320 4 2 2" xfId="20280" xr:uid="{9F4DB1E6-B8A8-423F-81F9-C3F4A02F4B59}"/>
    <cellStyle name="Comma 320 4 3" xfId="15104" xr:uid="{B5E72C0B-1910-413E-9E4C-6F43C6360CF7}"/>
    <cellStyle name="Comma 320 5" xfId="5800" xr:uid="{6BAE1E23-4D84-4D96-B930-943BB0A44852}"/>
    <cellStyle name="Comma 320 5 2" xfId="16152" xr:uid="{21F334A1-DE44-4C4D-8079-9ADA4CDDB39A}"/>
    <cellStyle name="Comma 320 6" xfId="10978" xr:uid="{2B88B4D0-3D99-43BB-9270-5642F7498981}"/>
    <cellStyle name="Comma 321" xfId="561" xr:uid="{514712BE-256D-4A4D-90BF-63EB609CBB18}"/>
    <cellStyle name="Comma 321 2" xfId="1599" xr:uid="{A48AF304-DD30-4123-8687-E76E540619FC}"/>
    <cellStyle name="Comma 321 2 2" xfId="3657" xr:uid="{E62D8628-B684-4F3E-9BF9-D6E8E882D79B}"/>
    <cellStyle name="Comma 321 2 2 2" xfId="8890" xr:uid="{8D2690A2-FEA7-445C-AE12-FE114423EFE6}"/>
    <cellStyle name="Comma 321 2 2 2 2" xfId="19242" xr:uid="{3706FA1D-A375-4F24-AE18-2B6C3B993BD4}"/>
    <cellStyle name="Comma 321 2 2 3" xfId="14067" xr:uid="{3F607957-E0BF-4919-B321-598DF2E0EFF0}"/>
    <cellStyle name="Comma 321 2 3" xfId="6832" xr:uid="{6B861AAB-BBEC-42AE-AB13-C2D78C563E60}"/>
    <cellStyle name="Comma 321 2 3 2" xfId="17184" xr:uid="{CF6FEB2F-501A-4444-9064-02F697CCB735}"/>
    <cellStyle name="Comma 321 2 4" xfId="12009" xr:uid="{06881E7C-FF67-4F5F-946E-EFAF13BABC00}"/>
    <cellStyle name="Comma 321 3" xfId="2627" xr:uid="{C279A73F-3317-4E51-9760-68A0F0AE5E1E}"/>
    <cellStyle name="Comma 321 3 2" xfId="7860" xr:uid="{F9DE1142-5479-42E6-8931-6B518978A201}"/>
    <cellStyle name="Comma 321 3 2 2" xfId="18212" xr:uid="{AE6C1C45-3247-476A-BD99-56BF2A31B65B}"/>
    <cellStyle name="Comma 321 3 3" xfId="13037" xr:uid="{34711198-3AD0-4684-A304-AEF8637E6168}"/>
    <cellStyle name="Comma 321 4" xfId="4753" xr:uid="{7BD49924-39C5-4FF5-8C27-E1A2805820BA}"/>
    <cellStyle name="Comma 321 4 2" xfId="9929" xr:uid="{7F8418B6-2F3C-4E3A-9364-92A2878EA799}"/>
    <cellStyle name="Comma 321 4 2 2" xfId="20281" xr:uid="{589AE0B6-7148-42A8-B06F-50166BB8C897}"/>
    <cellStyle name="Comma 321 4 3" xfId="15105" xr:uid="{3758088B-1CFB-4CDF-A012-8137C01AF205}"/>
    <cellStyle name="Comma 321 5" xfId="5801" xr:uid="{53BD1DD2-EA10-4F28-BE6D-E1AEA0AFC937}"/>
    <cellStyle name="Comma 321 5 2" xfId="16153" xr:uid="{952DF255-EAF9-4FEA-B806-06586394F1D9}"/>
    <cellStyle name="Comma 321 6" xfId="10979" xr:uid="{E71E3C9C-7DE2-47D1-BCBB-AD7D319C3269}"/>
    <cellStyle name="Comma 322" xfId="562" xr:uid="{EF28A08E-7777-4864-8E3C-345FED4ABCE5}"/>
    <cellStyle name="Comma 322 2" xfId="1600" xr:uid="{D94AEF2B-103B-453B-B625-82B1BFA19A67}"/>
    <cellStyle name="Comma 322 2 2" xfId="3658" xr:uid="{6C808768-4217-43C2-AC56-75B46D7542B4}"/>
    <cellStyle name="Comma 322 2 2 2" xfId="8891" xr:uid="{F82C53E2-5C5E-4927-850F-6FF896CA3892}"/>
    <cellStyle name="Comma 322 2 2 2 2" xfId="19243" xr:uid="{AAE1C915-6D6D-4E0D-83B1-E73CEC2708D4}"/>
    <cellStyle name="Comma 322 2 2 3" xfId="14068" xr:uid="{05284F37-58C2-40E6-A34D-FBD4139D65AC}"/>
    <cellStyle name="Comma 322 2 3" xfId="6833" xr:uid="{68271068-2BFD-4C45-9920-60C900809FE2}"/>
    <cellStyle name="Comma 322 2 3 2" xfId="17185" xr:uid="{0A30A77D-7ABE-4A05-A062-2ACA1C283C97}"/>
    <cellStyle name="Comma 322 2 4" xfId="12010" xr:uid="{1AC2039D-AD05-4A04-8826-2D0B996C4FF2}"/>
    <cellStyle name="Comma 322 3" xfId="2628" xr:uid="{EF3075B3-2551-4C10-A0AD-F2895FC556EF}"/>
    <cellStyle name="Comma 322 3 2" xfId="7861" xr:uid="{99EA91E0-2F2E-4A85-AC45-3C4D067CDC9A}"/>
    <cellStyle name="Comma 322 3 2 2" xfId="18213" xr:uid="{8EC1948B-2BC8-45E9-9387-1DF2FB97671D}"/>
    <cellStyle name="Comma 322 3 3" xfId="13038" xr:uid="{B1DF571A-54B3-482E-9E12-EAB385E87956}"/>
    <cellStyle name="Comma 322 4" xfId="4754" xr:uid="{26773D58-0F86-4D46-BF95-7C35E18B8340}"/>
    <cellStyle name="Comma 322 4 2" xfId="9930" xr:uid="{4750101D-AD24-444E-A939-C95EB33B580F}"/>
    <cellStyle name="Comma 322 4 2 2" xfId="20282" xr:uid="{6F1809A3-CAE3-4807-91AE-870D9F44087B}"/>
    <cellStyle name="Comma 322 4 3" xfId="15106" xr:uid="{5BEC1377-192F-4CA5-ABEA-9163E300D439}"/>
    <cellStyle name="Comma 322 5" xfId="5802" xr:uid="{7F2E9279-8DB6-4B69-ABE9-710CB3A7F6EE}"/>
    <cellStyle name="Comma 322 5 2" xfId="16154" xr:uid="{A9349DBB-E576-4DAA-B665-EAA320C04829}"/>
    <cellStyle name="Comma 322 6" xfId="10980" xr:uid="{E438909E-C199-4A43-BC7D-07D64442AD8D}"/>
    <cellStyle name="Comma 323" xfId="563" xr:uid="{D2A290FB-DA23-4590-B1AD-391F6D66C65E}"/>
    <cellStyle name="Comma 323 2" xfId="1601" xr:uid="{9B424DC7-7ADB-41AA-B298-377CD698757C}"/>
    <cellStyle name="Comma 323 2 2" xfId="3659" xr:uid="{93D71CCC-1A1D-4EAD-BBD0-2F99BCC8BA13}"/>
    <cellStyle name="Comma 323 2 2 2" xfId="8892" xr:uid="{E9634AF0-CD01-4A83-8F03-F239EC3E1C3B}"/>
    <cellStyle name="Comma 323 2 2 2 2" xfId="19244" xr:uid="{1A046E62-AA12-4961-88C7-596AB6324C88}"/>
    <cellStyle name="Comma 323 2 2 3" xfId="14069" xr:uid="{DBD9CE50-BEE7-423F-BD2A-562D892A8090}"/>
    <cellStyle name="Comma 323 2 3" xfId="6834" xr:uid="{D6E6F785-C436-480F-AFAE-B65A669AB296}"/>
    <cellStyle name="Comma 323 2 3 2" xfId="17186" xr:uid="{D00828A2-F83A-4732-8810-99D4865D8284}"/>
    <cellStyle name="Comma 323 2 4" xfId="12011" xr:uid="{1400D66D-5F36-4665-BAFA-372E29E23E80}"/>
    <cellStyle name="Comma 323 3" xfId="2629" xr:uid="{08EFF4B1-BB5D-4F66-BE02-0235809DE46D}"/>
    <cellStyle name="Comma 323 3 2" xfId="7862" xr:uid="{C3C91B31-B258-41DE-A6CB-1075CB56A396}"/>
    <cellStyle name="Comma 323 3 2 2" xfId="18214" xr:uid="{909BADA5-ED8E-473C-8838-A771E8821B94}"/>
    <cellStyle name="Comma 323 3 3" xfId="13039" xr:uid="{C77FAA2F-3289-46B4-8EB9-4A7C3B702229}"/>
    <cellStyle name="Comma 323 4" xfId="4755" xr:uid="{D983CCD1-9FA8-4644-A7D3-7C707D3ABE29}"/>
    <cellStyle name="Comma 323 4 2" xfId="9931" xr:uid="{5BF7D19D-8024-429F-B86C-A399CB903CAF}"/>
    <cellStyle name="Comma 323 4 2 2" xfId="20283" xr:uid="{34270620-96E4-4979-B26F-8B7DEF752754}"/>
    <cellStyle name="Comma 323 4 3" xfId="15107" xr:uid="{13BDC09D-3D13-4038-AF56-4D13D9E130CF}"/>
    <cellStyle name="Comma 323 5" xfId="5803" xr:uid="{DFC512C2-1E49-47E8-BECB-3AAC132AC3E1}"/>
    <cellStyle name="Comma 323 5 2" xfId="16155" xr:uid="{69E1AF14-5C7A-4C35-BBCB-A08C1DC0F530}"/>
    <cellStyle name="Comma 323 6" xfId="10981" xr:uid="{594B3483-EFDE-49AB-B627-79B9F25688DC}"/>
    <cellStyle name="Comma 324" xfId="564" xr:uid="{22016A18-D3DF-4ECD-B006-F62953FBB606}"/>
    <cellStyle name="Comma 324 2" xfId="1602" xr:uid="{0F71E046-2702-4B57-9C30-3E22FD44E76F}"/>
    <cellStyle name="Comma 324 2 2" xfId="3660" xr:uid="{8ADE33D7-5BBF-46D4-868C-26EC39E78E52}"/>
    <cellStyle name="Comma 324 2 2 2" xfId="8893" xr:uid="{794F9358-8C10-46A6-A699-E86702F98DB3}"/>
    <cellStyle name="Comma 324 2 2 2 2" xfId="19245" xr:uid="{58CAB500-EEC6-49C4-8082-EF0DBDFACFE7}"/>
    <cellStyle name="Comma 324 2 2 3" xfId="14070" xr:uid="{F9C88963-EE13-475C-8484-EC1F3C58BB9D}"/>
    <cellStyle name="Comma 324 2 3" xfId="6835" xr:uid="{C8A5080F-E0E9-4C9A-8319-B8EE809D3D2C}"/>
    <cellStyle name="Comma 324 2 3 2" xfId="17187" xr:uid="{91DC0A37-0399-4789-B4BE-0D82CE86D45F}"/>
    <cellStyle name="Comma 324 2 4" xfId="12012" xr:uid="{F2FA16E4-FA6E-47FA-A7DB-D5669ACDE8B1}"/>
    <cellStyle name="Comma 324 3" xfId="2630" xr:uid="{EBE6248E-1FB6-479B-8CEB-00299340815F}"/>
    <cellStyle name="Comma 324 3 2" xfId="7863" xr:uid="{C6CA598C-1D26-488B-88E8-5164548F7D1D}"/>
    <cellStyle name="Comma 324 3 2 2" xfId="18215" xr:uid="{500D95DE-8745-484E-B00E-7A580DEB2C05}"/>
    <cellStyle name="Comma 324 3 3" xfId="13040" xr:uid="{05CA5C6E-6F54-4C31-A1AD-72D2C940430C}"/>
    <cellStyle name="Comma 324 4" xfId="4756" xr:uid="{08EDB386-907F-4216-810A-EC34C9A48E63}"/>
    <cellStyle name="Comma 324 4 2" xfId="9932" xr:uid="{A4ED2492-6E45-4C36-BCA6-9561E3E4B4AA}"/>
    <cellStyle name="Comma 324 4 2 2" xfId="20284" xr:uid="{E0AEA65B-D57D-46DB-AF28-2B34C171E46F}"/>
    <cellStyle name="Comma 324 4 3" xfId="15108" xr:uid="{0B66C954-0BB5-431A-936E-E49E44B29B24}"/>
    <cellStyle name="Comma 324 5" xfId="5804" xr:uid="{015F73E3-1F80-4E48-AD32-26A968B3AA0E}"/>
    <cellStyle name="Comma 324 5 2" xfId="16156" xr:uid="{0F1C99EA-D376-4136-8A42-597270A22411}"/>
    <cellStyle name="Comma 324 6" xfId="10982" xr:uid="{7F45014B-E295-48D0-B68D-F8F7DE9B5D22}"/>
    <cellStyle name="Comma 325" xfId="565" xr:uid="{ED4C76E5-CB14-4AEB-BCA4-8B43A389BC23}"/>
    <cellStyle name="Comma 325 2" xfId="1603" xr:uid="{FED76BA7-9567-4792-B874-85CA83DCC7E0}"/>
    <cellStyle name="Comma 325 2 2" xfId="3661" xr:uid="{14E02AE0-4419-43E5-981E-A15F6C833704}"/>
    <cellStyle name="Comma 325 2 2 2" xfId="8894" xr:uid="{72DDA24D-158B-40C6-B49C-E4B1BA9D2937}"/>
    <cellStyle name="Comma 325 2 2 2 2" xfId="19246" xr:uid="{45C5DC2A-9C45-41ED-972D-F4D2108AE499}"/>
    <cellStyle name="Comma 325 2 2 3" xfId="14071" xr:uid="{D380C240-D5C8-465E-B694-14853101C552}"/>
    <cellStyle name="Comma 325 2 3" xfId="6836" xr:uid="{9B257CC3-5B00-459C-9105-90021D108813}"/>
    <cellStyle name="Comma 325 2 3 2" xfId="17188" xr:uid="{C791F8E2-A1A3-4B34-B677-AD649BB4297D}"/>
    <cellStyle name="Comma 325 2 4" xfId="12013" xr:uid="{EF534C86-5BD8-4FCE-A787-0D697FAEDA61}"/>
    <cellStyle name="Comma 325 3" xfId="2631" xr:uid="{9750F8A1-763F-40B7-A2E3-9170F053C3E5}"/>
    <cellStyle name="Comma 325 3 2" xfId="7864" xr:uid="{AD99B4F7-5888-4920-B50B-13EBE26ECBF7}"/>
    <cellStyle name="Comma 325 3 2 2" xfId="18216" xr:uid="{9EC0ABC3-95AC-45FE-8EBC-1EAFD053F4F2}"/>
    <cellStyle name="Comma 325 3 3" xfId="13041" xr:uid="{2E464ACD-BFAD-4B84-982B-4595623C3DDD}"/>
    <cellStyle name="Comma 325 4" xfId="4757" xr:uid="{097B0998-4D76-403D-97CC-752ACFEBC0B4}"/>
    <cellStyle name="Comma 325 4 2" xfId="9933" xr:uid="{7D927443-3108-46ED-833F-DD0FEC687F7D}"/>
    <cellStyle name="Comma 325 4 2 2" xfId="20285" xr:uid="{7F47BAB0-FC69-4AA3-8287-5092CB61146D}"/>
    <cellStyle name="Comma 325 4 3" xfId="15109" xr:uid="{C74BDC7F-B9DA-4446-ABCB-AF7568E8BE33}"/>
    <cellStyle name="Comma 325 5" xfId="5805" xr:uid="{5B624F50-565C-42E2-9B3E-4F1A6FB62FAB}"/>
    <cellStyle name="Comma 325 5 2" xfId="16157" xr:uid="{ED1FE869-F5EE-4067-A4E4-82CBB5B3C0C1}"/>
    <cellStyle name="Comma 325 6" xfId="10983" xr:uid="{954A6C6F-9CE0-4187-A24A-72FAE2488E43}"/>
    <cellStyle name="Comma 326" xfId="566" xr:uid="{9D33874B-A837-4829-83C7-D89CCEB917A8}"/>
    <cellStyle name="Comma 326 2" xfId="1604" xr:uid="{747406AA-7F2A-4018-B55F-C089A693DBA7}"/>
    <cellStyle name="Comma 326 2 2" xfId="3662" xr:uid="{667723C2-260D-48C1-8456-514C901EE3E2}"/>
    <cellStyle name="Comma 326 2 2 2" xfId="8895" xr:uid="{3F6AFC61-3A7E-40F8-85E6-68633DF469DD}"/>
    <cellStyle name="Comma 326 2 2 2 2" xfId="19247" xr:uid="{F9A1664E-0042-4959-9C4F-22387B79C7D7}"/>
    <cellStyle name="Comma 326 2 2 3" xfId="14072" xr:uid="{B6E623EA-0B12-4A1D-A52F-21FAB22CA3AA}"/>
    <cellStyle name="Comma 326 2 3" xfId="6837" xr:uid="{9FC2976F-5DC7-4328-BB76-1B758F2BECA8}"/>
    <cellStyle name="Comma 326 2 3 2" xfId="17189" xr:uid="{5AD5FBF9-73CE-4F32-A6B2-79AC00819040}"/>
    <cellStyle name="Comma 326 2 4" xfId="12014" xr:uid="{DC91961A-6257-42C0-85CE-20147CAE58D9}"/>
    <cellStyle name="Comma 326 3" xfId="2632" xr:uid="{5AED2503-DF08-482F-8EFC-0376A036A042}"/>
    <cellStyle name="Comma 326 3 2" xfId="7865" xr:uid="{68732AF1-60AC-4D71-B7ED-53816DA4B85A}"/>
    <cellStyle name="Comma 326 3 2 2" xfId="18217" xr:uid="{A38D28DD-8AF4-4D2C-A12A-F0C1ED85D866}"/>
    <cellStyle name="Comma 326 3 3" xfId="13042" xr:uid="{53420132-F2DB-4D85-A85C-4EAFB994BCAB}"/>
    <cellStyle name="Comma 326 4" xfId="4758" xr:uid="{1B4DCB74-15BA-41BF-B6B4-C063C66D97C2}"/>
    <cellStyle name="Comma 326 4 2" xfId="9934" xr:uid="{A92FE057-B46A-45B4-B6E7-14AAECAE1B9A}"/>
    <cellStyle name="Comma 326 4 2 2" xfId="20286" xr:uid="{2BDB5349-DC63-4AD2-A7E2-3304FFC5AF95}"/>
    <cellStyle name="Comma 326 4 3" xfId="15110" xr:uid="{D42DB373-AD77-4379-B0BA-98486C4224A0}"/>
    <cellStyle name="Comma 326 5" xfId="5806" xr:uid="{41E289FF-261C-42E1-A4FA-1D225A39EC95}"/>
    <cellStyle name="Comma 326 5 2" xfId="16158" xr:uid="{C61C4C62-FC77-4C55-AC3A-E1DFF442A586}"/>
    <cellStyle name="Comma 326 6" xfId="10984" xr:uid="{6403C53E-0958-4C4D-990A-DAD40318C1F7}"/>
    <cellStyle name="Comma 327" xfId="567" xr:uid="{EBFF5CFC-5C8F-4453-BC0D-8865B755C2D1}"/>
    <cellStyle name="Comma 327 2" xfId="1605" xr:uid="{8319F1CE-996E-42D7-A185-017C24813B6F}"/>
    <cellStyle name="Comma 327 2 2" xfId="3663" xr:uid="{9D8A671B-F1CC-46E2-981B-11FDFEE4DB2B}"/>
    <cellStyle name="Comma 327 2 2 2" xfId="8896" xr:uid="{55B026A3-17D7-4B3C-9407-8FBAF318C0D4}"/>
    <cellStyle name="Comma 327 2 2 2 2" xfId="19248" xr:uid="{B471CA8E-A2F4-401B-B82F-D4C90AA61D71}"/>
    <cellStyle name="Comma 327 2 2 3" xfId="14073" xr:uid="{CA17A7C6-0F58-4195-BA74-0953910A3D0F}"/>
    <cellStyle name="Comma 327 2 3" xfId="6838" xr:uid="{3F7102CE-7F2E-4CFB-8268-A92AAE96AF44}"/>
    <cellStyle name="Comma 327 2 3 2" xfId="17190" xr:uid="{A5C24791-85A0-43D5-9F49-89E87B322E56}"/>
    <cellStyle name="Comma 327 2 4" xfId="12015" xr:uid="{BA828D5D-76B4-44C8-94F1-93ED36F90B0E}"/>
    <cellStyle name="Comma 327 3" xfId="2633" xr:uid="{E7CF6643-2AC7-43AD-9362-3A376196694A}"/>
    <cellStyle name="Comma 327 3 2" xfId="7866" xr:uid="{E3A50C79-525E-45D5-8E60-EDED36A8EC15}"/>
    <cellStyle name="Comma 327 3 2 2" xfId="18218" xr:uid="{957B8B7A-EB5B-41BC-9AC9-B57187FC508B}"/>
    <cellStyle name="Comma 327 3 3" xfId="13043" xr:uid="{83389383-06A7-47AD-B57C-1AC28490D12A}"/>
    <cellStyle name="Comma 327 4" xfId="4759" xr:uid="{381B4136-C362-4CDD-9B26-952C7649515F}"/>
    <cellStyle name="Comma 327 4 2" xfId="9935" xr:uid="{A7A3A1E8-50D5-4DE4-891E-5B91BFD830B4}"/>
    <cellStyle name="Comma 327 4 2 2" xfId="20287" xr:uid="{0811890F-6492-403D-8AD2-9AB18552DC6F}"/>
    <cellStyle name="Comma 327 4 3" xfId="15111" xr:uid="{74DA3D86-6E1B-41AA-B6A5-1EFDD4FA2A25}"/>
    <cellStyle name="Comma 327 5" xfId="5807" xr:uid="{8929520A-5F99-450C-AE42-A71218336568}"/>
    <cellStyle name="Comma 327 5 2" xfId="16159" xr:uid="{3EBC061F-F187-4C52-B4EE-3C0FB26058AB}"/>
    <cellStyle name="Comma 327 6" xfId="10985" xr:uid="{5C32B414-FDC3-4BD2-966F-4CA3C06DE323}"/>
    <cellStyle name="Comma 328" xfId="568" xr:uid="{7FA3AE04-F052-46AD-A397-DB62D28763A8}"/>
    <cellStyle name="Comma 328 2" xfId="1606" xr:uid="{D2D85560-23C7-476B-ACE9-2C424EB6D81F}"/>
    <cellStyle name="Comma 328 2 2" xfId="3664" xr:uid="{3B13B431-6762-4094-BA0F-07745CD990B0}"/>
    <cellStyle name="Comma 328 2 2 2" xfId="8897" xr:uid="{1F03592E-D2C4-4562-934C-FADB8945385D}"/>
    <cellStyle name="Comma 328 2 2 2 2" xfId="19249" xr:uid="{727AB127-CD1A-464C-A94D-8B95381F179D}"/>
    <cellStyle name="Comma 328 2 2 3" xfId="14074" xr:uid="{B143A0B3-D134-4A73-B994-78E011CB6DAD}"/>
    <cellStyle name="Comma 328 2 3" xfId="6839" xr:uid="{F287AD8E-ACFA-434A-8907-1B6E7D324762}"/>
    <cellStyle name="Comma 328 2 3 2" xfId="17191" xr:uid="{C5A89402-9F1C-4EAC-9477-46AC3CF75720}"/>
    <cellStyle name="Comma 328 2 4" xfId="12016" xr:uid="{E9873DF2-22F8-44C2-9D25-DD3C1525CB4C}"/>
    <cellStyle name="Comma 328 3" xfId="2634" xr:uid="{E9203C27-CCBB-466C-B5A7-B6DB1D316A1C}"/>
    <cellStyle name="Comma 328 3 2" xfId="7867" xr:uid="{9B175412-D800-4D3B-9BBC-79BA699B7BEC}"/>
    <cellStyle name="Comma 328 3 2 2" xfId="18219" xr:uid="{0FB050FF-B5F2-498B-8DE9-B676B254ADCA}"/>
    <cellStyle name="Comma 328 3 3" xfId="13044" xr:uid="{DD9927E7-4BF0-4E22-B705-CA9DDF0EEFB3}"/>
    <cellStyle name="Comma 328 4" xfId="4760" xr:uid="{197E3233-64EF-4FE0-9B17-4DF3AF44E307}"/>
    <cellStyle name="Comma 328 4 2" xfId="9936" xr:uid="{87B65AE8-8C2F-452C-B6ED-8A068F86B3CE}"/>
    <cellStyle name="Comma 328 4 2 2" xfId="20288" xr:uid="{6A85F612-74F9-4E15-A21D-200B3F9DA3FE}"/>
    <cellStyle name="Comma 328 4 3" xfId="15112" xr:uid="{2D7956E6-0002-425C-AB29-C416FA8F5BBE}"/>
    <cellStyle name="Comma 328 5" xfId="5808" xr:uid="{76E0980E-5275-4E4A-BDE3-539D8BFFADE4}"/>
    <cellStyle name="Comma 328 5 2" xfId="16160" xr:uid="{265E607E-6577-45C8-9123-8E615157D43C}"/>
    <cellStyle name="Comma 328 6" xfId="10986" xr:uid="{C159A9BC-761D-4635-8D8A-54DA49DE5BB6}"/>
    <cellStyle name="Comma 329" xfId="569" xr:uid="{32354D58-16A1-4B80-B9BB-8EF2483C521C}"/>
    <cellStyle name="Comma 329 2" xfId="1607" xr:uid="{2411463D-0547-48FD-83F4-CF2E371D9F9F}"/>
    <cellStyle name="Comma 329 2 2" xfId="3665" xr:uid="{51C276F8-3922-454B-AF85-F0D1AFE4482D}"/>
    <cellStyle name="Comma 329 2 2 2" xfId="8898" xr:uid="{0AFEA2DB-1116-4BCD-8495-47141C342464}"/>
    <cellStyle name="Comma 329 2 2 2 2" xfId="19250" xr:uid="{D673A1E1-3FBE-4553-B95D-29F929EC5F75}"/>
    <cellStyle name="Comma 329 2 2 3" xfId="14075" xr:uid="{EBA50947-B655-4E51-B898-FDD0F5A743CA}"/>
    <cellStyle name="Comma 329 2 3" xfId="6840" xr:uid="{F8C20AE3-4D91-4665-9A81-2873CD7AF247}"/>
    <cellStyle name="Comma 329 2 3 2" xfId="17192" xr:uid="{84B68D8C-3BEB-4DFD-A0FC-B34EB7E0CE92}"/>
    <cellStyle name="Comma 329 2 4" xfId="12017" xr:uid="{33BAE83B-791F-4E42-8FC4-D36491F9F565}"/>
    <cellStyle name="Comma 329 3" xfId="2635" xr:uid="{065455C2-11AC-41E5-AA56-DF6990E34512}"/>
    <cellStyle name="Comma 329 3 2" xfId="7868" xr:uid="{E931CDDE-D896-4FB4-9121-59E61A466BF0}"/>
    <cellStyle name="Comma 329 3 2 2" xfId="18220" xr:uid="{F5EB0546-1956-4B4B-96B1-8D7AD3CA23A9}"/>
    <cellStyle name="Comma 329 3 3" xfId="13045" xr:uid="{BF107E7B-A316-4A9D-8E44-FA9632D0ECEF}"/>
    <cellStyle name="Comma 329 4" xfId="4761" xr:uid="{9DFDF376-4B0C-45C7-8203-AD5BF196607D}"/>
    <cellStyle name="Comma 329 4 2" xfId="9937" xr:uid="{211700F2-B57D-458B-AEF0-D99165EA9E82}"/>
    <cellStyle name="Comma 329 4 2 2" xfId="20289" xr:uid="{1DFC6865-9BF3-47F6-87B3-345B89C75B91}"/>
    <cellStyle name="Comma 329 4 3" xfId="15113" xr:uid="{C0AB58A4-B5E1-4BDC-89FF-E4F4D8F3243F}"/>
    <cellStyle name="Comma 329 5" xfId="5809" xr:uid="{5353ED9D-389D-4B76-98F4-6D5057C0C790}"/>
    <cellStyle name="Comma 329 5 2" xfId="16161" xr:uid="{AEF68D5E-87A6-400A-ADF0-B3ED4007DB15}"/>
    <cellStyle name="Comma 329 6" xfId="10987" xr:uid="{03BF7157-144C-4514-804C-B65A4CED92AA}"/>
    <cellStyle name="Comma 33" xfId="233" xr:uid="{8C1FE6CD-45DE-4CEF-A8CC-17871FF8EB17}"/>
    <cellStyle name="Comma 33 2" xfId="1311" xr:uid="{F3F0869E-AF0C-4E1D-9D3A-04FEBC4D5F72}"/>
    <cellStyle name="Comma 33 2 2" xfId="3369" xr:uid="{4F7D5D06-0D31-43B3-ACF0-B1BF10070FC4}"/>
    <cellStyle name="Comma 33 2 2 2" xfId="8602" xr:uid="{2A54B281-4265-4338-9828-E77A7804C670}"/>
    <cellStyle name="Comma 33 2 2 2 2" xfId="18954" xr:uid="{5CA3E020-C44A-476D-824C-CFA2668B3FF2}"/>
    <cellStyle name="Comma 33 2 2 3" xfId="13779" xr:uid="{89279F6E-F4A9-4DD2-8EF8-F0DAE340AE69}"/>
    <cellStyle name="Comma 33 2 3" xfId="6544" xr:uid="{F8D72157-1AD2-4B6F-936B-FD19069581FA}"/>
    <cellStyle name="Comma 33 2 3 2" xfId="16896" xr:uid="{624B4945-C26A-4B61-A8CF-D867F52E8E9B}"/>
    <cellStyle name="Comma 33 2 4" xfId="11721" xr:uid="{937D72F6-E3C4-4C6B-950A-E84306F87B4D}"/>
    <cellStyle name="Comma 33 3" xfId="2339" xr:uid="{1810487B-40F7-4805-8934-8314246FB0F9}"/>
    <cellStyle name="Comma 33 3 2" xfId="7572" xr:uid="{420E6FE1-9688-4667-A074-743C6866EE23}"/>
    <cellStyle name="Comma 33 3 2 2" xfId="17924" xr:uid="{F16CCF38-15B2-45C1-9243-C21C4A77080C}"/>
    <cellStyle name="Comma 33 3 3" xfId="12749" xr:uid="{71C78CDF-F3B1-49A3-8407-E82426BAEE94}"/>
    <cellStyle name="Comma 33 4" xfId="4465" xr:uid="{8723284A-F670-4864-B34F-06574731B8AE}"/>
    <cellStyle name="Comma 33 4 2" xfId="9641" xr:uid="{A1ADA10F-8C79-47A6-980D-30FC42F2D540}"/>
    <cellStyle name="Comma 33 4 2 2" xfId="19993" xr:uid="{7A54CE71-345B-4159-91FE-015615AEB1B5}"/>
    <cellStyle name="Comma 33 4 3" xfId="14817" xr:uid="{87DE955C-658D-492E-AACF-41F52A71290D}"/>
    <cellStyle name="Comma 33 5" xfId="5513" xr:uid="{C65D029F-9563-4F5B-A476-25DE16B75823}"/>
    <cellStyle name="Comma 33 5 2" xfId="15865" xr:uid="{DEF3BF3B-533A-42C9-87BA-B33073C26ECC}"/>
    <cellStyle name="Comma 33 6" xfId="10691" xr:uid="{687736D8-7E6B-4975-88C3-D2BB884525DC}"/>
    <cellStyle name="Comma 330" xfId="570" xr:uid="{0F0DA1A2-902A-4619-BF3C-352AA85A23D7}"/>
    <cellStyle name="Comma 330 2" xfId="1608" xr:uid="{C4E9A0A1-BC06-4B20-B2CF-3AEA12184AD8}"/>
    <cellStyle name="Comma 330 2 2" xfId="3666" xr:uid="{A555FBD7-18C8-44CF-81E3-BEC11165D2DF}"/>
    <cellStyle name="Comma 330 2 2 2" xfId="8899" xr:uid="{12C1DD74-796C-4CC9-B104-88FBF6E6FFB3}"/>
    <cellStyle name="Comma 330 2 2 2 2" xfId="19251" xr:uid="{E4FA184E-21AE-463C-8C70-DBFC0BEF612E}"/>
    <cellStyle name="Comma 330 2 2 3" xfId="14076" xr:uid="{1BCC2970-30E8-4F55-B2D1-6813F5D0CB30}"/>
    <cellStyle name="Comma 330 2 3" xfId="6841" xr:uid="{DC9ED4B0-2656-4463-8FAB-9C5EDB0B0FA9}"/>
    <cellStyle name="Comma 330 2 3 2" xfId="17193" xr:uid="{2C26446D-F39F-49D8-BBD7-86755E13C583}"/>
    <cellStyle name="Comma 330 2 4" xfId="12018" xr:uid="{AF67EDB8-C62F-417C-AC60-2C42B451C9E2}"/>
    <cellStyle name="Comma 330 3" xfId="2636" xr:uid="{CBBA65AF-880A-4885-A036-620269546E0C}"/>
    <cellStyle name="Comma 330 3 2" xfId="7869" xr:uid="{2025A938-DA7E-4B87-83E7-4CC7A4D96B47}"/>
    <cellStyle name="Comma 330 3 2 2" xfId="18221" xr:uid="{F8A182AB-3266-4725-B078-415D388BEFC7}"/>
    <cellStyle name="Comma 330 3 3" xfId="13046" xr:uid="{742E73E0-56EF-4C1C-927F-714794BD31E5}"/>
    <cellStyle name="Comma 330 4" xfId="4762" xr:uid="{439AE337-281A-48D9-B0A1-16468A5F28DD}"/>
    <cellStyle name="Comma 330 4 2" xfId="9938" xr:uid="{00C0A206-F83F-4F94-A559-900D02278E18}"/>
    <cellStyle name="Comma 330 4 2 2" xfId="20290" xr:uid="{8D22066F-7F96-4B79-9BC4-E8661B67EC61}"/>
    <cellStyle name="Comma 330 4 3" xfId="15114" xr:uid="{69061202-3CE3-43B6-9567-74668C8BEF7A}"/>
    <cellStyle name="Comma 330 5" xfId="5810" xr:uid="{80A42FBE-D1CA-4960-A120-7F40518C21C0}"/>
    <cellStyle name="Comma 330 5 2" xfId="16162" xr:uid="{0F29D596-2B86-41A0-A75A-44F3195B9458}"/>
    <cellStyle name="Comma 330 6" xfId="10988" xr:uid="{F427F503-DCA1-4B13-ABB7-5DD0D9425874}"/>
    <cellStyle name="Comma 331" xfId="571" xr:uid="{AF1F6D92-0733-40E5-A106-A2758009E426}"/>
    <cellStyle name="Comma 331 2" xfId="1609" xr:uid="{0EF1C6D4-2A65-431D-B610-8E5611EFF96B}"/>
    <cellStyle name="Comma 331 2 2" xfId="3667" xr:uid="{F31FCFD4-2E15-40A7-BF64-85DC33004716}"/>
    <cellStyle name="Comma 331 2 2 2" xfId="8900" xr:uid="{398E8427-1A8C-457C-ACE9-D1F1F3758126}"/>
    <cellStyle name="Comma 331 2 2 2 2" xfId="19252" xr:uid="{AC679EFF-B80F-4A97-A4A2-170544DCC622}"/>
    <cellStyle name="Comma 331 2 2 3" xfId="14077" xr:uid="{DBB4115F-8102-4F43-A78E-D2DD8CA1D422}"/>
    <cellStyle name="Comma 331 2 3" xfId="6842" xr:uid="{32E652DC-7B16-4CED-BF5A-FAD6CAD11D3C}"/>
    <cellStyle name="Comma 331 2 3 2" xfId="17194" xr:uid="{D7C54AD5-C5EC-48F4-84CD-55980B6EBE71}"/>
    <cellStyle name="Comma 331 2 4" xfId="12019" xr:uid="{C2726AE0-3EDE-40CD-8A00-99E460C4CFED}"/>
    <cellStyle name="Comma 331 3" xfId="2637" xr:uid="{24850F51-F70A-49FF-BB38-960F078F69E4}"/>
    <cellStyle name="Comma 331 3 2" xfId="7870" xr:uid="{59D01BED-5796-44BF-AB93-AA1C591CB5A5}"/>
    <cellStyle name="Comma 331 3 2 2" xfId="18222" xr:uid="{CFD8B42D-EE07-40A6-A39B-D898BFBA2493}"/>
    <cellStyle name="Comma 331 3 3" xfId="13047" xr:uid="{0FBB42B7-2AF3-4DDD-9F80-E99D4817616A}"/>
    <cellStyle name="Comma 331 4" xfId="4763" xr:uid="{82C8A114-D4FA-43AB-A2C2-162CA356EF7F}"/>
    <cellStyle name="Comma 331 4 2" xfId="9939" xr:uid="{93FDFFE8-8657-4A92-9267-9D9129EDDE51}"/>
    <cellStyle name="Comma 331 4 2 2" xfId="20291" xr:uid="{6CCF336A-F4CC-47BB-8083-4A0143390D3D}"/>
    <cellStyle name="Comma 331 4 3" xfId="15115" xr:uid="{21CE9730-1A82-44CB-91A8-DFEE3B39759C}"/>
    <cellStyle name="Comma 331 5" xfId="5811" xr:uid="{96068564-9EEE-46BF-8423-C622F5151131}"/>
    <cellStyle name="Comma 331 5 2" xfId="16163" xr:uid="{9642F652-E498-4E92-B546-7780AAC2588B}"/>
    <cellStyle name="Comma 331 6" xfId="10989" xr:uid="{2AB0FBFA-6493-4882-80F9-FACB650411EE}"/>
    <cellStyle name="Comma 332" xfId="572" xr:uid="{821E378C-883F-4F83-BF86-03D2A318C064}"/>
    <cellStyle name="Comma 332 2" xfId="1610" xr:uid="{E2A1D9CD-8858-405F-8F7D-4A85E40D4518}"/>
    <cellStyle name="Comma 332 2 2" xfId="3668" xr:uid="{37261DBC-A39D-49A1-AFEF-9380FD51540A}"/>
    <cellStyle name="Comma 332 2 2 2" xfId="8901" xr:uid="{03E0387E-936B-4FFE-977C-184FE25F4476}"/>
    <cellStyle name="Comma 332 2 2 2 2" xfId="19253" xr:uid="{C71B37DF-5997-4F7E-8A95-0A86C15DF520}"/>
    <cellStyle name="Comma 332 2 2 3" xfId="14078" xr:uid="{9E5D0DA9-D5E2-4557-813C-B5E96F84E475}"/>
    <cellStyle name="Comma 332 2 3" xfId="6843" xr:uid="{7C397272-26B4-42C9-ACD7-902262F3E8D0}"/>
    <cellStyle name="Comma 332 2 3 2" xfId="17195" xr:uid="{F171AEC7-437B-4268-8484-E58E5FA1AECB}"/>
    <cellStyle name="Comma 332 2 4" xfId="12020" xr:uid="{AFC5DC17-5661-4047-AE3A-16896F5CF7D8}"/>
    <cellStyle name="Comma 332 3" xfId="2638" xr:uid="{8837F253-548F-412C-9088-10C673A91EB6}"/>
    <cellStyle name="Comma 332 3 2" xfId="7871" xr:uid="{779BF94D-6CFE-4CB1-BC21-35C5CC7CCFA3}"/>
    <cellStyle name="Comma 332 3 2 2" xfId="18223" xr:uid="{AA90785D-E93A-4177-801A-C30CBA7D110D}"/>
    <cellStyle name="Comma 332 3 3" xfId="13048" xr:uid="{EBDD3642-558B-4C3F-B2D3-62BE7AF19C88}"/>
    <cellStyle name="Comma 332 4" xfId="4764" xr:uid="{AFD73E03-7EE3-4099-9D4B-0B17E38E3B35}"/>
    <cellStyle name="Comma 332 4 2" xfId="9940" xr:uid="{A1B7A348-9F74-490E-A4EE-AFFF15DE1415}"/>
    <cellStyle name="Comma 332 4 2 2" xfId="20292" xr:uid="{CCE09635-8BCC-45F3-9AAF-AAFB3D29E338}"/>
    <cellStyle name="Comma 332 4 3" xfId="15116" xr:uid="{D446F1A6-47FE-467F-B1B4-5BDD4A68D72B}"/>
    <cellStyle name="Comma 332 5" xfId="5812" xr:uid="{F992325A-E766-41A9-9822-8B49AADE5E71}"/>
    <cellStyle name="Comma 332 5 2" xfId="16164" xr:uid="{456C89C3-5A62-4064-8C76-E09772EE0385}"/>
    <cellStyle name="Comma 332 6" xfId="10990" xr:uid="{7D4DDBE6-19A1-4350-A427-2CBCB68B6BA2}"/>
    <cellStyle name="Comma 333" xfId="573" xr:uid="{5B4B0538-FAAD-47C8-BEB2-EAC0AA91348E}"/>
    <cellStyle name="Comma 333 2" xfId="1611" xr:uid="{9816AAC8-C167-43E2-8EF1-F0FED1902260}"/>
    <cellStyle name="Comma 333 2 2" xfId="3669" xr:uid="{2DD68D68-C5B1-4D01-B2BA-1B18534D343C}"/>
    <cellStyle name="Comma 333 2 2 2" xfId="8902" xr:uid="{4030147A-D404-4068-BFEA-4F1EAFDE5848}"/>
    <cellStyle name="Comma 333 2 2 2 2" xfId="19254" xr:uid="{D57717B9-0324-4D2D-8DEC-0D6BDE58CE9F}"/>
    <cellStyle name="Comma 333 2 2 3" xfId="14079" xr:uid="{6C262B47-8994-45D1-92BD-D5276517F1A2}"/>
    <cellStyle name="Comma 333 2 3" xfId="6844" xr:uid="{D2F95CBD-F99B-4EFA-B3E9-BA0B8AF75DE5}"/>
    <cellStyle name="Comma 333 2 3 2" xfId="17196" xr:uid="{6592D6C7-941B-4A38-8C94-5E8BE72236AA}"/>
    <cellStyle name="Comma 333 2 4" xfId="12021" xr:uid="{F6718D71-9820-4320-B364-8DCD079928EB}"/>
    <cellStyle name="Comma 333 3" xfId="2639" xr:uid="{300C9BF8-E388-4DFE-8B6E-F0F60DAB9AF7}"/>
    <cellStyle name="Comma 333 3 2" xfId="7872" xr:uid="{5F598C32-0138-4EB5-8F99-C8C81FD8C4D5}"/>
    <cellStyle name="Comma 333 3 2 2" xfId="18224" xr:uid="{F6BE59F3-B032-4B34-8CEA-AD95E21E114E}"/>
    <cellStyle name="Comma 333 3 3" xfId="13049" xr:uid="{0A1CA4E0-CBCE-4411-8AB2-604C9F3FDDC0}"/>
    <cellStyle name="Comma 333 4" xfId="4765" xr:uid="{3639EE44-E683-48AC-9C8A-9005A91AC0A0}"/>
    <cellStyle name="Comma 333 4 2" xfId="9941" xr:uid="{9E10006C-65BC-40A2-8E72-304AEA41F341}"/>
    <cellStyle name="Comma 333 4 2 2" xfId="20293" xr:uid="{BE255D55-FF5B-4075-B87B-DA6B6D3694C9}"/>
    <cellStyle name="Comma 333 4 3" xfId="15117" xr:uid="{CDF06040-15E5-41FE-9AFB-73901D14AEFA}"/>
    <cellStyle name="Comma 333 5" xfId="5813" xr:uid="{5B722100-069B-4FBD-BBE9-04CCC845ED8A}"/>
    <cellStyle name="Comma 333 5 2" xfId="16165" xr:uid="{1DEB6138-55D5-4C6C-994C-2DF6762CDC8B}"/>
    <cellStyle name="Comma 333 6" xfId="10991" xr:uid="{55FD298A-AD6B-49FD-A29B-7E4851845403}"/>
    <cellStyle name="Comma 334" xfId="574" xr:uid="{ADD12452-1B64-45BF-8A50-C6F15CB1BFCF}"/>
    <cellStyle name="Comma 334 2" xfId="1612" xr:uid="{976136D4-E508-4020-BB5C-63DA16DC3F60}"/>
    <cellStyle name="Comma 334 2 2" xfId="3670" xr:uid="{E17580B5-24A0-4123-8041-0245828377C0}"/>
    <cellStyle name="Comma 334 2 2 2" xfId="8903" xr:uid="{44A5C795-6986-4937-8CD7-DFA16F643B7C}"/>
    <cellStyle name="Comma 334 2 2 2 2" xfId="19255" xr:uid="{F3459B7F-2FF2-4CDA-BF8E-5CDFC1B7C4D5}"/>
    <cellStyle name="Comma 334 2 2 3" xfId="14080" xr:uid="{3BB8504B-4611-42F0-B90D-3572374B2770}"/>
    <cellStyle name="Comma 334 2 3" xfId="6845" xr:uid="{40F447B2-F2BE-41F3-9A10-BFCAF5EBBC94}"/>
    <cellStyle name="Comma 334 2 3 2" xfId="17197" xr:uid="{A972E2A0-2E96-4DAE-9676-6558522C541C}"/>
    <cellStyle name="Comma 334 2 4" xfId="12022" xr:uid="{195FC0DD-99D5-41D5-BC99-2D854D88EA86}"/>
    <cellStyle name="Comma 334 3" xfId="2640" xr:uid="{A8DC8FDB-750E-47FD-985E-114CD9F7DE1F}"/>
    <cellStyle name="Comma 334 3 2" xfId="7873" xr:uid="{CA63D62E-D07B-4F2D-B12C-6BC39D0E856D}"/>
    <cellStyle name="Comma 334 3 2 2" xfId="18225" xr:uid="{1B3B9258-71C5-4692-9C0F-536BA50D04B0}"/>
    <cellStyle name="Comma 334 3 3" xfId="13050" xr:uid="{4EAB169C-1409-4DB3-ADE2-740A21F4D8BC}"/>
    <cellStyle name="Comma 334 4" xfId="4766" xr:uid="{1B4556B2-52B4-42E4-A1E5-ED86CD3CCBDE}"/>
    <cellStyle name="Comma 334 4 2" xfId="9942" xr:uid="{96CC0E90-02E1-49A8-BF8E-397059E7CC00}"/>
    <cellStyle name="Comma 334 4 2 2" xfId="20294" xr:uid="{78B7FBAA-BE0C-47E4-9B07-58079B6E37C5}"/>
    <cellStyle name="Comma 334 4 3" xfId="15118" xr:uid="{DA29576E-2780-442B-AF7F-8E9AD49C8188}"/>
    <cellStyle name="Comma 334 5" xfId="5814" xr:uid="{108385DF-89CA-4F40-8A61-7719EFB3594C}"/>
    <cellStyle name="Comma 334 5 2" xfId="16166" xr:uid="{A4FE2F7B-CC55-44D1-A66B-ABE5ADC97266}"/>
    <cellStyle name="Comma 334 6" xfId="10992" xr:uid="{DFE6A1CD-EF02-4AEB-B85D-0CD464AAB328}"/>
    <cellStyle name="Comma 335" xfId="575" xr:uid="{F344C8F1-56D2-4BBF-BDC2-72A844059490}"/>
    <cellStyle name="Comma 335 2" xfId="1613" xr:uid="{B1B42C9F-225F-45D3-9328-7717C59D0170}"/>
    <cellStyle name="Comma 335 2 2" xfId="3671" xr:uid="{A1EF3CBB-E5DB-412F-AF31-96EC9A35BA2F}"/>
    <cellStyle name="Comma 335 2 2 2" xfId="8904" xr:uid="{8ABAAE05-3240-49FC-A33F-51E30726CF6C}"/>
    <cellStyle name="Comma 335 2 2 2 2" xfId="19256" xr:uid="{C2463AD1-95F4-4134-88AE-EE9CC183F349}"/>
    <cellStyle name="Comma 335 2 2 3" xfId="14081" xr:uid="{DA2FB28A-F864-4A9D-A860-4CF6E3A4A4CD}"/>
    <cellStyle name="Comma 335 2 3" xfId="6846" xr:uid="{E6267146-C816-4037-A819-612A346D9B95}"/>
    <cellStyle name="Comma 335 2 3 2" xfId="17198" xr:uid="{E8240A9A-97A5-4153-BC4F-4337C308DEA1}"/>
    <cellStyle name="Comma 335 2 4" xfId="12023" xr:uid="{46D1B717-3EFF-4F4F-8871-D4319A77E292}"/>
    <cellStyle name="Comma 335 3" xfId="2641" xr:uid="{202BBE51-CFC8-48F4-9074-1EB27597475F}"/>
    <cellStyle name="Comma 335 3 2" xfId="7874" xr:uid="{F3E2BC69-CB7B-4129-AAFA-E89923637BDE}"/>
    <cellStyle name="Comma 335 3 2 2" xfId="18226" xr:uid="{B1C51BF7-2F25-4FC6-AE2F-83DA64458B98}"/>
    <cellStyle name="Comma 335 3 3" xfId="13051" xr:uid="{AB820FFE-8BD8-49D8-9EB5-125451C5AE2B}"/>
    <cellStyle name="Comma 335 4" xfId="4767" xr:uid="{17874DEA-345A-498D-8131-F992F9A04252}"/>
    <cellStyle name="Comma 335 4 2" xfId="9943" xr:uid="{C4BE9826-5378-48AA-A7CF-18E89137E9FB}"/>
    <cellStyle name="Comma 335 4 2 2" xfId="20295" xr:uid="{29799FD3-CA49-47CD-BB31-934447BEEFBD}"/>
    <cellStyle name="Comma 335 4 3" xfId="15119" xr:uid="{B3859522-12C8-4CC3-874D-B15D3BED6166}"/>
    <cellStyle name="Comma 335 5" xfId="5815" xr:uid="{541D7217-8540-4C8B-BD98-F09FD12161DB}"/>
    <cellStyle name="Comma 335 5 2" xfId="16167" xr:uid="{BC566B76-36E8-4872-99FF-6CED2E94FEC6}"/>
    <cellStyle name="Comma 335 6" xfId="10993" xr:uid="{BBD4C6CE-5A8E-41DA-8B81-8901671CDF94}"/>
    <cellStyle name="Comma 336" xfId="576" xr:uid="{1C1E3ED2-53D7-4B0C-AC9A-161280D33CEF}"/>
    <cellStyle name="Comma 336 2" xfId="1614" xr:uid="{AED7F18E-D7AE-47C8-8EF5-93DCCDAFA51F}"/>
    <cellStyle name="Comma 336 2 2" xfId="3672" xr:uid="{3B476A16-63FC-407B-AA11-A6396464FC75}"/>
    <cellStyle name="Comma 336 2 2 2" xfId="8905" xr:uid="{222CDF85-17B8-48D8-992B-3B5E6E28CBBD}"/>
    <cellStyle name="Comma 336 2 2 2 2" xfId="19257" xr:uid="{3583F735-1376-42C4-ABF1-3F939C32F43D}"/>
    <cellStyle name="Comma 336 2 2 3" xfId="14082" xr:uid="{5B075EEE-F89F-4D63-A247-6C476CBC7325}"/>
    <cellStyle name="Comma 336 2 3" xfId="6847" xr:uid="{A3C7244C-EFDD-4FE0-A0E3-A8364A3CD1E0}"/>
    <cellStyle name="Comma 336 2 3 2" xfId="17199" xr:uid="{760CECC1-9035-42AA-9704-A3DCAFD57357}"/>
    <cellStyle name="Comma 336 2 4" xfId="12024" xr:uid="{03E0EB65-4333-49E4-B83F-5A5192A0E363}"/>
    <cellStyle name="Comma 336 3" xfId="2642" xr:uid="{42B9DBBB-59F8-499F-BD4A-8DDA667BFD99}"/>
    <cellStyle name="Comma 336 3 2" xfId="7875" xr:uid="{FA08D655-F175-4455-889C-F8DFDD0ECA23}"/>
    <cellStyle name="Comma 336 3 2 2" xfId="18227" xr:uid="{23DB9658-DA3F-410F-8D77-EC07D0DEB6D7}"/>
    <cellStyle name="Comma 336 3 3" xfId="13052" xr:uid="{E584489F-579C-4D0E-9D46-CDC847397AA4}"/>
    <cellStyle name="Comma 336 4" xfId="4768" xr:uid="{83207136-517B-404A-A350-6A900D4FFAE4}"/>
    <cellStyle name="Comma 336 4 2" xfId="9944" xr:uid="{D0818CF5-8CF0-4B17-A7CF-64E3FD262BC2}"/>
    <cellStyle name="Comma 336 4 2 2" xfId="20296" xr:uid="{14A32D51-5D0D-4125-975D-6A22555D7DFC}"/>
    <cellStyle name="Comma 336 4 3" xfId="15120" xr:uid="{4D689DCD-38F9-4AAB-8A28-5DD470A3F6E7}"/>
    <cellStyle name="Comma 336 5" xfId="5816" xr:uid="{DE3786F7-BF7F-4AA4-BA4D-CEC8A53B4C7C}"/>
    <cellStyle name="Comma 336 5 2" xfId="16168" xr:uid="{DAA71228-1BA0-481F-83B1-CEAB4372D0C8}"/>
    <cellStyle name="Comma 336 6" xfId="10994" xr:uid="{26FABBF7-E239-4993-8217-6393DA1B138F}"/>
    <cellStyle name="Comma 337" xfId="577" xr:uid="{0932BF49-C473-4F9C-B4DB-20F7F3FB6D8B}"/>
    <cellStyle name="Comma 337 2" xfId="1615" xr:uid="{FC1CC808-2644-485A-9FF5-3A79A00D60BF}"/>
    <cellStyle name="Comma 337 2 2" xfId="3673" xr:uid="{90D6DE3F-F90C-460F-8524-5D202CA5A929}"/>
    <cellStyle name="Comma 337 2 2 2" xfId="8906" xr:uid="{0DB34162-3ECE-4F92-9761-9F29E235CE54}"/>
    <cellStyle name="Comma 337 2 2 2 2" xfId="19258" xr:uid="{DE306C6B-C34D-40AC-B4B7-1435E35DD077}"/>
    <cellStyle name="Comma 337 2 2 3" xfId="14083" xr:uid="{AF49B83A-DBAE-4B31-B671-E0755839CE72}"/>
    <cellStyle name="Comma 337 2 3" xfId="6848" xr:uid="{8FE8BD4F-D07D-4B0B-B618-9D2D289E9747}"/>
    <cellStyle name="Comma 337 2 3 2" xfId="17200" xr:uid="{8D555769-DB73-406E-9429-9F352B98A834}"/>
    <cellStyle name="Comma 337 2 4" xfId="12025" xr:uid="{C9530478-2B5E-4BE5-A396-2EC423A6BF56}"/>
    <cellStyle name="Comma 337 3" xfId="2643" xr:uid="{D4A22070-7F82-46D3-8002-4CBAEF56FC37}"/>
    <cellStyle name="Comma 337 3 2" xfId="7876" xr:uid="{01CF31A6-1334-4E50-B427-1F5804BD309C}"/>
    <cellStyle name="Comma 337 3 2 2" xfId="18228" xr:uid="{F69BB643-9141-46A6-9D33-B2975BE8A1F2}"/>
    <cellStyle name="Comma 337 3 3" xfId="13053" xr:uid="{88D94614-632F-4EFD-9A58-00597337F002}"/>
    <cellStyle name="Comma 337 4" xfId="4769" xr:uid="{37AB06D4-B5ED-455A-9222-872C3761D51E}"/>
    <cellStyle name="Comma 337 4 2" xfId="9945" xr:uid="{AD095E68-789E-4775-98E5-D71B99F4D058}"/>
    <cellStyle name="Comma 337 4 2 2" xfId="20297" xr:uid="{5A44DC5F-C299-407A-A8AB-AF88F41B4CFC}"/>
    <cellStyle name="Comma 337 4 3" xfId="15121" xr:uid="{34846002-7123-4644-AE6C-2F93FBFFCEA5}"/>
    <cellStyle name="Comma 337 5" xfId="5817" xr:uid="{456DC8EA-ED5F-4596-BF51-F013AEDF83F4}"/>
    <cellStyle name="Comma 337 5 2" xfId="16169" xr:uid="{34D0B170-EE32-4DC1-8989-922F7B1B6EC2}"/>
    <cellStyle name="Comma 337 6" xfId="10995" xr:uid="{6F43C5A1-9B37-4BC7-AF13-615F0C8370C0}"/>
    <cellStyle name="Comma 338" xfId="578" xr:uid="{FA284FAC-BCE7-4B72-A8B1-132756E9BCA2}"/>
    <cellStyle name="Comma 338 2" xfId="1616" xr:uid="{7B6AA675-8514-4975-B820-782415089525}"/>
    <cellStyle name="Comma 338 2 2" xfId="3674" xr:uid="{6E53D4D9-741D-4C6C-9334-7DCFB6B18164}"/>
    <cellStyle name="Comma 338 2 2 2" xfId="8907" xr:uid="{B88093BD-9411-48B3-A46F-C1ADF1255C5F}"/>
    <cellStyle name="Comma 338 2 2 2 2" xfId="19259" xr:uid="{AF34DBB0-622A-40C8-A1A2-8EA218202809}"/>
    <cellStyle name="Comma 338 2 2 3" xfId="14084" xr:uid="{1D5EA5EC-EC25-4FD5-B3F5-1F6F4EA5349F}"/>
    <cellStyle name="Comma 338 2 3" xfId="6849" xr:uid="{A149BAE7-DB27-4CC1-8CBB-B1F56D6408D3}"/>
    <cellStyle name="Comma 338 2 3 2" xfId="17201" xr:uid="{5D3302F2-26B2-48F6-8AC7-8848B5F93C85}"/>
    <cellStyle name="Comma 338 2 4" xfId="12026" xr:uid="{F60C91CF-6705-470C-9C04-AE5DEA7BF3FF}"/>
    <cellStyle name="Comma 338 3" xfId="2644" xr:uid="{F5BD1458-7D02-44EA-AE79-2779FE442C1D}"/>
    <cellStyle name="Comma 338 3 2" xfId="7877" xr:uid="{8D39D012-F976-4DF8-B6AC-C0DC1B8CC565}"/>
    <cellStyle name="Comma 338 3 2 2" xfId="18229" xr:uid="{029CBC68-7F28-4977-AA77-44815CBD69E6}"/>
    <cellStyle name="Comma 338 3 3" xfId="13054" xr:uid="{65EFA5DB-C429-4AEB-82F4-B16E04B98273}"/>
    <cellStyle name="Comma 338 4" xfId="4770" xr:uid="{88FA7D8C-4850-4A5D-903E-024E491A9B48}"/>
    <cellStyle name="Comma 338 4 2" xfId="9946" xr:uid="{878E19B2-629F-49EA-A74F-513BA391197D}"/>
    <cellStyle name="Comma 338 4 2 2" xfId="20298" xr:uid="{9C6F1005-3743-457A-8E39-F3C1266DD80D}"/>
    <cellStyle name="Comma 338 4 3" xfId="15122" xr:uid="{00FEF669-E295-4B5A-A9CB-344F0AA3E079}"/>
    <cellStyle name="Comma 338 5" xfId="5818" xr:uid="{00BA9769-7DAF-4A28-89C4-F8F2023169B7}"/>
    <cellStyle name="Comma 338 5 2" xfId="16170" xr:uid="{8742680C-AA1B-4BFC-BA4C-281EAA5EBE22}"/>
    <cellStyle name="Comma 338 6" xfId="10996" xr:uid="{8FF6ADB5-73F0-4E3A-B717-535781A81D66}"/>
    <cellStyle name="Comma 339" xfId="579" xr:uid="{7C9A3AB3-975C-4FDC-BA2A-F362FA5432F3}"/>
    <cellStyle name="Comma 339 2" xfId="1617" xr:uid="{DEFBB510-44B9-48B2-BC86-354733EE5742}"/>
    <cellStyle name="Comma 339 2 2" xfId="3675" xr:uid="{B4EF6717-391E-4E65-8459-7D47AF240006}"/>
    <cellStyle name="Comma 339 2 2 2" xfId="8908" xr:uid="{4A6ECBEA-AFC3-4D79-A3C0-542B2764A52B}"/>
    <cellStyle name="Comma 339 2 2 2 2" xfId="19260" xr:uid="{A0C58F01-8EA7-46E3-B92B-F0BB5D1ED960}"/>
    <cellStyle name="Comma 339 2 2 3" xfId="14085" xr:uid="{01EB7641-56FA-4292-8519-F218543719F8}"/>
    <cellStyle name="Comma 339 2 3" xfId="6850" xr:uid="{0B8B9D0A-E515-42C2-89A9-384783910796}"/>
    <cellStyle name="Comma 339 2 3 2" xfId="17202" xr:uid="{7FBABABF-EA7B-430E-8494-6390A70610A4}"/>
    <cellStyle name="Comma 339 2 4" xfId="12027" xr:uid="{18A6A47E-024D-4D69-878B-1A329B98CD6E}"/>
    <cellStyle name="Comma 339 3" xfId="2645" xr:uid="{92FC0868-AA6D-4662-9A9F-591F548414DC}"/>
    <cellStyle name="Comma 339 3 2" xfId="7878" xr:uid="{5CE68200-AF28-41EE-8ABF-31248CE0E783}"/>
    <cellStyle name="Comma 339 3 2 2" xfId="18230" xr:uid="{6F9D195A-0A44-4A93-A026-9904AA8D9F6F}"/>
    <cellStyle name="Comma 339 3 3" xfId="13055" xr:uid="{8767D11E-23E3-49FF-B76D-82E217DD1F16}"/>
    <cellStyle name="Comma 339 4" xfId="4771" xr:uid="{49F97ED3-679E-4CDF-9932-A8480A9C5D9C}"/>
    <cellStyle name="Comma 339 4 2" xfId="9947" xr:uid="{D7E77B5E-64A6-4B51-82EC-C208459EEACC}"/>
    <cellStyle name="Comma 339 4 2 2" xfId="20299" xr:uid="{A914395B-3AFD-40A8-8CC3-53DA3811FF67}"/>
    <cellStyle name="Comma 339 4 3" xfId="15123" xr:uid="{2A587A15-D612-4902-A6C7-A2A9F5E8453B}"/>
    <cellStyle name="Comma 339 5" xfId="5819" xr:uid="{00344829-6D6E-4241-8DB6-BDE1498941E8}"/>
    <cellStyle name="Comma 339 5 2" xfId="16171" xr:uid="{9FF629F7-3DCA-44DE-B6AD-B3037DDB15A1}"/>
    <cellStyle name="Comma 339 6" xfId="10997" xr:uid="{78EF6217-7166-4C62-B970-1F9E1671BD3B}"/>
    <cellStyle name="Comma 34" xfId="234" xr:uid="{E0DB05AD-5229-4566-8580-0B95D0BBCF36}"/>
    <cellStyle name="Comma 34 2" xfId="1312" xr:uid="{EFA56AC9-9A7A-48E6-AECC-CAF08487A2C3}"/>
    <cellStyle name="Comma 34 2 2" xfId="3370" xr:uid="{95480CD6-392B-4B0E-93E0-39DF976F4180}"/>
    <cellStyle name="Comma 34 2 2 2" xfId="8603" xr:uid="{84D0D2B6-120E-4BBB-BEC1-05508EFC3039}"/>
    <cellStyle name="Comma 34 2 2 2 2" xfId="18955" xr:uid="{2959B210-4B75-4582-8D6F-30E4F30AAC0A}"/>
    <cellStyle name="Comma 34 2 2 3" xfId="13780" xr:uid="{6B0AC281-3C96-41FC-864F-62986AD366CE}"/>
    <cellStyle name="Comma 34 2 3" xfId="6545" xr:uid="{9B0FC4E9-A123-4456-BABD-341DF6EB27D9}"/>
    <cellStyle name="Comma 34 2 3 2" xfId="16897" xr:uid="{AAF6542F-01BC-4F4F-9A9C-37694FBCCA81}"/>
    <cellStyle name="Comma 34 2 4" xfId="11722" xr:uid="{CA27EECC-24C9-4A4F-882E-0C0088311882}"/>
    <cellStyle name="Comma 34 3" xfId="2340" xr:uid="{DB4CC308-1165-4B51-A88D-1D8F2D96ACA6}"/>
    <cellStyle name="Comma 34 3 2" xfId="7573" xr:uid="{AF5D5157-5571-411B-9E28-797933313BBF}"/>
    <cellStyle name="Comma 34 3 2 2" xfId="17925" xr:uid="{A2C168A5-615F-4DB5-953A-74FF401F2FF2}"/>
    <cellStyle name="Comma 34 3 3" xfId="12750" xr:uid="{FB1041BE-96C0-4457-A610-2260D1D98BC7}"/>
    <cellStyle name="Comma 34 4" xfId="4466" xr:uid="{41B2B57F-1422-405B-B942-9EF64246A86C}"/>
    <cellStyle name="Comma 34 4 2" xfId="9642" xr:uid="{0C189731-A07D-4B93-8276-7283289A1BA6}"/>
    <cellStyle name="Comma 34 4 2 2" xfId="19994" xr:uid="{22A5249A-4FF3-433A-9DE5-2DBEE29E374A}"/>
    <cellStyle name="Comma 34 4 3" xfId="14818" xr:uid="{CF00EC4D-41BD-4CD3-B698-7C06936B5D9A}"/>
    <cellStyle name="Comma 34 5" xfId="5514" xr:uid="{BB7C7115-49E2-4FE8-BBC6-8B3220EE63F1}"/>
    <cellStyle name="Comma 34 5 2" xfId="15866" xr:uid="{91B35351-B4C2-46E3-8F96-C58D70F91623}"/>
    <cellStyle name="Comma 34 6" xfId="10692" xr:uid="{7B998001-3CFD-4A79-A2AA-C11D6C852551}"/>
    <cellStyle name="Comma 340" xfId="580" xr:uid="{F0ABCCC2-C24E-4260-8CF2-147F6BDAFD45}"/>
    <cellStyle name="Comma 340 2" xfId="1618" xr:uid="{35F8C6CE-DC7A-44A4-9AA3-89C23ED6435C}"/>
    <cellStyle name="Comma 340 2 2" xfId="3676" xr:uid="{4E314603-D53F-4ECD-AA84-43BB27AE7AA3}"/>
    <cellStyle name="Comma 340 2 2 2" xfId="8909" xr:uid="{26907345-14F4-496D-BDE4-889CC3C025E3}"/>
    <cellStyle name="Comma 340 2 2 2 2" xfId="19261" xr:uid="{93DCB458-4F02-4EAD-A940-3B6ABD9ADAC4}"/>
    <cellStyle name="Comma 340 2 2 3" xfId="14086" xr:uid="{AF20B884-95CB-43AE-AA8A-70D390286B62}"/>
    <cellStyle name="Comma 340 2 3" xfId="6851" xr:uid="{FE9B8EE3-582F-492D-BA75-6FC51ABA3826}"/>
    <cellStyle name="Comma 340 2 3 2" xfId="17203" xr:uid="{EFE1FF68-BACF-4A41-BB04-9A2B55B001AF}"/>
    <cellStyle name="Comma 340 2 4" xfId="12028" xr:uid="{D68B1D38-A7EF-40B1-A036-851EEA4AC15F}"/>
    <cellStyle name="Comma 340 3" xfId="2646" xr:uid="{BD823753-3FD2-4ADB-BCC5-993FC5CA7A19}"/>
    <cellStyle name="Comma 340 3 2" xfId="7879" xr:uid="{1369EF3D-975E-45E2-8A0D-BF2A8CE0ABB3}"/>
    <cellStyle name="Comma 340 3 2 2" xfId="18231" xr:uid="{11873015-DA40-434F-BCFA-33CB63F4EC1D}"/>
    <cellStyle name="Comma 340 3 3" xfId="13056" xr:uid="{B06FEB77-B3B9-4A70-B2A3-D443EFCD03EB}"/>
    <cellStyle name="Comma 340 4" xfId="4772" xr:uid="{9806BC25-0AC7-45CC-9138-97D07B4ACC59}"/>
    <cellStyle name="Comma 340 4 2" xfId="9948" xr:uid="{8A585232-47C0-4049-BA18-835C6EE524FB}"/>
    <cellStyle name="Comma 340 4 2 2" xfId="20300" xr:uid="{BBECD498-2E5B-458E-9F6A-F6AF351B9CF7}"/>
    <cellStyle name="Comma 340 4 3" xfId="15124" xr:uid="{9421CC08-32B2-4615-9B3F-249A51E86AD7}"/>
    <cellStyle name="Comma 340 5" xfId="5820" xr:uid="{C8F12E20-3AD9-466C-BAF6-723DABE55C29}"/>
    <cellStyle name="Comma 340 5 2" xfId="16172" xr:uid="{8B493EE1-E56D-481D-BC8F-A7F215A9D454}"/>
    <cellStyle name="Comma 340 6" xfId="10998" xr:uid="{CEFA6870-63EF-4A99-BC7C-F96EC4DD69C8}"/>
    <cellStyle name="Comma 341" xfId="581" xr:uid="{C7A506B6-9084-4A82-989F-F1C4428C2748}"/>
    <cellStyle name="Comma 341 2" xfId="1619" xr:uid="{C793CBC8-F8B9-423E-A588-912745379E7C}"/>
    <cellStyle name="Comma 341 2 2" xfId="3677" xr:uid="{FA27FCCD-2900-456A-9617-62CF914A6613}"/>
    <cellStyle name="Comma 341 2 2 2" xfId="8910" xr:uid="{DF3BDCAC-B137-4602-813F-4A61BDAB48E8}"/>
    <cellStyle name="Comma 341 2 2 2 2" xfId="19262" xr:uid="{0322358A-2953-413A-8450-6476005D5213}"/>
    <cellStyle name="Comma 341 2 2 3" xfId="14087" xr:uid="{B9CC4166-17C6-4BEA-91CC-E74BB6268AAE}"/>
    <cellStyle name="Comma 341 2 3" xfId="6852" xr:uid="{60ACECAC-8E4C-4469-AC35-F7F69069C164}"/>
    <cellStyle name="Comma 341 2 3 2" xfId="17204" xr:uid="{7FD119BE-F54D-4B17-A525-C5C51428B448}"/>
    <cellStyle name="Comma 341 2 4" xfId="12029" xr:uid="{37A0DB1D-0200-4DBE-8172-3D1A95077E21}"/>
    <cellStyle name="Comma 341 3" xfId="2647" xr:uid="{55BB4B67-D8D2-4032-8724-494B51C67AE3}"/>
    <cellStyle name="Comma 341 3 2" xfId="7880" xr:uid="{0825DF26-373E-4028-B650-7C031A67A916}"/>
    <cellStyle name="Comma 341 3 2 2" xfId="18232" xr:uid="{4A31C7E1-D330-4809-98EE-6305C41C0EDD}"/>
    <cellStyle name="Comma 341 3 3" xfId="13057" xr:uid="{336C49E5-678C-4837-B6D6-D8873E922E98}"/>
    <cellStyle name="Comma 341 4" xfId="4773" xr:uid="{5B96DD96-57DA-4A6E-A9D8-163B4300F7CD}"/>
    <cellStyle name="Comma 341 4 2" xfId="9949" xr:uid="{19C5C96B-BA1D-4291-8AE9-B5F2B91FE35E}"/>
    <cellStyle name="Comma 341 4 2 2" xfId="20301" xr:uid="{AD692E46-ABC4-4956-8361-47ADCD4C51D3}"/>
    <cellStyle name="Comma 341 4 3" xfId="15125" xr:uid="{3AA92E34-FFEA-4541-A68F-59DA313C9C91}"/>
    <cellStyle name="Comma 341 5" xfId="5821" xr:uid="{B81A7520-453C-4831-867F-928C3128ECAE}"/>
    <cellStyle name="Comma 341 5 2" xfId="16173" xr:uid="{64F89757-1127-4F93-8B43-442A1098EC13}"/>
    <cellStyle name="Comma 341 6" xfId="10999" xr:uid="{1FCFC6FC-FAA7-4838-A424-22E66639ABA3}"/>
    <cellStyle name="Comma 342" xfId="582" xr:uid="{1F8E0A1D-72C9-4FE5-B8CC-87EFBA602CCF}"/>
    <cellStyle name="Comma 342 2" xfId="1620" xr:uid="{8D68652C-5022-4638-9BBA-4523F185E35C}"/>
    <cellStyle name="Comma 342 2 2" xfId="3678" xr:uid="{12A072C5-DF2F-4C56-AD0A-EA60ABC0146C}"/>
    <cellStyle name="Comma 342 2 2 2" xfId="8911" xr:uid="{4104ACD8-9BBF-41C5-9618-DA80845F0922}"/>
    <cellStyle name="Comma 342 2 2 2 2" xfId="19263" xr:uid="{3254AA43-EDE4-422F-B72C-FF886BFFEF9F}"/>
    <cellStyle name="Comma 342 2 2 3" xfId="14088" xr:uid="{AE5EC1F5-D42C-4214-87D2-C7F785AA72EE}"/>
    <cellStyle name="Comma 342 2 3" xfId="6853" xr:uid="{51E216C9-9E7B-4162-BD47-22104865A745}"/>
    <cellStyle name="Comma 342 2 3 2" xfId="17205" xr:uid="{0BC6F48E-8F26-4C2A-81B2-EA10693217D4}"/>
    <cellStyle name="Comma 342 2 4" xfId="12030" xr:uid="{8E38CC77-DDF6-4A34-AC5F-1559D28692B3}"/>
    <cellStyle name="Comma 342 3" xfId="2648" xr:uid="{0ED998C2-4179-4467-B982-676538560ADF}"/>
    <cellStyle name="Comma 342 3 2" xfId="7881" xr:uid="{1DEBE72B-7B32-4E23-AFDE-8780309109A7}"/>
    <cellStyle name="Comma 342 3 2 2" xfId="18233" xr:uid="{BB9B1C61-1200-4DA7-BA90-B403C0054676}"/>
    <cellStyle name="Comma 342 3 3" xfId="13058" xr:uid="{B44B6970-E2C9-4C60-B077-9ACC019F668C}"/>
    <cellStyle name="Comma 342 4" xfId="4774" xr:uid="{2B736391-C8DD-4848-A4A5-B156869E48D0}"/>
    <cellStyle name="Comma 342 4 2" xfId="9950" xr:uid="{B0D036AF-1FCD-40B3-9D75-ACC8EA23E4CB}"/>
    <cellStyle name="Comma 342 4 2 2" xfId="20302" xr:uid="{1F169659-804B-4657-8ABD-F3D50E755A04}"/>
    <cellStyle name="Comma 342 4 3" xfId="15126" xr:uid="{98FE1152-1F9F-46CC-97DB-75126CD33C43}"/>
    <cellStyle name="Comma 342 5" xfId="5822" xr:uid="{E4AFA056-13C9-40F3-80CB-6B10A35133C5}"/>
    <cellStyle name="Comma 342 5 2" xfId="16174" xr:uid="{0867AAEB-36C9-45EA-AA3C-C05CE334020E}"/>
    <cellStyle name="Comma 342 6" xfId="11000" xr:uid="{7700D72A-5639-4F3A-AAFE-A841AD341974}"/>
    <cellStyle name="Comma 343" xfId="583" xr:uid="{6392A27F-192B-4037-96B1-9D7513214D2A}"/>
    <cellStyle name="Comma 343 2" xfId="1621" xr:uid="{2B0152BF-2810-467A-B8F2-9472A53C7E6F}"/>
    <cellStyle name="Comma 343 2 2" xfId="3679" xr:uid="{1A559334-8F20-4A45-B105-BAFE50C21CE0}"/>
    <cellStyle name="Comma 343 2 2 2" xfId="8912" xr:uid="{25D35C62-36C0-402E-A3C1-4BBED1F29D99}"/>
    <cellStyle name="Comma 343 2 2 2 2" xfId="19264" xr:uid="{21E5683A-66ED-401D-84DC-F101FD718C02}"/>
    <cellStyle name="Comma 343 2 2 3" xfId="14089" xr:uid="{FB6269C5-8C3A-4595-917A-DD87DDF90AA0}"/>
    <cellStyle name="Comma 343 2 3" xfId="6854" xr:uid="{55CECB46-FC12-4469-A967-02FCC83769A0}"/>
    <cellStyle name="Comma 343 2 3 2" xfId="17206" xr:uid="{BAB3000E-CAA4-4D7E-A0C7-83FA9DF68A19}"/>
    <cellStyle name="Comma 343 2 4" xfId="12031" xr:uid="{B9C8F853-BCEB-45D8-BA5A-0E55FF4B7A80}"/>
    <cellStyle name="Comma 343 3" xfId="2649" xr:uid="{2E74A09B-F7A2-4334-8083-8A383BE8D708}"/>
    <cellStyle name="Comma 343 3 2" xfId="7882" xr:uid="{C8FC58DB-C6C8-41EC-9F32-C7CCE9BE6D95}"/>
    <cellStyle name="Comma 343 3 2 2" xfId="18234" xr:uid="{9C7E79FC-3267-4280-BC2D-62BC6104D766}"/>
    <cellStyle name="Comma 343 3 3" xfId="13059" xr:uid="{2DDA6927-0B78-4D16-8E8B-BEAC0923AD06}"/>
    <cellStyle name="Comma 343 4" xfId="4775" xr:uid="{AE0E2CA1-D970-4467-B42A-6F25837EBA2D}"/>
    <cellStyle name="Comma 343 4 2" xfId="9951" xr:uid="{31A95F7A-BBA7-42EB-854D-7DFA3BA5D862}"/>
    <cellStyle name="Comma 343 4 2 2" xfId="20303" xr:uid="{8F046CB4-A07E-437F-B2CD-C84952675632}"/>
    <cellStyle name="Comma 343 4 3" xfId="15127" xr:uid="{628C6295-9D9B-4B0E-AFDC-0F71ED6F27D2}"/>
    <cellStyle name="Comma 343 5" xfId="5823" xr:uid="{58DF2DE7-CC14-454A-B12A-DC74F5716FDB}"/>
    <cellStyle name="Comma 343 5 2" xfId="16175" xr:uid="{CD491A68-D4CF-435B-8701-37E7ADE1484B}"/>
    <cellStyle name="Comma 343 6" xfId="11001" xr:uid="{DC39BEF7-0BEC-4C52-BDBD-A31964C5DFB2}"/>
    <cellStyle name="Comma 344" xfId="584" xr:uid="{3AC64059-1002-41A4-B5C4-AD5B5F5C57D7}"/>
    <cellStyle name="Comma 344 2" xfId="1622" xr:uid="{2D7F3411-BB74-4767-96E2-B218156F1F04}"/>
    <cellStyle name="Comma 344 2 2" xfId="3680" xr:uid="{DCA91AAA-A6B6-482A-AB27-4ECC7E6AB2AB}"/>
    <cellStyle name="Comma 344 2 2 2" xfId="8913" xr:uid="{EFFDC4FE-FAA5-436D-8A96-D42EA569A0E4}"/>
    <cellStyle name="Comma 344 2 2 2 2" xfId="19265" xr:uid="{763FAE7E-7D12-4D82-9A5B-75944FBE1515}"/>
    <cellStyle name="Comma 344 2 2 3" xfId="14090" xr:uid="{23618DB1-BA5D-4987-8234-D4D3DF32A2D7}"/>
    <cellStyle name="Comma 344 2 3" xfId="6855" xr:uid="{E65C7E3A-B5AE-469F-A30C-6CCC3E032981}"/>
    <cellStyle name="Comma 344 2 3 2" xfId="17207" xr:uid="{CDE0C5A0-3B41-4B3F-93E5-13C0F5900461}"/>
    <cellStyle name="Comma 344 2 4" xfId="12032" xr:uid="{5FAE7F2B-BDBF-4134-945E-F158C43C8EEB}"/>
    <cellStyle name="Comma 344 3" xfId="2650" xr:uid="{0C7F2D50-C18F-4D02-8892-2C1EB269FEA2}"/>
    <cellStyle name="Comma 344 3 2" xfId="7883" xr:uid="{D4DF6992-FD1B-4509-90A9-04B7D8D42965}"/>
    <cellStyle name="Comma 344 3 2 2" xfId="18235" xr:uid="{0950B9B7-F670-47E7-A152-29FCB69B09FC}"/>
    <cellStyle name="Comma 344 3 3" xfId="13060" xr:uid="{C1718A80-D53D-4390-89B4-6C851F659DCF}"/>
    <cellStyle name="Comma 344 4" xfId="4776" xr:uid="{28C878BF-45ED-4154-9644-1774BA67FB85}"/>
    <cellStyle name="Comma 344 4 2" xfId="9952" xr:uid="{C92CBFF3-AC61-45BA-BDED-0E23DD9BEB40}"/>
    <cellStyle name="Comma 344 4 2 2" xfId="20304" xr:uid="{4A204993-E41B-40FB-BCFB-8312BF23BABF}"/>
    <cellStyle name="Comma 344 4 3" xfId="15128" xr:uid="{6A826DD2-D8BF-4257-9F7D-9679BF7120D4}"/>
    <cellStyle name="Comma 344 5" xfId="5824" xr:uid="{12B81410-C196-49BF-AB3B-82D048BEEA3B}"/>
    <cellStyle name="Comma 344 5 2" xfId="16176" xr:uid="{E8A5DD59-C277-4034-AA21-DECCF3076610}"/>
    <cellStyle name="Comma 344 6" xfId="11002" xr:uid="{92AFEED1-9C9D-469A-B45B-B8CB7AD932C4}"/>
    <cellStyle name="Comma 345" xfId="585" xr:uid="{FF955B08-9848-44A4-B7F6-B80000C1237F}"/>
    <cellStyle name="Comma 345 2" xfId="1623" xr:uid="{30B5E721-0F11-4086-87AE-9165F309EF93}"/>
    <cellStyle name="Comma 345 2 2" xfId="3681" xr:uid="{52138225-3484-4EE6-BCF3-23C52B9D21AB}"/>
    <cellStyle name="Comma 345 2 2 2" xfId="8914" xr:uid="{B4200E7D-14D1-4973-840D-2225750B5493}"/>
    <cellStyle name="Comma 345 2 2 2 2" xfId="19266" xr:uid="{554734AA-DB6F-4A96-96BD-E4612A57FF23}"/>
    <cellStyle name="Comma 345 2 2 3" xfId="14091" xr:uid="{164F3923-338D-44AA-8988-74DA5483093B}"/>
    <cellStyle name="Comma 345 2 3" xfId="6856" xr:uid="{5EA6E09B-AABE-44CE-9FFE-EE9B95FE88F8}"/>
    <cellStyle name="Comma 345 2 3 2" xfId="17208" xr:uid="{5BFCD12A-7D7C-41FC-BF5E-306D0A3A8DB0}"/>
    <cellStyle name="Comma 345 2 4" xfId="12033" xr:uid="{87703A3E-D979-49E9-9FFF-FC9DA0F78DFD}"/>
    <cellStyle name="Comma 345 3" xfId="2651" xr:uid="{BC92C1B7-41A5-4899-9F11-040D547A08EE}"/>
    <cellStyle name="Comma 345 3 2" xfId="7884" xr:uid="{F6CC9769-C73C-48F9-BAEA-49BD6008EE97}"/>
    <cellStyle name="Comma 345 3 2 2" xfId="18236" xr:uid="{97B08D11-2EE2-454C-9C4F-B0E21FFB2097}"/>
    <cellStyle name="Comma 345 3 3" xfId="13061" xr:uid="{21765A88-4EB4-4E9E-8B56-5A84EE37AE80}"/>
    <cellStyle name="Comma 345 4" xfId="4777" xr:uid="{BB65664C-B11A-4C2F-A8F5-2140AB62E2A0}"/>
    <cellStyle name="Comma 345 4 2" xfId="9953" xr:uid="{0DFC6706-FCE7-4755-95C8-2376693EB795}"/>
    <cellStyle name="Comma 345 4 2 2" xfId="20305" xr:uid="{65E9389C-A404-48BD-9594-3C4EA7D1CD8A}"/>
    <cellStyle name="Comma 345 4 3" xfId="15129" xr:uid="{35BDBC84-C405-49B3-9AF6-052C94AEA479}"/>
    <cellStyle name="Comma 345 5" xfId="5825" xr:uid="{4670A03F-EFD7-4036-9923-200FFB29B00C}"/>
    <cellStyle name="Comma 345 5 2" xfId="16177" xr:uid="{7B6342F3-4AC6-42C5-8722-497DC3B31E83}"/>
    <cellStyle name="Comma 345 6" xfId="11003" xr:uid="{D0DB9D76-4815-4B00-B006-EC443D81AABB}"/>
    <cellStyle name="Comma 346" xfId="586" xr:uid="{2663EFE5-96A1-41A8-B3D3-59FADD27A909}"/>
    <cellStyle name="Comma 346 2" xfId="1624" xr:uid="{30B66FAE-0DDE-42A3-AB6A-8A86C0A52A05}"/>
    <cellStyle name="Comma 346 2 2" xfId="3682" xr:uid="{16CA1522-B837-44F8-A00A-F20847BF7DDA}"/>
    <cellStyle name="Comma 346 2 2 2" xfId="8915" xr:uid="{E08B6ACE-2862-4CB8-BB4F-6D02A9E9585B}"/>
    <cellStyle name="Comma 346 2 2 2 2" xfId="19267" xr:uid="{F33557CF-4F03-4B01-AEAB-BA1911CDB9D6}"/>
    <cellStyle name="Comma 346 2 2 3" xfId="14092" xr:uid="{AA68EBDD-D5CF-4D11-91A0-FA7EB021FF0B}"/>
    <cellStyle name="Comma 346 2 3" xfId="6857" xr:uid="{38444150-99DD-4E3D-A5A6-7192A6FC9D4B}"/>
    <cellStyle name="Comma 346 2 3 2" xfId="17209" xr:uid="{70AC3DC6-01F0-49B2-BC4F-1278B90BC7BE}"/>
    <cellStyle name="Comma 346 2 4" xfId="12034" xr:uid="{CC8AE237-179C-4AC4-A515-DF208CC52B11}"/>
    <cellStyle name="Comma 346 3" xfId="2652" xr:uid="{B821705B-8884-4783-B698-E968956323FB}"/>
    <cellStyle name="Comma 346 3 2" xfId="7885" xr:uid="{3447A3A5-69EA-4A71-AF69-97E1F63B0427}"/>
    <cellStyle name="Comma 346 3 2 2" xfId="18237" xr:uid="{5093CBA4-4FF6-4D16-8C14-C12DE507CF4F}"/>
    <cellStyle name="Comma 346 3 3" xfId="13062" xr:uid="{A8C2157B-214C-4C14-A77C-6D84A1F35C03}"/>
    <cellStyle name="Comma 346 4" xfId="4778" xr:uid="{DFCB98F9-70ED-425C-BD60-5C4A5662F16C}"/>
    <cellStyle name="Comma 346 4 2" xfId="9954" xr:uid="{74E91E6A-AD60-4526-9209-7B0F4BDF4A21}"/>
    <cellStyle name="Comma 346 4 2 2" xfId="20306" xr:uid="{9DE11AB8-5D3E-4DC7-B083-F356358D5566}"/>
    <cellStyle name="Comma 346 4 3" xfId="15130" xr:uid="{AC56A1E1-B561-41AA-A7CF-138B8523C94F}"/>
    <cellStyle name="Comma 346 5" xfId="5826" xr:uid="{A0EEAC58-9895-4FF5-9C94-35B27247C89C}"/>
    <cellStyle name="Comma 346 5 2" xfId="16178" xr:uid="{A33B46DC-B73F-463E-B03D-20A61EC0FFEC}"/>
    <cellStyle name="Comma 346 6" xfId="11004" xr:uid="{FC5BC631-3112-4A50-BFF9-67D2D3EBF801}"/>
    <cellStyle name="Comma 347" xfId="587" xr:uid="{E01D912F-E257-4470-83CE-F8671A4A35EA}"/>
    <cellStyle name="Comma 347 2" xfId="1625" xr:uid="{FBB30D49-A27F-45FD-BBFF-553725B33AEC}"/>
    <cellStyle name="Comma 347 2 2" xfId="3683" xr:uid="{ED3CA8A7-D466-47DB-95FD-01B3267AE7D5}"/>
    <cellStyle name="Comma 347 2 2 2" xfId="8916" xr:uid="{388A6857-3408-4030-A561-DBE0303F6C2C}"/>
    <cellStyle name="Comma 347 2 2 2 2" xfId="19268" xr:uid="{A0BD8ED2-EA1C-4B9F-AEAD-A6D07AB954FA}"/>
    <cellStyle name="Comma 347 2 2 3" xfId="14093" xr:uid="{1B677651-DE5F-4FE9-8AB3-B305B130721E}"/>
    <cellStyle name="Comma 347 2 3" xfId="6858" xr:uid="{C9AB0E01-282D-4F45-BE85-872A860436E2}"/>
    <cellStyle name="Comma 347 2 3 2" xfId="17210" xr:uid="{5A39C69D-AE54-46F9-8BC0-4AA9FAC6CFAA}"/>
    <cellStyle name="Comma 347 2 4" xfId="12035" xr:uid="{6EF16906-5BFB-4183-B3AA-EAA0D81552DD}"/>
    <cellStyle name="Comma 347 3" xfId="2653" xr:uid="{20C38B6C-5B03-4AB9-91BE-EC15D14BE905}"/>
    <cellStyle name="Comma 347 3 2" xfId="7886" xr:uid="{210BA919-4DF7-4C2A-80B1-76930E244C87}"/>
    <cellStyle name="Comma 347 3 2 2" xfId="18238" xr:uid="{0E1994F7-5AB4-4778-A0A0-D8141A9392D4}"/>
    <cellStyle name="Comma 347 3 3" xfId="13063" xr:uid="{8AD0D856-4D8D-4F06-AF87-06AFE3CD3EEE}"/>
    <cellStyle name="Comma 347 4" xfId="4779" xr:uid="{702D3FEC-5B2D-4D32-972F-305B582AD54E}"/>
    <cellStyle name="Comma 347 4 2" xfId="9955" xr:uid="{FDB92CF3-0FF7-4A63-9707-1E69272B487F}"/>
    <cellStyle name="Comma 347 4 2 2" xfId="20307" xr:uid="{1D825EE6-02B9-488F-9089-AC8D634A8469}"/>
    <cellStyle name="Comma 347 4 3" xfId="15131" xr:uid="{ACBCB732-094F-449D-997E-8331C4D13056}"/>
    <cellStyle name="Comma 347 5" xfId="5827" xr:uid="{63063C64-79FF-449E-AA25-869FB8CC4A26}"/>
    <cellStyle name="Comma 347 5 2" xfId="16179" xr:uid="{AF73C19B-FA36-4146-B146-AF4EF554B777}"/>
    <cellStyle name="Comma 347 6" xfId="11005" xr:uid="{5DC0979B-7818-4343-9F1D-B68468FB6EF3}"/>
    <cellStyle name="Comma 348" xfId="588" xr:uid="{7AE8428E-8E39-4314-BD48-38226688F3E2}"/>
    <cellStyle name="Comma 348 2" xfId="1626" xr:uid="{CE344307-7EC7-41A6-9931-F4AD0191EA3F}"/>
    <cellStyle name="Comma 348 2 2" xfId="3684" xr:uid="{AEC3194E-AA4D-40EF-A6A9-B160580F77AA}"/>
    <cellStyle name="Comma 348 2 2 2" xfId="8917" xr:uid="{D3A62DB9-FC1E-48A6-9912-C1D48FC924FB}"/>
    <cellStyle name="Comma 348 2 2 2 2" xfId="19269" xr:uid="{A6FB360B-17D3-49C2-8F27-523259392E62}"/>
    <cellStyle name="Comma 348 2 2 3" xfId="14094" xr:uid="{AE5F0807-41F9-46C1-9B07-2E8CB5E661C2}"/>
    <cellStyle name="Comma 348 2 3" xfId="6859" xr:uid="{2CD477E5-E8C4-4DB2-93BF-80FC6BB2B0E1}"/>
    <cellStyle name="Comma 348 2 3 2" xfId="17211" xr:uid="{FD8564CF-9FCC-402D-A4D5-77D4B8C15C2F}"/>
    <cellStyle name="Comma 348 2 4" xfId="12036" xr:uid="{38B01819-77EA-4BB4-9773-297BE1955D33}"/>
    <cellStyle name="Comma 348 3" xfId="2654" xr:uid="{867A6D7A-59A6-4BD5-BCA5-10C0280BA925}"/>
    <cellStyle name="Comma 348 3 2" xfId="7887" xr:uid="{24BDB600-9E5A-41C5-8F3C-CEC31E6508B5}"/>
    <cellStyle name="Comma 348 3 2 2" xfId="18239" xr:uid="{605E1E8B-EA4B-41CE-9269-AA6757627DF5}"/>
    <cellStyle name="Comma 348 3 3" xfId="13064" xr:uid="{84755DAB-28B9-4E85-8D60-53C69A14C7A6}"/>
    <cellStyle name="Comma 348 4" xfId="4780" xr:uid="{E67E7190-9768-4DAB-A475-991248F47BBF}"/>
    <cellStyle name="Comma 348 4 2" xfId="9956" xr:uid="{6F14D8B3-0A7B-4A2F-A852-B039A6A27D4F}"/>
    <cellStyle name="Comma 348 4 2 2" xfId="20308" xr:uid="{45AAA457-C42A-4619-8467-106EE9E07EA1}"/>
    <cellStyle name="Comma 348 4 3" xfId="15132" xr:uid="{A8D7EEC9-F16F-45FB-98DA-29C2EA9E28C4}"/>
    <cellStyle name="Comma 348 5" xfId="5828" xr:uid="{5CA7D03D-5B1F-4816-8C3A-DF7495DCEB42}"/>
    <cellStyle name="Comma 348 5 2" xfId="16180" xr:uid="{1F334515-4138-40BA-8905-45510607F03D}"/>
    <cellStyle name="Comma 348 6" xfId="11006" xr:uid="{DE09BFA4-AD98-4752-8FAB-33C53C15FC85}"/>
    <cellStyle name="Comma 349" xfId="589" xr:uid="{570533B8-CAF5-4D10-BFF3-AEEF93FB40D8}"/>
    <cellStyle name="Comma 349 2" xfId="1627" xr:uid="{DA889172-B457-462B-82F0-1671C612F63A}"/>
    <cellStyle name="Comma 349 2 2" xfId="3685" xr:uid="{4153B22B-08FE-4062-9C99-BF3087647EB1}"/>
    <cellStyle name="Comma 349 2 2 2" xfId="8918" xr:uid="{8E28866A-D8FF-4A4F-81FE-1A07F55FE97E}"/>
    <cellStyle name="Comma 349 2 2 2 2" xfId="19270" xr:uid="{CC0099C6-5D29-457A-A76C-A66B9FFA6C3F}"/>
    <cellStyle name="Comma 349 2 2 3" xfId="14095" xr:uid="{2B1F4DB2-FB74-4E74-9F39-8AF842A24A97}"/>
    <cellStyle name="Comma 349 2 3" xfId="6860" xr:uid="{6E7AF1A4-FD6D-4358-9ABD-F0EA760B739D}"/>
    <cellStyle name="Comma 349 2 3 2" xfId="17212" xr:uid="{9F3C17D3-958B-4D6B-B9F6-962FFF9CC270}"/>
    <cellStyle name="Comma 349 2 4" xfId="12037" xr:uid="{72812FFC-E1DF-4D6C-9DAD-8502A04EAFC2}"/>
    <cellStyle name="Comma 349 3" xfId="2655" xr:uid="{7544ECCC-4A78-49A6-A73C-F205E695A51B}"/>
    <cellStyle name="Comma 349 3 2" xfId="7888" xr:uid="{226584D8-C9A3-4EDF-B0D9-A5DBDC4CE9FD}"/>
    <cellStyle name="Comma 349 3 2 2" xfId="18240" xr:uid="{9F412313-47B4-4809-BD53-44CC3F408F1B}"/>
    <cellStyle name="Comma 349 3 3" xfId="13065" xr:uid="{0B05A0BC-AB2B-4EC9-8F5C-D3654CBE6D75}"/>
    <cellStyle name="Comma 349 4" xfId="4781" xr:uid="{A3E0ADD3-C7FD-4E7A-B70B-0285804123EF}"/>
    <cellStyle name="Comma 349 4 2" xfId="9957" xr:uid="{257D45B0-8206-491A-84AA-F113FC66EDF4}"/>
    <cellStyle name="Comma 349 4 2 2" xfId="20309" xr:uid="{EC96EBA0-5172-4DAC-9E18-E4FD1B23FE58}"/>
    <cellStyle name="Comma 349 4 3" xfId="15133" xr:uid="{A5497618-101C-4EA1-A472-A27CD84F40DD}"/>
    <cellStyle name="Comma 349 5" xfId="5829" xr:uid="{F3427F2E-8E48-4D4F-8B3D-613C84139930}"/>
    <cellStyle name="Comma 349 5 2" xfId="16181" xr:uid="{2A2E45F5-3BE4-4DB1-B816-94711E19D97A}"/>
    <cellStyle name="Comma 349 6" xfId="11007" xr:uid="{8926A666-F401-480B-9240-E726CA8867E4}"/>
    <cellStyle name="Comma 35" xfId="235" xr:uid="{BCE78FD2-E521-4970-81F9-74E7B0CB4502}"/>
    <cellStyle name="Comma 35 2" xfId="1313" xr:uid="{3138FA98-611E-4AAC-9455-5F914EC1D242}"/>
    <cellStyle name="Comma 35 2 2" xfId="3371" xr:uid="{69FB90ED-1D57-4756-A156-C7AA59274C42}"/>
    <cellStyle name="Comma 35 2 2 2" xfId="8604" xr:uid="{5D9241E2-DC32-4871-9320-C7906439E59C}"/>
    <cellStyle name="Comma 35 2 2 2 2" xfId="18956" xr:uid="{97B283F6-D262-4955-BB8D-D2C58D89A641}"/>
    <cellStyle name="Comma 35 2 2 3" xfId="13781" xr:uid="{46843C39-AAA2-4768-A5C0-9885F753F06D}"/>
    <cellStyle name="Comma 35 2 3" xfId="6546" xr:uid="{3F366B0A-2A4F-4780-A765-3B8D57A98D6E}"/>
    <cellStyle name="Comma 35 2 3 2" xfId="16898" xr:uid="{40CBC90F-800E-473F-B835-BD9F5826AEEB}"/>
    <cellStyle name="Comma 35 2 4" xfId="11723" xr:uid="{485EA4B6-6A2A-4035-B550-D08E043017F8}"/>
    <cellStyle name="Comma 35 3" xfId="2341" xr:uid="{717300EC-9CDF-4586-9BD5-486A2ACA3F65}"/>
    <cellStyle name="Comma 35 3 2" xfId="7574" xr:uid="{89EA669C-C4C7-49DC-91C6-E398AFDFCD08}"/>
    <cellStyle name="Comma 35 3 2 2" xfId="17926" xr:uid="{9EC7B7CC-B32E-47E8-A6BA-C04C5849A158}"/>
    <cellStyle name="Comma 35 3 3" xfId="12751" xr:uid="{39952FD4-EC12-492F-BD2A-1B9E706EEBDC}"/>
    <cellStyle name="Comma 35 4" xfId="4467" xr:uid="{19ACC474-AEFC-47AC-A4D1-E21DA0C16783}"/>
    <cellStyle name="Comma 35 4 2" xfId="9643" xr:uid="{B914AAC2-47F5-4673-849D-FDCCDD809FB2}"/>
    <cellStyle name="Comma 35 4 2 2" xfId="19995" xr:uid="{1651A5FF-407B-4B52-9C99-F28DCA4B4490}"/>
    <cellStyle name="Comma 35 4 3" xfId="14819" xr:uid="{D42F1D83-319C-43AE-8E38-E591CD919F67}"/>
    <cellStyle name="Comma 35 5" xfId="5515" xr:uid="{EBA8F17C-7EB0-4A53-8C55-DFB28B25BED3}"/>
    <cellStyle name="Comma 35 5 2" xfId="15867" xr:uid="{FC15394D-F05B-4866-B28E-FDD3EA85983C}"/>
    <cellStyle name="Comma 35 6" xfId="10693" xr:uid="{F605616E-7712-441F-8F2E-615B7E20FAA0}"/>
    <cellStyle name="Comma 350" xfId="590" xr:uid="{81B0B509-C593-4031-A857-E25A7427BAD1}"/>
    <cellStyle name="Comma 350 2" xfId="1628" xr:uid="{F4CFB8A7-340B-4C28-92CB-887EECF77EA1}"/>
    <cellStyle name="Comma 350 2 2" xfId="3686" xr:uid="{72DB3540-1905-4E73-8DD9-88D98D8CBE0E}"/>
    <cellStyle name="Comma 350 2 2 2" xfId="8919" xr:uid="{844050C3-54CA-4D3B-969D-9AB89257B26C}"/>
    <cellStyle name="Comma 350 2 2 2 2" xfId="19271" xr:uid="{86FE1696-7265-4B63-AB8A-C37911C2FDE9}"/>
    <cellStyle name="Comma 350 2 2 3" xfId="14096" xr:uid="{7BCA2B15-9241-4062-A41D-DFCA17D8313E}"/>
    <cellStyle name="Comma 350 2 3" xfId="6861" xr:uid="{FB15AFB5-1F5B-4DDF-8952-FA2087EFFF09}"/>
    <cellStyle name="Comma 350 2 3 2" xfId="17213" xr:uid="{549FF503-4852-4850-8799-F34CF6E3642A}"/>
    <cellStyle name="Comma 350 2 4" xfId="12038" xr:uid="{3D3585F6-F565-4580-8588-3F5EB093CCE0}"/>
    <cellStyle name="Comma 350 3" xfId="2656" xr:uid="{AB14CB7B-21BE-4FFD-A251-750B7894A65B}"/>
    <cellStyle name="Comma 350 3 2" xfId="7889" xr:uid="{B0A4B4FD-48C3-4014-99F6-EE4DACB32EE6}"/>
    <cellStyle name="Comma 350 3 2 2" xfId="18241" xr:uid="{AAE0CA82-BE32-453C-BB6F-53660772630C}"/>
    <cellStyle name="Comma 350 3 3" xfId="13066" xr:uid="{824D7CE1-4AE8-47B0-892C-EDE99E4540FB}"/>
    <cellStyle name="Comma 350 4" xfId="4782" xr:uid="{A94E4E04-2815-4326-A92E-4D1CD7AFA501}"/>
    <cellStyle name="Comma 350 4 2" xfId="9958" xr:uid="{4602B3D6-5E9F-459A-BC9A-DB9DE5BBFE76}"/>
    <cellStyle name="Comma 350 4 2 2" xfId="20310" xr:uid="{0665FD9B-0940-4EB9-9983-F44FA819F1B8}"/>
    <cellStyle name="Comma 350 4 3" xfId="15134" xr:uid="{409690FB-B86B-4D1F-9F80-FCF2841051A1}"/>
    <cellStyle name="Comma 350 5" xfId="5830" xr:uid="{8C37CF1E-CE4E-48C7-BB24-9762409A9A05}"/>
    <cellStyle name="Comma 350 5 2" xfId="16182" xr:uid="{3812197B-C226-4AC9-9FD4-187F4B2F94E0}"/>
    <cellStyle name="Comma 350 6" xfId="11008" xr:uid="{E85F1E78-2F05-4F71-B325-D4E025C190B9}"/>
    <cellStyle name="Comma 351" xfId="591" xr:uid="{93F9F3ED-D214-4495-9B5D-D139D0EA0E0A}"/>
    <cellStyle name="Comma 351 2" xfId="1629" xr:uid="{F18004C2-61B4-4461-BF7E-F2402197A4FD}"/>
    <cellStyle name="Comma 351 2 2" xfId="3687" xr:uid="{26ABF482-9C43-42AD-8BFA-EB5CDB701B06}"/>
    <cellStyle name="Comma 351 2 2 2" xfId="8920" xr:uid="{7B8D3948-EDEF-46A7-BC15-843097F22649}"/>
    <cellStyle name="Comma 351 2 2 2 2" xfId="19272" xr:uid="{424B3E50-C721-4083-A5E7-A2CB55DF0598}"/>
    <cellStyle name="Comma 351 2 2 3" xfId="14097" xr:uid="{B7C6163A-9D1F-4458-997B-273FE8A7ADD0}"/>
    <cellStyle name="Comma 351 2 3" xfId="6862" xr:uid="{CF40A9C5-8018-4A9B-82F7-FA73CAA6030D}"/>
    <cellStyle name="Comma 351 2 3 2" xfId="17214" xr:uid="{A190230A-2871-4812-8767-7BAF2186A911}"/>
    <cellStyle name="Comma 351 2 4" xfId="12039" xr:uid="{160D006F-520E-4A12-8E6B-E3B70DDDD1ED}"/>
    <cellStyle name="Comma 351 3" xfId="2657" xr:uid="{D58C7C37-9DDF-41F2-BFF1-AD253FD0EDBF}"/>
    <cellStyle name="Comma 351 3 2" xfId="7890" xr:uid="{48576616-6992-49F6-974F-680574C96396}"/>
    <cellStyle name="Comma 351 3 2 2" xfId="18242" xr:uid="{4909ECC2-BF97-44CC-AB7F-7C309730FCDC}"/>
    <cellStyle name="Comma 351 3 3" xfId="13067" xr:uid="{91BBF2FF-12F1-445C-920D-ADDD5C907CFA}"/>
    <cellStyle name="Comma 351 4" xfId="4783" xr:uid="{D6402734-B012-44C9-843E-439B23FD32B7}"/>
    <cellStyle name="Comma 351 4 2" xfId="9959" xr:uid="{1B83EE54-440C-48F8-8A0A-325711E1C2A3}"/>
    <cellStyle name="Comma 351 4 2 2" xfId="20311" xr:uid="{0A1F5276-A4DC-4142-B481-916053901B20}"/>
    <cellStyle name="Comma 351 4 3" xfId="15135" xr:uid="{806DDE33-C32D-48F8-A305-E276581F12F6}"/>
    <cellStyle name="Comma 351 5" xfId="5831" xr:uid="{B75C04E2-463B-4C0B-8586-C2DB741A1EB8}"/>
    <cellStyle name="Comma 351 5 2" xfId="16183" xr:uid="{1C8D0DB9-FC66-4AC9-9BD1-7D5929D2EC20}"/>
    <cellStyle name="Comma 351 6" xfId="11009" xr:uid="{01A3F5C5-FFA9-4534-95FF-0044BA9E5F8C}"/>
    <cellStyle name="Comma 352" xfId="592" xr:uid="{BA112287-8A96-4B3D-953A-BE13A540BCC0}"/>
    <cellStyle name="Comma 352 2" xfId="1630" xr:uid="{21D62F27-7A09-4FBF-BD13-018FFD2DCA67}"/>
    <cellStyle name="Comma 352 2 2" xfId="3688" xr:uid="{C316E6E1-8B29-4E93-9FCD-E4264C421C08}"/>
    <cellStyle name="Comma 352 2 2 2" xfId="8921" xr:uid="{8AF4EE88-E412-4AE6-9BC3-0F93EA77A8A0}"/>
    <cellStyle name="Comma 352 2 2 2 2" xfId="19273" xr:uid="{1345CF89-649E-42A7-A1AC-C147E86917C3}"/>
    <cellStyle name="Comma 352 2 2 3" xfId="14098" xr:uid="{7AB49845-64FB-4301-B72C-E3113DC4B812}"/>
    <cellStyle name="Comma 352 2 3" xfId="6863" xr:uid="{32C97EC3-A799-4992-BF53-8684B83F7FCD}"/>
    <cellStyle name="Comma 352 2 3 2" xfId="17215" xr:uid="{71C9FFCF-0177-4F50-AF81-BADBF7502794}"/>
    <cellStyle name="Comma 352 2 4" xfId="12040" xr:uid="{DD68B721-226D-412F-BF51-53F03F988063}"/>
    <cellStyle name="Comma 352 3" xfId="2658" xr:uid="{7E6AE409-6348-4E98-82B9-D5D77C858A3D}"/>
    <cellStyle name="Comma 352 3 2" xfId="7891" xr:uid="{B897191D-9DF0-4337-9C7A-EB3EA3964CE5}"/>
    <cellStyle name="Comma 352 3 2 2" xfId="18243" xr:uid="{B4DE3EE8-F5BE-4420-9C3B-FB39019F406A}"/>
    <cellStyle name="Comma 352 3 3" xfId="13068" xr:uid="{C066EE65-B1C1-4964-8045-D3EF28417BD7}"/>
    <cellStyle name="Comma 352 4" xfId="4784" xr:uid="{167433F8-054C-4D42-A876-3CD1776AB62F}"/>
    <cellStyle name="Comma 352 4 2" xfId="9960" xr:uid="{B19885FF-FBA5-4B6D-BE90-F23A9D98AF9A}"/>
    <cellStyle name="Comma 352 4 2 2" xfId="20312" xr:uid="{015AA0A3-D1CC-4807-968C-706F056F6A07}"/>
    <cellStyle name="Comma 352 4 3" xfId="15136" xr:uid="{6DF0EF32-A1B7-44D2-80E3-16D2E7D21BB1}"/>
    <cellStyle name="Comma 352 5" xfId="5832" xr:uid="{A140AC53-A238-43A7-BA04-72CAE42D4180}"/>
    <cellStyle name="Comma 352 5 2" xfId="16184" xr:uid="{0482D0CD-103E-4232-89AC-19A08048A324}"/>
    <cellStyle name="Comma 352 6" xfId="11010" xr:uid="{5BAC0B68-F3C4-49EC-B98F-64921B03AC5D}"/>
    <cellStyle name="Comma 353" xfId="593" xr:uid="{8F957E61-0173-45B6-845A-756D5F9F1D66}"/>
    <cellStyle name="Comma 353 2" xfId="1631" xr:uid="{59D87E39-1D38-4A5D-848E-4A0545622B99}"/>
    <cellStyle name="Comma 353 2 2" xfId="3689" xr:uid="{6C2AE15A-97EC-4ABF-A8CE-53BBD3DE466C}"/>
    <cellStyle name="Comma 353 2 2 2" xfId="8922" xr:uid="{86620A59-FE77-48B5-B263-9C9DB2AE4EE4}"/>
    <cellStyle name="Comma 353 2 2 2 2" xfId="19274" xr:uid="{97A1C367-FB16-44E4-BF57-6B284D3DEF96}"/>
    <cellStyle name="Comma 353 2 2 3" xfId="14099" xr:uid="{1E0346E8-14ED-468C-A89A-24BCB8D84BB8}"/>
    <cellStyle name="Comma 353 2 3" xfId="6864" xr:uid="{E2469D5F-6104-4F3A-8DBA-FFFE8BBF4717}"/>
    <cellStyle name="Comma 353 2 3 2" xfId="17216" xr:uid="{626E9925-3FD4-4061-9BFD-2E77BBCD9E46}"/>
    <cellStyle name="Comma 353 2 4" xfId="12041" xr:uid="{F3FCB0CB-1D45-4DED-B7C5-B8ED02BA4E0F}"/>
    <cellStyle name="Comma 353 3" xfId="2659" xr:uid="{7A783AAD-F346-49C2-9AF5-75457530D208}"/>
    <cellStyle name="Comma 353 3 2" xfId="7892" xr:uid="{0EF59D81-D300-4AED-AF4E-11B58809DEBF}"/>
    <cellStyle name="Comma 353 3 2 2" xfId="18244" xr:uid="{CE48B1B0-3DC5-41CC-8D57-F2191890853A}"/>
    <cellStyle name="Comma 353 3 3" xfId="13069" xr:uid="{9C5ECE1A-4439-4ED6-BD64-66DD353216BC}"/>
    <cellStyle name="Comma 353 4" xfId="4785" xr:uid="{528FBEBF-A780-4533-A680-2E7296BE93E3}"/>
    <cellStyle name="Comma 353 4 2" xfId="9961" xr:uid="{3A57C346-A40C-4309-A824-1FB98834FF8B}"/>
    <cellStyle name="Comma 353 4 2 2" xfId="20313" xr:uid="{5FEC84C4-CF5F-4167-B7C9-67B18D30589F}"/>
    <cellStyle name="Comma 353 4 3" xfId="15137" xr:uid="{B462356A-5A20-4865-BB97-88B281781C90}"/>
    <cellStyle name="Comma 353 5" xfId="5833" xr:uid="{D5DE172E-893E-4C27-8CC0-9CC664CF109C}"/>
    <cellStyle name="Comma 353 5 2" xfId="16185" xr:uid="{52DD3602-1130-48D7-9A90-FA1099294CF5}"/>
    <cellStyle name="Comma 353 6" xfId="11011" xr:uid="{C05E2A48-85BF-4855-A723-9448470F8601}"/>
    <cellStyle name="Comma 354" xfId="594" xr:uid="{8EE18285-579E-47DF-A1FC-E0AAFF54E473}"/>
    <cellStyle name="Comma 354 2" xfId="1632" xr:uid="{738827DF-E711-46BA-B9ED-E8449AC7F646}"/>
    <cellStyle name="Comma 354 2 2" xfId="3690" xr:uid="{4C0C68D8-0C1C-4242-9B8D-24C2D23E593A}"/>
    <cellStyle name="Comma 354 2 2 2" xfId="8923" xr:uid="{C16B1BF6-519F-4ADB-9C4E-717C2C075C26}"/>
    <cellStyle name="Comma 354 2 2 2 2" xfId="19275" xr:uid="{831915EE-7223-4C93-BF1E-9EA20B49297D}"/>
    <cellStyle name="Comma 354 2 2 3" xfId="14100" xr:uid="{9299C8B1-EE5E-45CB-BF6E-8DD43062E25C}"/>
    <cellStyle name="Comma 354 2 3" xfId="6865" xr:uid="{92633159-911E-435B-8EFA-3BEE9ACA2082}"/>
    <cellStyle name="Comma 354 2 3 2" xfId="17217" xr:uid="{54795568-CA9B-466A-975E-CFF07EA8AB7C}"/>
    <cellStyle name="Comma 354 2 4" xfId="12042" xr:uid="{7B407203-20D3-41C1-8181-7FF9C517EA39}"/>
    <cellStyle name="Comma 354 3" xfId="2660" xr:uid="{F7415CD3-138C-42B8-A3B6-67F48C1D9E03}"/>
    <cellStyle name="Comma 354 3 2" xfId="7893" xr:uid="{FF4BEDB8-3D8A-484C-A2B2-25D3998CE05A}"/>
    <cellStyle name="Comma 354 3 2 2" xfId="18245" xr:uid="{CF5A9601-A687-4D12-BF68-31B38FBB3AB2}"/>
    <cellStyle name="Comma 354 3 3" xfId="13070" xr:uid="{53736521-5E61-416F-A1AA-B346BD84A4F6}"/>
    <cellStyle name="Comma 354 4" xfId="4786" xr:uid="{1D34E2B6-EA76-42D0-A58E-AF1CC55FBD68}"/>
    <cellStyle name="Comma 354 4 2" xfId="9962" xr:uid="{F7911A24-018B-402F-AD0F-02C463B140DF}"/>
    <cellStyle name="Comma 354 4 2 2" xfId="20314" xr:uid="{85000216-4EEB-4BCF-901F-8F5BBEEDC42E}"/>
    <cellStyle name="Comma 354 4 3" xfId="15138" xr:uid="{97C86190-F7F8-4A2F-834F-31F84623F558}"/>
    <cellStyle name="Comma 354 5" xfId="5834" xr:uid="{7791E226-DB27-48F6-BE81-576624FE5C4A}"/>
    <cellStyle name="Comma 354 5 2" xfId="16186" xr:uid="{4E209AC6-A768-42DF-A16A-F172D672A3EA}"/>
    <cellStyle name="Comma 354 6" xfId="11012" xr:uid="{011AA371-9A31-40A7-BDE8-0D2974E6547C}"/>
    <cellStyle name="Comma 355" xfId="595" xr:uid="{3448C2DF-7298-4C9D-A2E5-0FD223AB4BEE}"/>
    <cellStyle name="Comma 355 2" xfId="1633" xr:uid="{1229EC64-BBE1-433F-B4CD-43B76AC79D30}"/>
    <cellStyle name="Comma 355 2 2" xfId="3691" xr:uid="{4C38D02C-5625-4B19-9B56-77DAF4B5257F}"/>
    <cellStyle name="Comma 355 2 2 2" xfId="8924" xr:uid="{82773178-C545-40F6-99C7-0180ED69CC32}"/>
    <cellStyle name="Comma 355 2 2 2 2" xfId="19276" xr:uid="{97A9FB28-FFD6-4B94-8145-028FAD0FFECD}"/>
    <cellStyle name="Comma 355 2 2 3" xfId="14101" xr:uid="{166DA705-B744-44C2-A6A0-6DB6A9173E0A}"/>
    <cellStyle name="Comma 355 2 3" xfId="6866" xr:uid="{B5E94D62-0376-4E74-BCD1-E077BD3ACFA3}"/>
    <cellStyle name="Comma 355 2 3 2" xfId="17218" xr:uid="{02ED258B-62AB-4525-A417-7A264E4B53A3}"/>
    <cellStyle name="Comma 355 2 4" xfId="12043" xr:uid="{721B99A4-E6A2-468A-BBAB-4C66A1867D79}"/>
    <cellStyle name="Comma 355 3" xfId="2661" xr:uid="{41FD35C7-C008-4F0D-A4FC-39623515ED97}"/>
    <cellStyle name="Comma 355 3 2" xfId="7894" xr:uid="{803BBB71-8499-4B14-8FA3-310A2318F4FF}"/>
    <cellStyle name="Comma 355 3 2 2" xfId="18246" xr:uid="{D758F3C0-30FD-4032-88BC-585F5CAA65D5}"/>
    <cellStyle name="Comma 355 3 3" xfId="13071" xr:uid="{B3B9CEEB-AAF0-4E76-87B9-5275F17BC0B4}"/>
    <cellStyle name="Comma 355 4" xfId="4787" xr:uid="{DD2F7D50-69F0-4488-A190-E30720A7AEE7}"/>
    <cellStyle name="Comma 355 4 2" xfId="9963" xr:uid="{3F66F532-1111-4D39-84AF-5B882B4BD85B}"/>
    <cellStyle name="Comma 355 4 2 2" xfId="20315" xr:uid="{4F058D45-5C72-4A1A-A5D7-DCE3FD6CBFBF}"/>
    <cellStyle name="Comma 355 4 3" xfId="15139" xr:uid="{F6AD7045-04BA-4CD5-BB0E-A5CEA1E122EE}"/>
    <cellStyle name="Comma 355 5" xfId="5835" xr:uid="{9C206FCF-004A-48DD-A5EF-CE32A070236B}"/>
    <cellStyle name="Comma 355 5 2" xfId="16187" xr:uid="{E76340A5-449D-46E6-87BB-87CFDA5D20A9}"/>
    <cellStyle name="Comma 355 6" xfId="11013" xr:uid="{395578B3-EA44-442C-A26C-DC17FB0F0449}"/>
    <cellStyle name="Comma 356" xfId="596" xr:uid="{4AB0397A-D244-430A-BBE0-7C845BB1E5A3}"/>
    <cellStyle name="Comma 356 2" xfId="1634" xr:uid="{9B8D3F4C-F76F-4025-9B0D-D0FBE2172D05}"/>
    <cellStyle name="Comma 356 2 2" xfId="3692" xr:uid="{5340462E-0010-4CF1-B304-8F9623228945}"/>
    <cellStyle name="Comma 356 2 2 2" xfId="8925" xr:uid="{09B205EE-B07A-4C67-B2F7-8AD2B7509858}"/>
    <cellStyle name="Comma 356 2 2 2 2" xfId="19277" xr:uid="{3A99A5C3-6348-4ABC-85DB-507F78937BD0}"/>
    <cellStyle name="Comma 356 2 2 3" xfId="14102" xr:uid="{008EFAB4-E8A8-44E6-A1F7-B7F14631452D}"/>
    <cellStyle name="Comma 356 2 3" xfId="6867" xr:uid="{5F21E2F1-1AEF-4E8A-BE41-8FD0BF0441B5}"/>
    <cellStyle name="Comma 356 2 3 2" xfId="17219" xr:uid="{AEDE18B9-8D96-43D7-A2AB-E29923FC6427}"/>
    <cellStyle name="Comma 356 2 4" xfId="12044" xr:uid="{A29369FB-F239-498E-B418-AC96B54AD8D0}"/>
    <cellStyle name="Comma 356 3" xfId="2662" xr:uid="{222C72EC-8881-49AA-B7ED-433ABC8A2577}"/>
    <cellStyle name="Comma 356 3 2" xfId="7895" xr:uid="{896FFF52-B5B7-43CB-84C6-DA7323AF4F3B}"/>
    <cellStyle name="Comma 356 3 2 2" xfId="18247" xr:uid="{EC1E75F8-66C9-4115-9FE7-8CBA0476A236}"/>
    <cellStyle name="Comma 356 3 3" xfId="13072" xr:uid="{2977CA7B-A789-491C-A874-93BFA07B59E3}"/>
    <cellStyle name="Comma 356 4" xfId="4788" xr:uid="{3AE5E713-2B94-4B0E-84E4-A22193E68665}"/>
    <cellStyle name="Comma 356 4 2" xfId="9964" xr:uid="{45A09577-2FF7-47BF-B54D-BD8D6E9094D1}"/>
    <cellStyle name="Comma 356 4 2 2" xfId="20316" xr:uid="{2B1B227B-A00C-45BB-A2CD-7E7B82070636}"/>
    <cellStyle name="Comma 356 4 3" xfId="15140" xr:uid="{F6D926B4-3714-49AF-A6F9-B3EE5903226F}"/>
    <cellStyle name="Comma 356 5" xfId="5836" xr:uid="{F7AC7836-6ECE-4F8E-90E0-87EA71D873AF}"/>
    <cellStyle name="Comma 356 5 2" xfId="16188" xr:uid="{FC2735E2-D5D0-43AB-81FD-960823F9842F}"/>
    <cellStyle name="Comma 356 6" xfId="11014" xr:uid="{1EAEA234-3E10-42B4-B3A3-0796538434ED}"/>
    <cellStyle name="Comma 357" xfId="597" xr:uid="{1F2635DE-B8E3-4814-B9B0-71A5F13E7651}"/>
    <cellStyle name="Comma 357 2" xfId="1635" xr:uid="{6A968939-35DC-4DF2-B4A6-B6F5ACB3DF1C}"/>
    <cellStyle name="Comma 357 2 2" xfId="3693" xr:uid="{AA0A5287-A9B8-4200-8B84-F015A3539D36}"/>
    <cellStyle name="Comma 357 2 2 2" xfId="8926" xr:uid="{2976E3BF-DE14-41E5-A592-70C07850CDE2}"/>
    <cellStyle name="Comma 357 2 2 2 2" xfId="19278" xr:uid="{0760C602-2990-48F3-8C20-3FC44041336E}"/>
    <cellStyle name="Comma 357 2 2 3" xfId="14103" xr:uid="{D8169F65-5B08-470A-98CF-BF6B014F6920}"/>
    <cellStyle name="Comma 357 2 3" xfId="6868" xr:uid="{2ACE4E60-8C45-4207-BB83-335217DB137A}"/>
    <cellStyle name="Comma 357 2 3 2" xfId="17220" xr:uid="{F2B16A28-8C6C-4856-8670-90154094EC9A}"/>
    <cellStyle name="Comma 357 2 4" xfId="12045" xr:uid="{942073E8-DE04-4CE3-8C11-5D4F112E6769}"/>
    <cellStyle name="Comma 357 3" xfId="2663" xr:uid="{89A6B10B-24F2-47B1-9AEB-B28C9F39A590}"/>
    <cellStyle name="Comma 357 3 2" xfId="7896" xr:uid="{37AF0ED6-F21F-457E-9F12-BDF233B19BDE}"/>
    <cellStyle name="Comma 357 3 2 2" xfId="18248" xr:uid="{8555E273-89B1-478F-A557-F0F2B5F8BEC6}"/>
    <cellStyle name="Comma 357 3 3" xfId="13073" xr:uid="{F0350FAE-5C72-40D9-BBD6-E896B086C608}"/>
    <cellStyle name="Comma 357 4" xfId="4789" xr:uid="{B9A40EB3-B8A6-4A90-9A52-DA2157763BFE}"/>
    <cellStyle name="Comma 357 4 2" xfId="9965" xr:uid="{F64CD3AC-D203-4904-8D41-28A7BFDBC6EA}"/>
    <cellStyle name="Comma 357 4 2 2" xfId="20317" xr:uid="{E8B357CE-4BDC-48F3-B28C-FC07F8B6DFCB}"/>
    <cellStyle name="Comma 357 4 3" xfId="15141" xr:uid="{57CE4567-C224-4FF2-A3AD-459205762301}"/>
    <cellStyle name="Comma 357 5" xfId="5837" xr:uid="{DE9EF346-4E5C-4535-A596-D09A3A6A922E}"/>
    <cellStyle name="Comma 357 5 2" xfId="16189" xr:uid="{620C9876-2D26-4E4B-A273-63E0ECD5D9AE}"/>
    <cellStyle name="Comma 357 6" xfId="11015" xr:uid="{708FBDD2-3C3F-46C6-B6E0-7878C4F14360}"/>
    <cellStyle name="Comma 358" xfId="598" xr:uid="{B29B4219-03CF-447D-B6C1-D35A5024AC62}"/>
    <cellStyle name="Comma 358 2" xfId="1636" xr:uid="{AFDA426C-F935-46A9-81DF-F2CDECDCA905}"/>
    <cellStyle name="Comma 358 2 2" xfId="3694" xr:uid="{E30B9D70-7E8C-4EDF-AD2E-60FBF605E3DC}"/>
    <cellStyle name="Comma 358 2 2 2" xfId="8927" xr:uid="{D14A07A3-8C87-4E20-9340-C13709DED147}"/>
    <cellStyle name="Comma 358 2 2 2 2" xfId="19279" xr:uid="{9A6C393B-D240-47BC-A236-5C7BEBB6A4F7}"/>
    <cellStyle name="Comma 358 2 2 3" xfId="14104" xr:uid="{EEB6BCF9-B653-4CB2-98D1-B4F5296E49A5}"/>
    <cellStyle name="Comma 358 2 3" xfId="6869" xr:uid="{600ABC8D-FE12-4DCF-91A4-6B8264C04BB5}"/>
    <cellStyle name="Comma 358 2 3 2" xfId="17221" xr:uid="{E125F8FF-F83E-4222-99F7-63FF01806E55}"/>
    <cellStyle name="Comma 358 2 4" xfId="12046" xr:uid="{7DDD20A3-DE6D-49E8-BD23-E913251EA4C2}"/>
    <cellStyle name="Comma 358 3" xfId="2664" xr:uid="{9EA0CF51-02D1-4C4E-9372-C5454D105F9B}"/>
    <cellStyle name="Comma 358 3 2" xfId="7897" xr:uid="{7F588B07-BBF2-4FDA-A177-C38F90128688}"/>
    <cellStyle name="Comma 358 3 2 2" xfId="18249" xr:uid="{422556D2-4BBE-4F54-A660-A88AFFBA0C24}"/>
    <cellStyle name="Comma 358 3 3" xfId="13074" xr:uid="{05FB5451-A1CE-4945-A3C9-99917194E5F4}"/>
    <cellStyle name="Comma 358 4" xfId="4790" xr:uid="{4DF95B46-B55D-47AF-8509-B3D2842F79F0}"/>
    <cellStyle name="Comma 358 4 2" xfId="9966" xr:uid="{7C766778-7F39-4D5F-B79D-B4D1D8574B4C}"/>
    <cellStyle name="Comma 358 4 2 2" xfId="20318" xr:uid="{22842FF8-08CF-47D5-94B0-BB2F0EF80A50}"/>
    <cellStyle name="Comma 358 4 3" xfId="15142" xr:uid="{871E961A-D573-4636-82C9-1EEEAB24A82B}"/>
    <cellStyle name="Comma 358 5" xfId="5838" xr:uid="{DA30126A-AB64-4F57-A65A-1DD1873D658E}"/>
    <cellStyle name="Comma 358 5 2" xfId="16190" xr:uid="{83A35E68-B8AD-4F71-B094-BA24E6089159}"/>
    <cellStyle name="Comma 358 6" xfId="11016" xr:uid="{AE17562D-B66E-4464-8AFE-ABF38205EAC7}"/>
    <cellStyle name="Comma 359" xfId="599" xr:uid="{74428077-E014-43FC-946C-797082501E81}"/>
    <cellStyle name="Comma 359 2" xfId="1637" xr:uid="{89A3F44B-C03B-402A-9628-DD6DEA10093A}"/>
    <cellStyle name="Comma 359 2 2" xfId="3695" xr:uid="{AB46972F-CA95-4293-9163-B09D5B052A16}"/>
    <cellStyle name="Comma 359 2 2 2" xfId="8928" xr:uid="{36B096F3-8D17-45B5-BD5B-89EE55281A52}"/>
    <cellStyle name="Comma 359 2 2 2 2" xfId="19280" xr:uid="{4F6F36F6-61F6-4941-AF74-4EF9862F9CE0}"/>
    <cellStyle name="Comma 359 2 2 3" xfId="14105" xr:uid="{8250861F-CF53-47FE-A809-4D0AE52B58BA}"/>
    <cellStyle name="Comma 359 2 3" xfId="6870" xr:uid="{B579F213-E52E-45E4-A4B8-109515DEB20E}"/>
    <cellStyle name="Comma 359 2 3 2" xfId="17222" xr:uid="{05BEE741-304B-4EE4-A950-823B2BD706C1}"/>
    <cellStyle name="Comma 359 2 4" xfId="12047" xr:uid="{8E7135C0-C80B-434D-8F64-00D425D9A839}"/>
    <cellStyle name="Comma 359 3" xfId="2665" xr:uid="{46FDEEA7-456C-45E1-A0C6-17A93D00B447}"/>
    <cellStyle name="Comma 359 3 2" xfId="7898" xr:uid="{7E403AA7-1AD7-4905-9CA5-7D6E1074BDFF}"/>
    <cellStyle name="Comma 359 3 2 2" xfId="18250" xr:uid="{7193B31C-F179-4BF2-93C3-463AA210D825}"/>
    <cellStyle name="Comma 359 3 3" xfId="13075" xr:uid="{52479CB2-57B5-4EDE-B458-8111B4333B77}"/>
    <cellStyle name="Comma 359 4" xfId="4791" xr:uid="{FDC215D6-196F-48FA-9260-668ADD7F06F2}"/>
    <cellStyle name="Comma 359 4 2" xfId="9967" xr:uid="{F7A96321-E02E-48F4-827D-CFE8BEF9E1AF}"/>
    <cellStyle name="Comma 359 4 2 2" xfId="20319" xr:uid="{B1917D96-270F-4E79-BC14-7704FB590279}"/>
    <cellStyle name="Comma 359 4 3" xfId="15143" xr:uid="{54AE9458-C8DE-4750-9A07-BA2187114AE2}"/>
    <cellStyle name="Comma 359 5" xfId="5839" xr:uid="{ED6E08C9-B452-481A-BF82-C6480497B462}"/>
    <cellStyle name="Comma 359 5 2" xfId="16191" xr:uid="{10553B8C-2655-47F6-A1A9-D04613BFB88E}"/>
    <cellStyle name="Comma 359 6" xfId="11017" xr:uid="{1CD129D8-BE4F-4D12-9565-635EF0DD3054}"/>
    <cellStyle name="Comma 36" xfId="236" xr:uid="{8E96EB02-1761-467A-9449-2CA0B4DAC88F}"/>
    <cellStyle name="Comma 36 2" xfId="1314" xr:uid="{A2AA1609-1684-453D-B503-DFA83D40D5C0}"/>
    <cellStyle name="Comma 36 2 2" xfId="3372" xr:uid="{2417D4BE-EEDC-4B28-B4F6-B28D16F3FB20}"/>
    <cellStyle name="Comma 36 2 2 2" xfId="8605" xr:uid="{70CB6D9B-7C77-458D-9B90-54B758B39AA4}"/>
    <cellStyle name="Comma 36 2 2 2 2" xfId="18957" xr:uid="{37B5ECEA-85DE-499B-8A7F-C60E030AC1A4}"/>
    <cellStyle name="Comma 36 2 2 3" xfId="13782" xr:uid="{E9442C4E-D9C8-4EE2-B8EF-514AB90826BA}"/>
    <cellStyle name="Comma 36 2 3" xfId="6547" xr:uid="{9EE1F1D9-75E2-44C5-BCC5-7FC341C93DEE}"/>
    <cellStyle name="Comma 36 2 3 2" xfId="16899" xr:uid="{0866E08B-F366-4D85-8E7F-52DE91DCE8EB}"/>
    <cellStyle name="Comma 36 2 4" xfId="11724" xr:uid="{4797233C-2B63-4798-8D35-6BAD20D39713}"/>
    <cellStyle name="Comma 36 3" xfId="2342" xr:uid="{386F56D1-FAD9-4E7E-A0EB-0750CDD82B56}"/>
    <cellStyle name="Comma 36 3 2" xfId="7575" xr:uid="{3EDA1203-797C-4597-A67B-8DD74425484A}"/>
    <cellStyle name="Comma 36 3 2 2" xfId="17927" xr:uid="{0C5AF527-0966-4AFE-A997-A2662925C81E}"/>
    <cellStyle name="Comma 36 3 3" xfId="12752" xr:uid="{C1FB093A-8E5F-43E4-B524-6F760B0ECCC4}"/>
    <cellStyle name="Comma 36 4" xfId="4468" xr:uid="{0FA2C9F6-D223-4060-842C-5DEA1D1FB6DC}"/>
    <cellStyle name="Comma 36 4 2" xfId="9644" xr:uid="{F13EFCC0-8BD9-43D8-A41E-1853EE621913}"/>
    <cellStyle name="Comma 36 4 2 2" xfId="19996" xr:uid="{49FF29C0-8CAD-48CC-ABBA-F57226935816}"/>
    <cellStyle name="Comma 36 4 3" xfId="14820" xr:uid="{DAEDDDBE-5F01-4FBD-95C5-A91E601AB4B1}"/>
    <cellStyle name="Comma 36 5" xfId="5516" xr:uid="{DA5B32A9-B118-463C-9833-F2CF2B090B3C}"/>
    <cellStyle name="Comma 36 5 2" xfId="15868" xr:uid="{2FEDB341-A6C4-4D5C-8932-EDF81272D246}"/>
    <cellStyle name="Comma 36 6" xfId="10694" xr:uid="{EF780170-39A7-43C7-8B13-368EF75931D9}"/>
    <cellStyle name="Comma 360" xfId="600" xr:uid="{B571B61D-5A18-46D3-AE4C-03C0D9CF0E54}"/>
    <cellStyle name="Comma 360 2" xfId="1638" xr:uid="{80BD75B0-CE1C-4D6F-8884-AC185757E083}"/>
    <cellStyle name="Comma 360 2 2" xfId="3696" xr:uid="{25E125E2-37DF-4BEF-A9A7-8B0BFA9BCFA0}"/>
    <cellStyle name="Comma 360 2 2 2" xfId="8929" xr:uid="{9AC848B9-FBAD-480F-8D71-E5899C968B7E}"/>
    <cellStyle name="Comma 360 2 2 2 2" xfId="19281" xr:uid="{9400824C-DDF4-4F85-8D5E-18487F03BFDF}"/>
    <cellStyle name="Comma 360 2 2 3" xfId="14106" xr:uid="{E98D8380-4EAC-4929-AA49-82E01FDA6820}"/>
    <cellStyle name="Comma 360 2 3" xfId="6871" xr:uid="{E51FB73E-A15F-471F-AE9F-FFF1343A976B}"/>
    <cellStyle name="Comma 360 2 3 2" xfId="17223" xr:uid="{65119674-B252-403F-ABF1-C6C88D75AE09}"/>
    <cellStyle name="Comma 360 2 4" xfId="12048" xr:uid="{96EE7CDB-6DDD-436F-AC7F-716F9FECBC20}"/>
    <cellStyle name="Comma 360 3" xfId="2666" xr:uid="{FB47C58C-A120-4F31-9CF3-C1794F515568}"/>
    <cellStyle name="Comma 360 3 2" xfId="7899" xr:uid="{C36324B0-DECF-43DE-93F3-9391E3329956}"/>
    <cellStyle name="Comma 360 3 2 2" xfId="18251" xr:uid="{6E2DBF87-6FFC-48BE-B8AC-0B37B0B4CE02}"/>
    <cellStyle name="Comma 360 3 3" xfId="13076" xr:uid="{49FB6B69-B021-4EA4-A99A-4E3E1D1235BC}"/>
    <cellStyle name="Comma 360 4" xfId="4792" xr:uid="{905830D6-8983-476E-87B2-BB2DD371A431}"/>
    <cellStyle name="Comma 360 4 2" xfId="9968" xr:uid="{DA8F2181-9E3A-4FB5-97BC-A5CFE6E0541A}"/>
    <cellStyle name="Comma 360 4 2 2" xfId="20320" xr:uid="{973A1B92-1D74-4E58-87CE-5952DBE081A6}"/>
    <cellStyle name="Comma 360 4 3" xfId="15144" xr:uid="{9FD700A8-8F98-445B-87F6-A49BF33A0097}"/>
    <cellStyle name="Comma 360 5" xfId="5840" xr:uid="{C133FDFC-F03C-4157-BF35-887369E46DD3}"/>
    <cellStyle name="Comma 360 5 2" xfId="16192" xr:uid="{4AF352D9-5092-424F-BC12-CF40AAE8831B}"/>
    <cellStyle name="Comma 360 6" xfId="11018" xr:uid="{927A0701-D260-4C2C-AC9D-6C95840313ED}"/>
    <cellStyle name="Comma 361" xfId="601" xr:uid="{6D56EAD2-230D-4C90-BD04-B4E414A44328}"/>
    <cellStyle name="Comma 361 2" xfId="1639" xr:uid="{7A884CF3-BE22-49A6-8398-F80313871D23}"/>
    <cellStyle name="Comma 361 2 2" xfId="3697" xr:uid="{C431796C-2B25-4674-93E8-FEA94F8EEA7D}"/>
    <cellStyle name="Comma 361 2 2 2" xfId="8930" xr:uid="{AEB60E6D-E8D0-49BD-93CE-1AE46993135C}"/>
    <cellStyle name="Comma 361 2 2 2 2" xfId="19282" xr:uid="{22A844AA-F01B-4EFC-8162-89ADA1914E2F}"/>
    <cellStyle name="Comma 361 2 2 3" xfId="14107" xr:uid="{047BC9E2-E1B1-4049-8C2B-32DFBBCA6C40}"/>
    <cellStyle name="Comma 361 2 3" xfId="6872" xr:uid="{13ADEAA1-732C-4C63-9568-B968F87871D1}"/>
    <cellStyle name="Comma 361 2 3 2" xfId="17224" xr:uid="{1F189F33-9C82-4CA4-AE08-EBA45CE409F3}"/>
    <cellStyle name="Comma 361 2 4" xfId="12049" xr:uid="{7F37D9D3-FB7B-4E81-98CF-6DE62835643F}"/>
    <cellStyle name="Comma 361 3" xfId="2667" xr:uid="{B85FAF2B-E631-47EC-92EF-BCDE1D3D3BB1}"/>
    <cellStyle name="Comma 361 3 2" xfId="7900" xr:uid="{A13A097F-8DBB-467B-BFDC-CD1350F5FD72}"/>
    <cellStyle name="Comma 361 3 2 2" xfId="18252" xr:uid="{A3D02896-F261-43A3-BFEA-FEC63306BEF8}"/>
    <cellStyle name="Comma 361 3 3" xfId="13077" xr:uid="{05DA1721-AAFD-4DAA-8EF5-57043E6802C0}"/>
    <cellStyle name="Comma 361 4" xfId="4793" xr:uid="{5EF3347D-7B72-46B2-8EFE-A7EF3CFE48A9}"/>
    <cellStyle name="Comma 361 4 2" xfId="9969" xr:uid="{92AEDF88-8F60-4600-9868-6C16C82DFF9B}"/>
    <cellStyle name="Comma 361 4 2 2" xfId="20321" xr:uid="{38CEF3B7-C243-49DD-82D7-9ECDA10BE606}"/>
    <cellStyle name="Comma 361 4 3" xfId="15145" xr:uid="{245B6DEC-CF3A-4C7F-A4E2-A6869B67D33B}"/>
    <cellStyle name="Comma 361 5" xfId="5841" xr:uid="{14764272-A20F-454F-97A7-81463A5F7DCD}"/>
    <cellStyle name="Comma 361 5 2" xfId="16193" xr:uid="{7CB98CA8-3027-46C7-87B5-05260278E674}"/>
    <cellStyle name="Comma 361 6" xfId="11019" xr:uid="{8C590D9F-313D-4718-B9D8-F9EA6F2784A9}"/>
    <cellStyle name="Comma 362" xfId="602" xr:uid="{4E872CB8-A7AD-48B0-82C9-64394CBDCB3A}"/>
    <cellStyle name="Comma 362 2" xfId="1640" xr:uid="{90269AFD-72DA-4670-969D-C82D2A394F10}"/>
    <cellStyle name="Comma 362 2 2" xfId="3698" xr:uid="{7DE5FC42-3C14-420A-ABCE-79A874F1C519}"/>
    <cellStyle name="Comma 362 2 2 2" xfId="8931" xr:uid="{9BAEF517-EEF3-4645-90D7-B529161FABC0}"/>
    <cellStyle name="Comma 362 2 2 2 2" xfId="19283" xr:uid="{CB5FADA7-DBF7-45E8-A0A6-45BDE91883E8}"/>
    <cellStyle name="Comma 362 2 2 3" xfId="14108" xr:uid="{E24E5CD5-368D-4F66-9500-B5207C38CE22}"/>
    <cellStyle name="Comma 362 2 3" xfId="6873" xr:uid="{42DC2C43-3DCE-4881-AF37-813E5B058B14}"/>
    <cellStyle name="Comma 362 2 3 2" xfId="17225" xr:uid="{20AA83F6-6707-4227-A485-C3C800B9E140}"/>
    <cellStyle name="Comma 362 2 4" xfId="12050" xr:uid="{A5AD34CF-BE7D-4526-A0CF-CB8B0EBA7B16}"/>
    <cellStyle name="Comma 362 3" xfId="2668" xr:uid="{05930442-D2F1-4D65-AD72-BDC1336E1D2F}"/>
    <cellStyle name="Comma 362 3 2" xfId="7901" xr:uid="{16CC975E-C0F5-4DCA-AE13-243583E9B01A}"/>
    <cellStyle name="Comma 362 3 2 2" xfId="18253" xr:uid="{73EE75F6-3CAA-47B9-A2FD-4513CB6D63C2}"/>
    <cellStyle name="Comma 362 3 3" xfId="13078" xr:uid="{E88D2CCA-5C73-45DA-9A74-90B6CC0F1394}"/>
    <cellStyle name="Comma 362 4" xfId="4794" xr:uid="{9D359C95-8E18-4520-99CB-CFE21D022765}"/>
    <cellStyle name="Comma 362 4 2" xfId="9970" xr:uid="{FC68AFD6-E857-4BF8-A784-F5BB3807B5FB}"/>
    <cellStyle name="Comma 362 4 2 2" xfId="20322" xr:uid="{B5342A2E-8081-4BC5-AE90-E832B59B77CC}"/>
    <cellStyle name="Comma 362 4 3" xfId="15146" xr:uid="{14FD0F6C-8F20-4F2C-ABA9-EFA04D9CB88A}"/>
    <cellStyle name="Comma 362 5" xfId="5842" xr:uid="{8BDEC718-3C63-497B-9613-022F180F8FB6}"/>
    <cellStyle name="Comma 362 5 2" xfId="16194" xr:uid="{62388BC0-1DD6-41C5-835C-DCF47EFBAD38}"/>
    <cellStyle name="Comma 362 6" xfId="11020" xr:uid="{64C6F69C-71A6-455F-8857-A0ECBB1933D8}"/>
    <cellStyle name="Comma 363" xfId="603" xr:uid="{B543CB1F-5A1D-41C1-9709-F7B2DF0C8CCD}"/>
    <cellStyle name="Comma 363 2" xfId="1641" xr:uid="{A15F0D28-9060-4F7B-AB73-6836A74B9D3B}"/>
    <cellStyle name="Comma 363 2 2" xfId="3699" xr:uid="{E92BA702-D2FA-4F71-B775-947E53EA3DD6}"/>
    <cellStyle name="Comma 363 2 2 2" xfId="8932" xr:uid="{C3F44D26-B34D-4435-B04A-340B1EB51114}"/>
    <cellStyle name="Comma 363 2 2 2 2" xfId="19284" xr:uid="{ED2060C9-C63D-4689-817A-E433EEAB3EDB}"/>
    <cellStyle name="Comma 363 2 2 3" xfId="14109" xr:uid="{DF87990D-9F0F-4EC9-A9D7-BFD7970EBCAC}"/>
    <cellStyle name="Comma 363 2 3" xfId="6874" xr:uid="{B9C2996E-DF8F-49CE-AB1F-F70F23D074C4}"/>
    <cellStyle name="Comma 363 2 3 2" xfId="17226" xr:uid="{E18E674A-9C46-44C7-8A54-AA5FAE97FBE5}"/>
    <cellStyle name="Comma 363 2 4" xfId="12051" xr:uid="{0F18E114-CD3E-492F-A9DA-AB20A592FD4D}"/>
    <cellStyle name="Comma 363 3" xfId="2669" xr:uid="{DF135435-C5EC-443E-8EFA-B4A6EA29BCBA}"/>
    <cellStyle name="Comma 363 3 2" xfId="7902" xr:uid="{82BE4EE3-CB3F-411D-8731-12EDB4E7E1A2}"/>
    <cellStyle name="Comma 363 3 2 2" xfId="18254" xr:uid="{3DCFA155-FBE5-4821-8FA5-8D31BB405028}"/>
    <cellStyle name="Comma 363 3 3" xfId="13079" xr:uid="{384EF28A-FDC9-48A1-A2A6-E0CB1B66EF3C}"/>
    <cellStyle name="Comma 363 4" xfId="4795" xr:uid="{07F7CF20-1611-468B-8878-0E665157069D}"/>
    <cellStyle name="Comma 363 4 2" xfId="9971" xr:uid="{3A4252A4-51B1-451A-A7CA-6B7B98EC151D}"/>
    <cellStyle name="Comma 363 4 2 2" xfId="20323" xr:uid="{D7B1D4C2-1406-4C6F-B1D4-8EA0BCF52F58}"/>
    <cellStyle name="Comma 363 4 3" xfId="15147" xr:uid="{5D82C135-65FB-45B8-92F1-105B3F078EA1}"/>
    <cellStyle name="Comma 363 5" xfId="5843" xr:uid="{6062A961-E180-4472-8FD1-4A7D4803B5FB}"/>
    <cellStyle name="Comma 363 5 2" xfId="16195" xr:uid="{B79453E7-EB65-4FDC-9C6A-7977AFC0C1F7}"/>
    <cellStyle name="Comma 363 6" xfId="11021" xr:uid="{7D0DA8D2-D30C-4EFF-8EB3-08E327B58669}"/>
    <cellStyle name="Comma 364" xfId="604" xr:uid="{1D19C137-6DEC-41A3-B7DA-EFF8A76F867F}"/>
    <cellStyle name="Comma 364 2" xfId="1642" xr:uid="{6A0209C9-07B6-494B-B65A-1BC36367369F}"/>
    <cellStyle name="Comma 364 2 2" xfId="3700" xr:uid="{50598A85-AC34-4F30-8777-46933F0172FC}"/>
    <cellStyle name="Comma 364 2 2 2" xfId="8933" xr:uid="{BF1BFA0B-ADEC-48F4-AB71-A46345C04139}"/>
    <cellStyle name="Comma 364 2 2 2 2" xfId="19285" xr:uid="{B05E0267-C0E1-4D87-B916-55DAFCE8D4F9}"/>
    <cellStyle name="Comma 364 2 2 3" xfId="14110" xr:uid="{E458B904-81BD-4FED-B5EC-D52E9DB17802}"/>
    <cellStyle name="Comma 364 2 3" xfId="6875" xr:uid="{45FA9815-8ECA-4ACA-BE38-673B476B9446}"/>
    <cellStyle name="Comma 364 2 3 2" xfId="17227" xr:uid="{0A11F3CD-BB0F-461D-A7C5-2DFDEF2D00C3}"/>
    <cellStyle name="Comma 364 2 4" xfId="12052" xr:uid="{1746327C-4FDA-486C-91A9-94FF68D88B3F}"/>
    <cellStyle name="Comma 364 3" xfId="2670" xr:uid="{FFF77209-734B-4A35-894D-C85DFD143BD8}"/>
    <cellStyle name="Comma 364 3 2" xfId="7903" xr:uid="{7C40BEC6-F818-43BA-9760-CC098FC297FC}"/>
    <cellStyle name="Comma 364 3 2 2" xfId="18255" xr:uid="{4E90BC05-177F-4BB3-B4EA-ED0CB048EF94}"/>
    <cellStyle name="Comma 364 3 3" xfId="13080" xr:uid="{F8A8FDFD-B617-4AB6-A20A-8C2343971C66}"/>
    <cellStyle name="Comma 364 4" xfId="4796" xr:uid="{B447BCD2-6F1A-4847-A8A9-B73868D45795}"/>
    <cellStyle name="Comma 364 4 2" xfId="9972" xr:uid="{E527B9B9-753E-4447-A503-D9F760C0DC78}"/>
    <cellStyle name="Comma 364 4 2 2" xfId="20324" xr:uid="{0AE94367-E124-47CA-8CFC-2672506B2FDF}"/>
    <cellStyle name="Comma 364 4 3" xfId="15148" xr:uid="{7E570C4B-2950-44EA-92E0-49496B47AA37}"/>
    <cellStyle name="Comma 364 5" xfId="5844" xr:uid="{9E94ABB9-F84B-471B-9478-85C2E63A5894}"/>
    <cellStyle name="Comma 364 5 2" xfId="16196" xr:uid="{430E9262-E659-42E9-9814-6381EE816C5B}"/>
    <cellStyle name="Comma 364 6" xfId="11022" xr:uid="{3947B976-27DC-4D5C-83A9-324065B5A4BA}"/>
    <cellStyle name="Comma 365" xfId="605" xr:uid="{8928ACD6-F1E6-4518-8F77-36168E27269A}"/>
    <cellStyle name="Comma 365 2" xfId="1643" xr:uid="{57EDD86F-6BD8-49C5-9A62-4002E3930A94}"/>
    <cellStyle name="Comma 365 2 2" xfId="3701" xr:uid="{578306FC-0458-4537-B025-488F2301BD7B}"/>
    <cellStyle name="Comma 365 2 2 2" xfId="8934" xr:uid="{47619C68-DF6F-46B1-A7EA-4F9F13D2A8A9}"/>
    <cellStyle name="Comma 365 2 2 2 2" xfId="19286" xr:uid="{44EE2DCF-E725-4571-AD3A-B43886D65279}"/>
    <cellStyle name="Comma 365 2 2 3" xfId="14111" xr:uid="{9D1C35B0-9737-44F9-8C21-80A7FF6C0C49}"/>
    <cellStyle name="Comma 365 2 3" xfId="6876" xr:uid="{03F3F080-208C-4076-A694-C7E8B21608D0}"/>
    <cellStyle name="Comma 365 2 3 2" xfId="17228" xr:uid="{7B401E01-F768-4B35-88B6-3A2F69694EAC}"/>
    <cellStyle name="Comma 365 2 4" xfId="12053" xr:uid="{703F5387-9FF5-4589-B870-DBF5E05400E9}"/>
    <cellStyle name="Comma 365 3" xfId="2671" xr:uid="{7FCA8F52-A825-48BA-813E-776F8961DFCD}"/>
    <cellStyle name="Comma 365 3 2" xfId="7904" xr:uid="{CBCEB803-CBC7-4D10-B190-415B754CC7D3}"/>
    <cellStyle name="Comma 365 3 2 2" xfId="18256" xr:uid="{01176A2A-DA0B-4AF7-90C1-0577881A4F36}"/>
    <cellStyle name="Comma 365 3 3" xfId="13081" xr:uid="{35D508EB-AE3C-4602-9041-7E370790558A}"/>
    <cellStyle name="Comma 365 4" xfId="4797" xr:uid="{242F5CA8-856F-4FB9-B4E1-FADDDEF1C3E9}"/>
    <cellStyle name="Comma 365 4 2" xfId="9973" xr:uid="{DAE02118-1C04-438E-BC53-7914D7C51F78}"/>
    <cellStyle name="Comma 365 4 2 2" xfId="20325" xr:uid="{E50BDDE1-17E0-4B17-AA26-0AC0CCBB7E63}"/>
    <cellStyle name="Comma 365 4 3" xfId="15149" xr:uid="{7E0828E3-87B1-4937-BFC4-4B4C2EB51431}"/>
    <cellStyle name="Comma 365 5" xfId="5845" xr:uid="{D09B571E-C98C-4A64-A4F0-3FA235B89D10}"/>
    <cellStyle name="Comma 365 5 2" xfId="16197" xr:uid="{A9B26F41-11F4-4CA1-9808-55A2D9F30307}"/>
    <cellStyle name="Comma 365 6" xfId="11023" xr:uid="{DD9D3629-1CC6-41B5-9F7A-82681CEA46BB}"/>
    <cellStyle name="Comma 366" xfId="606" xr:uid="{BC783109-61F3-4CA0-A508-A180F0F9570C}"/>
    <cellStyle name="Comma 366 2" xfId="1644" xr:uid="{28826CC9-2FBF-411F-B086-47EDE8928FC0}"/>
    <cellStyle name="Comma 366 2 2" xfId="3702" xr:uid="{238757EC-BBA1-451E-839E-BCC219D06B34}"/>
    <cellStyle name="Comma 366 2 2 2" xfId="8935" xr:uid="{E8D346CA-65A3-4B53-97CB-AE564BF1AD26}"/>
    <cellStyle name="Comma 366 2 2 2 2" xfId="19287" xr:uid="{B4CBBC5F-95D0-4290-AF60-7AFE18066F01}"/>
    <cellStyle name="Comma 366 2 2 3" xfId="14112" xr:uid="{4ECBEF61-F62A-473B-AE10-0C83AA195C9B}"/>
    <cellStyle name="Comma 366 2 3" xfId="6877" xr:uid="{55DB4500-65EF-4143-B1E9-082B8F4C892A}"/>
    <cellStyle name="Comma 366 2 3 2" xfId="17229" xr:uid="{8DF9B01B-E263-4B85-9E1E-7CD6B1481946}"/>
    <cellStyle name="Comma 366 2 4" xfId="12054" xr:uid="{CBCF2760-25CE-447D-A9AE-613F82B9A4EE}"/>
    <cellStyle name="Comma 366 3" xfId="2672" xr:uid="{AE242DF3-1EAE-42C0-8C3B-9BBD86830473}"/>
    <cellStyle name="Comma 366 3 2" xfId="7905" xr:uid="{777C3293-8418-4A66-8E49-7E2439C8D012}"/>
    <cellStyle name="Comma 366 3 2 2" xfId="18257" xr:uid="{2872604E-693B-4893-B3DE-417BF141935A}"/>
    <cellStyle name="Comma 366 3 3" xfId="13082" xr:uid="{7FF420C0-C857-44C4-9F39-6CEBF3CE2056}"/>
    <cellStyle name="Comma 366 4" xfId="4798" xr:uid="{FEFE68F9-D4B7-4C17-8F63-0C6C119AEF55}"/>
    <cellStyle name="Comma 366 4 2" xfId="9974" xr:uid="{1D4BF45C-8726-4A76-B913-4AA9ED69B91E}"/>
    <cellStyle name="Comma 366 4 2 2" xfId="20326" xr:uid="{42FE0E7E-C040-455A-A6B7-F7E7B6E55E4A}"/>
    <cellStyle name="Comma 366 4 3" xfId="15150" xr:uid="{DDF1A1D0-D2BB-4A41-B0F7-DE9C599C4879}"/>
    <cellStyle name="Comma 366 5" xfId="5846" xr:uid="{755D740E-B739-43E1-92AB-C4401A27C01E}"/>
    <cellStyle name="Comma 366 5 2" xfId="16198" xr:uid="{0F398BDD-CF5D-49A3-AD0F-B7CF54CEB4AE}"/>
    <cellStyle name="Comma 366 6" xfId="11024" xr:uid="{CDBADBFF-5C34-4F60-AA95-3FC8346D8AAF}"/>
    <cellStyle name="Comma 367" xfId="607" xr:uid="{EE660C77-20EC-415D-AA6D-001F5B7C1141}"/>
    <cellStyle name="Comma 367 2" xfId="1645" xr:uid="{D044C51B-EC08-4DB0-852E-785E3461D2CF}"/>
    <cellStyle name="Comma 367 2 2" xfId="3703" xr:uid="{AFDC7C6E-1192-4DDB-B938-E05F51C101D3}"/>
    <cellStyle name="Comma 367 2 2 2" xfId="8936" xr:uid="{464ABA46-21B2-4043-8EE8-C34C38D2B49B}"/>
    <cellStyle name="Comma 367 2 2 2 2" xfId="19288" xr:uid="{ACF40C48-7EFE-4B3F-806E-3D2E1A20FAF2}"/>
    <cellStyle name="Comma 367 2 2 3" xfId="14113" xr:uid="{34D2FFE9-7080-4AD7-AB92-C8F19C79D92C}"/>
    <cellStyle name="Comma 367 2 3" xfId="6878" xr:uid="{B5E0C20B-C081-4A10-A48A-63632DC349A1}"/>
    <cellStyle name="Comma 367 2 3 2" xfId="17230" xr:uid="{36472CEB-1E08-43BF-B230-B35BA351C1D7}"/>
    <cellStyle name="Comma 367 2 4" xfId="12055" xr:uid="{E9250DD1-706C-482C-A034-B8AC85ABAADC}"/>
    <cellStyle name="Comma 367 3" xfId="2673" xr:uid="{ABACFB26-6E16-4FBF-A228-18FFD0ED7E31}"/>
    <cellStyle name="Comma 367 3 2" xfId="7906" xr:uid="{A330951C-F26C-4AE1-9F73-6FEF56823B34}"/>
    <cellStyle name="Comma 367 3 2 2" xfId="18258" xr:uid="{62483972-6B0A-4011-8262-A270588CBCEF}"/>
    <cellStyle name="Comma 367 3 3" xfId="13083" xr:uid="{0ADCA491-43D8-4B74-AE8A-93CA7BF15F76}"/>
    <cellStyle name="Comma 367 4" xfId="4799" xr:uid="{95CFF020-1674-4213-A3E1-C1ADB2F5FFEF}"/>
    <cellStyle name="Comma 367 4 2" xfId="9975" xr:uid="{93AC0F19-0736-40A6-9BE2-CF55F8327E0C}"/>
    <cellStyle name="Comma 367 4 2 2" xfId="20327" xr:uid="{7275E0E2-D8B3-4331-AB4C-E0EAF403426E}"/>
    <cellStyle name="Comma 367 4 3" xfId="15151" xr:uid="{60E4B348-ADD3-48BE-801B-35E0D98CA6D6}"/>
    <cellStyle name="Comma 367 5" xfId="5847" xr:uid="{A4437610-C4ED-4EE1-9069-449A8CB7E9F8}"/>
    <cellStyle name="Comma 367 5 2" xfId="16199" xr:uid="{217FE08F-8CD2-4318-AD09-58DDC04A87FC}"/>
    <cellStyle name="Comma 367 6" xfId="11025" xr:uid="{79FBE1A9-ADB6-4D1C-A2AC-1F18773848D3}"/>
    <cellStyle name="Comma 368" xfId="608" xr:uid="{A3493006-07A5-48FE-BAA1-18420FE47F83}"/>
    <cellStyle name="Comma 368 2" xfId="1646" xr:uid="{36B2E030-52E6-4366-96A7-0783AB050F30}"/>
    <cellStyle name="Comma 368 2 2" xfId="3704" xr:uid="{6A510579-FD2D-43E6-8882-E2FCF492CC62}"/>
    <cellStyle name="Comma 368 2 2 2" xfId="8937" xr:uid="{4597DFAE-DC10-4542-9A26-A16EC6BAC7FF}"/>
    <cellStyle name="Comma 368 2 2 2 2" xfId="19289" xr:uid="{2C483A45-EE99-4379-9A33-0D087AB4FD21}"/>
    <cellStyle name="Comma 368 2 2 3" xfId="14114" xr:uid="{70224A8A-3408-49D8-94E4-EF0B28B1BE35}"/>
    <cellStyle name="Comma 368 2 3" xfId="6879" xr:uid="{F2E3DD3E-01D3-4B62-8B83-9A85B3A59FDD}"/>
    <cellStyle name="Comma 368 2 3 2" xfId="17231" xr:uid="{5FF985FC-DB3D-42F9-A178-6B9920154288}"/>
    <cellStyle name="Comma 368 2 4" xfId="12056" xr:uid="{4945A376-025E-4C7B-80A6-73A5A6309073}"/>
    <cellStyle name="Comma 368 3" xfId="2674" xr:uid="{F4C12A37-9EEE-4AD0-B2D7-F28CBE86C148}"/>
    <cellStyle name="Comma 368 3 2" xfId="7907" xr:uid="{CAC06029-E842-4EF0-9790-86CDC3D408AD}"/>
    <cellStyle name="Comma 368 3 2 2" xfId="18259" xr:uid="{82FA858A-29CB-4622-B797-01F285BB4D41}"/>
    <cellStyle name="Comma 368 3 3" xfId="13084" xr:uid="{92A67AEC-C6A4-4BB8-9AB2-E85E0B3B3B12}"/>
    <cellStyle name="Comma 368 4" xfId="4800" xr:uid="{8BEBFE41-B5CC-458C-9FA3-D38D8E106B5E}"/>
    <cellStyle name="Comma 368 4 2" xfId="9976" xr:uid="{F748BABA-1935-4012-8F92-227FA289C08C}"/>
    <cellStyle name="Comma 368 4 2 2" xfId="20328" xr:uid="{25508DA0-0D06-4A05-A5CD-53AF5CC8DE73}"/>
    <cellStyle name="Comma 368 4 3" xfId="15152" xr:uid="{6287A048-ACB6-41A4-A706-6AED7DA2BAD9}"/>
    <cellStyle name="Comma 368 5" xfId="5848" xr:uid="{BD65B41A-63D0-4418-A79D-F3EE9A68B0E6}"/>
    <cellStyle name="Comma 368 5 2" xfId="16200" xr:uid="{A2EB88CF-3235-4ED2-BCEC-D166B0EAE034}"/>
    <cellStyle name="Comma 368 6" xfId="11026" xr:uid="{4F3CEA26-D441-430D-AC80-8EA22C783E52}"/>
    <cellStyle name="Comma 369" xfId="609" xr:uid="{C1B04262-BF67-4548-AFF2-251AB08D3F86}"/>
    <cellStyle name="Comma 369 2" xfId="1647" xr:uid="{34BEAFEB-2860-4B99-8468-01636F690C7D}"/>
    <cellStyle name="Comma 369 2 2" xfId="3705" xr:uid="{93CE444E-2726-4EF0-83AA-C2DB47D34D36}"/>
    <cellStyle name="Comma 369 2 2 2" xfId="8938" xr:uid="{EC5F5694-2CFF-4E80-B3F0-8BFDC8D2887E}"/>
    <cellStyle name="Comma 369 2 2 2 2" xfId="19290" xr:uid="{0D9F0401-8347-4FCF-8344-14FD7E85F31C}"/>
    <cellStyle name="Comma 369 2 2 3" xfId="14115" xr:uid="{3CA2F053-5DE5-4C3A-806A-7559FDD7866F}"/>
    <cellStyle name="Comma 369 2 3" xfId="6880" xr:uid="{0599FE4E-73EA-4BA3-A1BD-21167E4E8E77}"/>
    <cellStyle name="Comma 369 2 3 2" xfId="17232" xr:uid="{2A7B6F1B-04BD-4A89-BC77-C223DBE49FC4}"/>
    <cellStyle name="Comma 369 2 4" xfId="12057" xr:uid="{4876693D-163A-437B-B22F-F5019B99AF70}"/>
    <cellStyle name="Comma 369 3" xfId="2675" xr:uid="{AFEB1B93-BCB6-4BCF-A0E3-3915B2DA12B9}"/>
    <cellStyle name="Comma 369 3 2" xfId="7908" xr:uid="{13B50587-1387-413A-B293-7004BE5EA622}"/>
    <cellStyle name="Comma 369 3 2 2" xfId="18260" xr:uid="{E55BC374-E20D-4ECC-BA0D-F9642027DB36}"/>
    <cellStyle name="Comma 369 3 3" xfId="13085" xr:uid="{5D198976-3021-48D8-8D7A-181475982BFD}"/>
    <cellStyle name="Comma 369 4" xfId="4801" xr:uid="{B0F5CF71-48D4-463D-9C4D-395AA6CE9961}"/>
    <cellStyle name="Comma 369 4 2" xfId="9977" xr:uid="{A7C8E91F-7F82-4679-8B11-5C581B53F7F7}"/>
    <cellStyle name="Comma 369 4 2 2" xfId="20329" xr:uid="{8B3D6641-9A5B-4E32-A493-04930FD9B131}"/>
    <cellStyle name="Comma 369 4 3" xfId="15153" xr:uid="{865DAC03-B704-470B-A717-F4B8D4403376}"/>
    <cellStyle name="Comma 369 5" xfId="5849" xr:uid="{4BEF681A-665F-4B15-9F07-5940ACD4060A}"/>
    <cellStyle name="Comma 369 5 2" xfId="16201" xr:uid="{8FC9019F-8576-4058-B8EC-BA38D34E0370}"/>
    <cellStyle name="Comma 369 6" xfId="11027" xr:uid="{310752EE-ADA3-4665-AEA4-A4AA2A0E858A}"/>
    <cellStyle name="Comma 37" xfId="237" xr:uid="{132723E7-7AAD-4008-B65D-11AC94CE2053}"/>
    <cellStyle name="Comma 37 2" xfId="1315" xr:uid="{25F94922-EF69-464F-820E-CCC0694306BD}"/>
    <cellStyle name="Comma 37 2 2" xfId="3373" xr:uid="{8EB8EEF9-9A19-4F9D-BA4A-236D7B8AFE4A}"/>
    <cellStyle name="Comma 37 2 2 2" xfId="8606" xr:uid="{8842BD9D-19BC-41A7-AA4D-CC7D1EA03E04}"/>
    <cellStyle name="Comma 37 2 2 2 2" xfId="18958" xr:uid="{CC043AD9-7858-461C-8114-56166C3C12A2}"/>
    <cellStyle name="Comma 37 2 2 3" xfId="13783" xr:uid="{48B7B325-9C79-45A3-9F03-BAC2E5FF6D63}"/>
    <cellStyle name="Comma 37 2 3" xfId="6548" xr:uid="{93A73EF7-5809-4365-A0A6-82E603A27994}"/>
    <cellStyle name="Comma 37 2 3 2" xfId="16900" xr:uid="{1639B230-DA19-4EAF-8E4E-234945B6285F}"/>
    <cellStyle name="Comma 37 2 4" xfId="11725" xr:uid="{FCA37E5C-AC92-46AE-BE03-55B6B96DBB76}"/>
    <cellStyle name="Comma 37 3" xfId="2343" xr:uid="{927513A7-775D-4392-8293-505822F400FF}"/>
    <cellStyle name="Comma 37 3 2" xfId="7576" xr:uid="{4C4904CD-DAB0-4983-8F37-F3839C474C66}"/>
    <cellStyle name="Comma 37 3 2 2" xfId="17928" xr:uid="{506D9B84-A343-4636-B2A1-694EB9FED600}"/>
    <cellStyle name="Comma 37 3 3" xfId="12753" xr:uid="{C21A1AB6-5838-4656-BE29-281EAFF823F2}"/>
    <cellStyle name="Comma 37 4" xfId="4469" xr:uid="{3063954C-DB06-49E3-88E3-F893F702BA80}"/>
    <cellStyle name="Comma 37 4 2" xfId="9645" xr:uid="{45D9F5CB-C06B-4A97-A3AD-D78FD8A1FFC2}"/>
    <cellStyle name="Comma 37 4 2 2" xfId="19997" xr:uid="{93180AEF-D659-47D7-9B6E-B5C8ABAA38B3}"/>
    <cellStyle name="Comma 37 4 3" xfId="14821" xr:uid="{6D7A44A0-1BBC-4CF5-A8B0-F3AF5F24AD83}"/>
    <cellStyle name="Comma 37 5" xfId="5517" xr:uid="{BB8A20ED-51FA-4F41-94C4-3B425FCCFA78}"/>
    <cellStyle name="Comma 37 5 2" xfId="15869" xr:uid="{4FF67324-0287-41BE-B5B5-F78A99565E32}"/>
    <cellStyle name="Comma 37 6" xfId="10695" xr:uid="{CCC09629-6380-4AF5-A869-60C58F901FA6}"/>
    <cellStyle name="Comma 370" xfId="610" xr:uid="{5552D5FF-1EDC-4A31-A0C4-6DE46C489069}"/>
    <cellStyle name="Comma 370 2" xfId="1648" xr:uid="{92943512-4082-4A7A-8E57-85D7449E63BA}"/>
    <cellStyle name="Comma 370 2 2" xfId="3706" xr:uid="{843A6136-C3B2-4632-B517-5738F3464B94}"/>
    <cellStyle name="Comma 370 2 2 2" xfId="8939" xr:uid="{1D3CA3FC-A21C-4392-99E7-B60D18E6291C}"/>
    <cellStyle name="Comma 370 2 2 2 2" xfId="19291" xr:uid="{752DF19D-43FB-4BCB-8472-438FAFDA1D46}"/>
    <cellStyle name="Comma 370 2 2 3" xfId="14116" xr:uid="{52C7BAD8-174D-41D5-8B3A-85B920D30FCF}"/>
    <cellStyle name="Comma 370 2 3" xfId="6881" xr:uid="{2D9AC43C-89AB-4A3D-8B29-6F29DBE28FFD}"/>
    <cellStyle name="Comma 370 2 3 2" xfId="17233" xr:uid="{ADD54C15-61D8-4A21-9FB1-146488AB3E66}"/>
    <cellStyle name="Comma 370 2 4" xfId="12058" xr:uid="{A50073EA-FEEB-4F8F-BC74-3A6427A3ED31}"/>
    <cellStyle name="Comma 370 3" xfId="2676" xr:uid="{3DE6AD8D-446C-45AB-B719-2220D74E2388}"/>
    <cellStyle name="Comma 370 3 2" xfId="7909" xr:uid="{F3F8D84A-D375-4099-8B97-3E7D39B5BAB3}"/>
    <cellStyle name="Comma 370 3 2 2" xfId="18261" xr:uid="{4C2E7886-FE97-474E-8584-DC679A633BCE}"/>
    <cellStyle name="Comma 370 3 3" xfId="13086" xr:uid="{268C6113-3BA0-4539-9618-3D7EF64B91FB}"/>
    <cellStyle name="Comma 370 4" xfId="4802" xr:uid="{6FA6BF01-705A-4D13-9054-1FA774836F00}"/>
    <cellStyle name="Comma 370 4 2" xfId="9978" xr:uid="{2DFD1BF3-9EB9-4A0A-87DA-65B98F912E6B}"/>
    <cellStyle name="Comma 370 4 2 2" xfId="20330" xr:uid="{949B23E9-CDCE-44B2-A005-004679A23080}"/>
    <cellStyle name="Comma 370 4 3" xfId="15154" xr:uid="{6B270A44-3571-40F1-98EA-6CBB025155F6}"/>
    <cellStyle name="Comma 370 5" xfId="5850" xr:uid="{CE104C08-2033-474D-85F3-E3AD17ED26ED}"/>
    <cellStyle name="Comma 370 5 2" xfId="16202" xr:uid="{432B9305-C51B-41AC-82DA-370F2F554835}"/>
    <cellStyle name="Comma 370 6" xfId="11028" xr:uid="{229ABD8C-C50C-4B83-AEF0-B896DCFE860D}"/>
    <cellStyle name="Comma 371" xfId="611" xr:uid="{B4CBD81C-6743-4312-8B2A-0FE9106B6574}"/>
    <cellStyle name="Comma 371 2" xfId="1649" xr:uid="{4E5386AB-E09F-4BB9-A454-35328F1630EB}"/>
    <cellStyle name="Comma 371 2 2" xfId="3707" xr:uid="{B52456FB-5EAB-461E-90A3-E599B7930642}"/>
    <cellStyle name="Comma 371 2 2 2" xfId="8940" xr:uid="{5A752C58-BAF6-44B3-9FB5-13871EC166EA}"/>
    <cellStyle name="Comma 371 2 2 2 2" xfId="19292" xr:uid="{3328DA9E-3A60-4E64-B66A-944A859E7331}"/>
    <cellStyle name="Comma 371 2 2 3" xfId="14117" xr:uid="{3C07D62F-E231-41A2-B162-CEE64E8BAD4C}"/>
    <cellStyle name="Comma 371 2 3" xfId="6882" xr:uid="{EB2EA538-3734-451A-8513-57BE77948A10}"/>
    <cellStyle name="Comma 371 2 3 2" xfId="17234" xr:uid="{0049BAA2-C996-4B34-9C72-F317EE7FE6AC}"/>
    <cellStyle name="Comma 371 2 4" xfId="12059" xr:uid="{4F0E87C3-642E-4C7E-B197-35E8E53A3F92}"/>
    <cellStyle name="Comma 371 3" xfId="2677" xr:uid="{1A61EF9B-F374-42D4-8ADE-13678BE43477}"/>
    <cellStyle name="Comma 371 3 2" xfId="7910" xr:uid="{F72B06DC-ED6A-402D-98E1-6C61A38A3C9A}"/>
    <cellStyle name="Comma 371 3 2 2" xfId="18262" xr:uid="{5A27062A-8ECD-4D44-A5ED-7956BF20B1F2}"/>
    <cellStyle name="Comma 371 3 3" xfId="13087" xr:uid="{BCF6D8FF-1B30-4A67-8236-22D867854018}"/>
    <cellStyle name="Comma 371 4" xfId="4803" xr:uid="{92AF3483-7BA5-4D02-A40F-E0FC55F74B65}"/>
    <cellStyle name="Comma 371 4 2" xfId="9979" xr:uid="{965E3CA0-6240-4604-A266-3373CCF704E8}"/>
    <cellStyle name="Comma 371 4 2 2" xfId="20331" xr:uid="{E3EC787E-4D75-4D36-8005-02EE20C37A2E}"/>
    <cellStyle name="Comma 371 4 3" xfId="15155" xr:uid="{5F1D8183-EBD9-47BB-BCC7-339C2B7B4A8A}"/>
    <cellStyle name="Comma 371 5" xfId="5851" xr:uid="{03900197-7892-4AEF-8149-91785C3E80B4}"/>
    <cellStyle name="Comma 371 5 2" xfId="16203" xr:uid="{517085F2-34C6-424A-9950-4FB1596E4D95}"/>
    <cellStyle name="Comma 371 6" xfId="11029" xr:uid="{0DE910F2-87D4-4794-8490-BCFFC5A324CA}"/>
    <cellStyle name="Comma 372" xfId="612" xr:uid="{678447B6-502B-4D4D-BB62-87C7CEE63219}"/>
    <cellStyle name="Comma 372 2" xfId="1650" xr:uid="{F06AE1A3-58E8-4831-A2B4-1D86F4379B08}"/>
    <cellStyle name="Comma 372 2 2" xfId="3708" xr:uid="{D57185BC-2D13-410A-BD66-19195FD13741}"/>
    <cellStyle name="Comma 372 2 2 2" xfId="8941" xr:uid="{94D56E35-1D3D-416E-B9B6-2E17311F018E}"/>
    <cellStyle name="Comma 372 2 2 2 2" xfId="19293" xr:uid="{E9B8E607-95B5-48BC-BC05-8ABD04DC4E08}"/>
    <cellStyle name="Comma 372 2 2 3" xfId="14118" xr:uid="{7CE3B637-7621-4136-952A-1E29206A36A7}"/>
    <cellStyle name="Comma 372 2 3" xfId="6883" xr:uid="{AF69909D-85F6-4025-BB6F-12148945D304}"/>
    <cellStyle name="Comma 372 2 3 2" xfId="17235" xr:uid="{857EC92F-AB9C-4796-9822-6B28274954C7}"/>
    <cellStyle name="Comma 372 2 4" xfId="12060" xr:uid="{9F9EF737-845F-4FB7-9CEE-6E387FB56F2B}"/>
    <cellStyle name="Comma 372 3" xfId="2678" xr:uid="{965AF5AD-9B23-4951-A202-AB4FF1FDF2AC}"/>
    <cellStyle name="Comma 372 3 2" xfId="7911" xr:uid="{8EBCB0CA-16B4-450A-8575-BB6D48204037}"/>
    <cellStyle name="Comma 372 3 2 2" xfId="18263" xr:uid="{9009A888-364E-48C7-9411-6A30BCFC9F4B}"/>
    <cellStyle name="Comma 372 3 3" xfId="13088" xr:uid="{B25D8C8E-EEEF-4CD7-85B5-5BA844AB478E}"/>
    <cellStyle name="Comma 372 4" xfId="4804" xr:uid="{DB54F0AA-9EB4-4788-9DDC-80FFD05B3EC0}"/>
    <cellStyle name="Comma 372 4 2" xfId="9980" xr:uid="{2733B531-96B3-4067-8776-23E819D4B12F}"/>
    <cellStyle name="Comma 372 4 2 2" xfId="20332" xr:uid="{CB6A005C-4EC9-4581-ACAF-E0F0CB787FC3}"/>
    <cellStyle name="Comma 372 4 3" xfId="15156" xr:uid="{D087889A-6F86-46B9-B0F6-E30E36ACFBF4}"/>
    <cellStyle name="Comma 372 5" xfId="5852" xr:uid="{2735895E-516F-4A25-A2C1-967565360AD7}"/>
    <cellStyle name="Comma 372 5 2" xfId="16204" xr:uid="{9ACC8989-4F9A-44E1-8C67-8E08845DCDD1}"/>
    <cellStyle name="Comma 372 6" xfId="11030" xr:uid="{3A9DD4BB-1F20-4BE3-A8F5-025D1D3AE31B}"/>
    <cellStyle name="Comma 373" xfId="613" xr:uid="{5E41202D-E206-41F9-A7A4-C0B0D655F45F}"/>
    <cellStyle name="Comma 373 2" xfId="1651" xr:uid="{3DB82277-F4FC-48B0-9AD7-2B1A7838C3A2}"/>
    <cellStyle name="Comma 373 2 2" xfId="3709" xr:uid="{A4DB7334-2020-4503-A6B6-491F888E18F5}"/>
    <cellStyle name="Comma 373 2 2 2" xfId="8942" xr:uid="{7020D840-A168-47BA-A9C1-65159CEEC512}"/>
    <cellStyle name="Comma 373 2 2 2 2" xfId="19294" xr:uid="{97B2CD2E-7445-430A-997F-F5025389C05C}"/>
    <cellStyle name="Comma 373 2 2 3" xfId="14119" xr:uid="{26366031-9D03-4554-82A6-D225BA268C1D}"/>
    <cellStyle name="Comma 373 2 3" xfId="6884" xr:uid="{859365D3-39B6-4C40-BEB0-4E9B0CFA0D33}"/>
    <cellStyle name="Comma 373 2 3 2" xfId="17236" xr:uid="{B588C8C4-8594-43B5-9743-9ACFC0603BFC}"/>
    <cellStyle name="Comma 373 2 4" xfId="12061" xr:uid="{D4FB9F77-AF5C-4090-81E1-2DA389105F84}"/>
    <cellStyle name="Comma 373 3" xfId="2679" xr:uid="{0A70ACAC-83C4-4A2A-BC90-77E8A0C6E2F0}"/>
    <cellStyle name="Comma 373 3 2" xfId="7912" xr:uid="{71749AE9-50E9-453A-86C7-FBDF34D0CF3C}"/>
    <cellStyle name="Comma 373 3 2 2" xfId="18264" xr:uid="{FB2F4AE9-BCC1-4D81-9CD2-4D9D20283C82}"/>
    <cellStyle name="Comma 373 3 3" xfId="13089" xr:uid="{37DCAB0B-D179-42E4-8970-606713DDF32A}"/>
    <cellStyle name="Comma 373 4" xfId="4805" xr:uid="{7423EA3B-C1BF-436B-93C1-AAEF934954ED}"/>
    <cellStyle name="Comma 373 4 2" xfId="9981" xr:uid="{1E5FD852-2A81-4A90-843A-611A60285BAA}"/>
    <cellStyle name="Comma 373 4 2 2" xfId="20333" xr:uid="{75570538-52F4-4872-8728-BE2A608C9CC1}"/>
    <cellStyle name="Comma 373 4 3" xfId="15157" xr:uid="{AFC65C8D-9216-44C6-91F9-8669D8EDA0E0}"/>
    <cellStyle name="Comma 373 5" xfId="5853" xr:uid="{3EBFF057-CA2A-445C-B1D6-E4657EB87438}"/>
    <cellStyle name="Comma 373 5 2" xfId="16205" xr:uid="{FE821D66-B955-4C98-B152-003A6E5F1C34}"/>
    <cellStyle name="Comma 373 6" xfId="11031" xr:uid="{57A590F9-A684-4061-B2C7-70936E300824}"/>
    <cellStyle name="Comma 374" xfId="614" xr:uid="{0F8DF34A-B0AB-4EDD-84A6-C7BAA53DB092}"/>
    <cellStyle name="Comma 374 2" xfId="1652" xr:uid="{98A5453E-3449-40BC-870B-67437D0CBD52}"/>
    <cellStyle name="Comma 374 2 2" xfId="3710" xr:uid="{0DBEFBF8-2D72-43C6-AA3D-6094DF4ED0CB}"/>
    <cellStyle name="Comma 374 2 2 2" xfId="8943" xr:uid="{A44A0642-5541-4582-9416-2C82F0432259}"/>
    <cellStyle name="Comma 374 2 2 2 2" xfId="19295" xr:uid="{469C4474-7B00-4E27-993A-82FC601375FD}"/>
    <cellStyle name="Comma 374 2 2 3" xfId="14120" xr:uid="{B8F84AED-DF69-45FC-8B8E-497CDA13701C}"/>
    <cellStyle name="Comma 374 2 3" xfId="6885" xr:uid="{1574BFAF-6263-41F4-9D0C-6E5D479814CE}"/>
    <cellStyle name="Comma 374 2 3 2" xfId="17237" xr:uid="{F8F179A8-4520-480F-A52C-506CE07D2ED4}"/>
    <cellStyle name="Comma 374 2 4" xfId="12062" xr:uid="{413146DE-13E9-4A9D-A161-779982934352}"/>
    <cellStyle name="Comma 374 3" xfId="2680" xr:uid="{7D6C2A97-ED2B-4171-B84E-3267D763DDFF}"/>
    <cellStyle name="Comma 374 3 2" xfId="7913" xr:uid="{BA2A1021-CE8B-4BE6-BB3E-129F9E60D10E}"/>
    <cellStyle name="Comma 374 3 2 2" xfId="18265" xr:uid="{0FC6B6FA-84DF-4320-B422-54E0565FDBAB}"/>
    <cellStyle name="Comma 374 3 3" xfId="13090" xr:uid="{4527045D-2DC8-4F5F-B309-07D8546B9A2C}"/>
    <cellStyle name="Comma 374 4" xfId="4806" xr:uid="{1EA7D533-EDD2-4E30-B530-04A1878FFC63}"/>
    <cellStyle name="Comma 374 4 2" xfId="9982" xr:uid="{4BBFDCE7-2E10-4FBF-B21A-EDF43D012131}"/>
    <cellStyle name="Comma 374 4 2 2" xfId="20334" xr:uid="{1C2EFEA1-5A96-4B7A-B745-3DB04CEB1F03}"/>
    <cellStyle name="Comma 374 4 3" xfId="15158" xr:uid="{76739C62-FAAB-42EF-A96E-84BFA5C9A964}"/>
    <cellStyle name="Comma 374 5" xfId="5854" xr:uid="{618EE791-BDAC-46B3-9781-E54B14516E44}"/>
    <cellStyle name="Comma 374 5 2" xfId="16206" xr:uid="{B676003F-285B-42E8-BA54-939EB1A4E6C9}"/>
    <cellStyle name="Comma 374 6" xfId="11032" xr:uid="{271B9E62-5547-4230-B939-7A18CA329424}"/>
    <cellStyle name="Comma 375" xfId="615" xr:uid="{9B878249-A69E-4383-8D09-D045C7CACBFF}"/>
    <cellStyle name="Comma 375 2" xfId="1653" xr:uid="{E44EEB16-C4DE-4B42-81C0-20FF2C2D553F}"/>
    <cellStyle name="Comma 375 2 2" xfId="3711" xr:uid="{D18B72D5-3109-48C2-9D45-12C5C89C18AB}"/>
    <cellStyle name="Comma 375 2 2 2" xfId="8944" xr:uid="{A9B19F61-61B9-4CC7-BC28-DC59947F1AD0}"/>
    <cellStyle name="Comma 375 2 2 2 2" xfId="19296" xr:uid="{2B7270DE-14C5-43EE-95D6-3CC053BBC8D6}"/>
    <cellStyle name="Comma 375 2 2 3" xfId="14121" xr:uid="{B51F5B29-F4B7-4F28-ABA6-688BEAA14E57}"/>
    <cellStyle name="Comma 375 2 3" xfId="6886" xr:uid="{C91713C7-E6D8-4EF6-A77B-D98EAD1A228D}"/>
    <cellStyle name="Comma 375 2 3 2" xfId="17238" xr:uid="{D78BD40A-1784-45AA-89B5-49FCAC4A816B}"/>
    <cellStyle name="Comma 375 2 4" xfId="12063" xr:uid="{59B58804-17E3-40C8-ABFC-08A4079AAC54}"/>
    <cellStyle name="Comma 375 3" xfId="2681" xr:uid="{8471C37E-1385-4789-A573-EEE574F102E1}"/>
    <cellStyle name="Comma 375 3 2" xfId="7914" xr:uid="{88B41144-CE1A-4643-B0DF-E8CD3F9E0783}"/>
    <cellStyle name="Comma 375 3 2 2" xfId="18266" xr:uid="{188B3CA8-1DF2-48F6-A4BF-133AAB7A575C}"/>
    <cellStyle name="Comma 375 3 3" xfId="13091" xr:uid="{ADD84F11-1164-475B-9C9C-11FF9C363C39}"/>
    <cellStyle name="Comma 375 4" xfId="4807" xr:uid="{393773CE-5679-4290-B7D1-B8DA871FEE86}"/>
    <cellStyle name="Comma 375 4 2" xfId="9983" xr:uid="{BEFC67B1-B30C-498B-B5B4-EE6D7A7C9C81}"/>
    <cellStyle name="Comma 375 4 2 2" xfId="20335" xr:uid="{85BEBD09-62C7-4CA1-83E6-67E41B644BC4}"/>
    <cellStyle name="Comma 375 4 3" xfId="15159" xr:uid="{5422C780-9B72-48FF-ABCF-433F1A93C9EA}"/>
    <cellStyle name="Comma 375 5" xfId="5855" xr:uid="{0350991E-8391-4188-BE1E-D1B74DBF89C4}"/>
    <cellStyle name="Comma 375 5 2" xfId="16207" xr:uid="{9A467103-9BC9-4AD0-B7AA-5F4504D8B68F}"/>
    <cellStyle name="Comma 375 6" xfId="11033" xr:uid="{9BFCF25A-5268-41EA-A08E-048ACEDEB891}"/>
    <cellStyle name="Comma 376" xfId="616" xr:uid="{83F021EB-95CC-4010-8461-33B6144C95C0}"/>
    <cellStyle name="Comma 376 2" xfId="1654" xr:uid="{F1912E56-EF2E-4EB0-A66E-C55EB1F68A27}"/>
    <cellStyle name="Comma 376 2 2" xfId="3712" xr:uid="{E81E7143-CB49-4457-996A-6076809FB5AC}"/>
    <cellStyle name="Comma 376 2 2 2" xfId="8945" xr:uid="{06F54EF3-CD0C-43DE-9445-ADDF609AE055}"/>
    <cellStyle name="Comma 376 2 2 2 2" xfId="19297" xr:uid="{EE8A1F33-C1D8-4553-B737-E1632B5A0639}"/>
    <cellStyle name="Comma 376 2 2 3" xfId="14122" xr:uid="{325BA896-9373-479E-95BB-BE225F7B5D47}"/>
    <cellStyle name="Comma 376 2 3" xfId="6887" xr:uid="{3BB81A6D-9E41-4DC4-AD31-46D76C6783AA}"/>
    <cellStyle name="Comma 376 2 3 2" xfId="17239" xr:uid="{7AD433A4-A09C-4DED-9AB5-F010126D859D}"/>
    <cellStyle name="Comma 376 2 4" xfId="12064" xr:uid="{7C9C4AFA-A91B-44DA-9AD7-B7E0C64FF4D5}"/>
    <cellStyle name="Comma 376 3" xfId="2682" xr:uid="{088243B5-6B51-40C2-8516-42A974D9B535}"/>
    <cellStyle name="Comma 376 3 2" xfId="7915" xr:uid="{8E48160C-C71A-4351-8723-F8E8AE7F36EA}"/>
    <cellStyle name="Comma 376 3 2 2" xfId="18267" xr:uid="{2583C62D-4B83-4575-891B-AF1931F7266E}"/>
    <cellStyle name="Comma 376 3 3" xfId="13092" xr:uid="{E1E0131C-42FF-4DFC-B56A-2D59733FEC9A}"/>
    <cellStyle name="Comma 376 4" xfId="4808" xr:uid="{C24F5E3A-5908-4EE9-8B38-7CC29360F345}"/>
    <cellStyle name="Comma 376 4 2" xfId="9984" xr:uid="{C079616A-0AAE-4AA7-AE7D-12601D282DE0}"/>
    <cellStyle name="Comma 376 4 2 2" xfId="20336" xr:uid="{5A883D84-0519-4B8E-9779-A548EDF206A2}"/>
    <cellStyle name="Comma 376 4 3" xfId="15160" xr:uid="{AE945F30-60EB-4D73-A9A5-526358E4B37B}"/>
    <cellStyle name="Comma 376 5" xfId="5856" xr:uid="{D5362025-5506-433B-9D19-9F4041B327BB}"/>
    <cellStyle name="Comma 376 5 2" xfId="16208" xr:uid="{B388C2E2-4A82-4957-97EB-69A47B360DF0}"/>
    <cellStyle name="Comma 376 6" xfId="11034" xr:uid="{E6E3725F-3E96-4D69-96EB-5D954A994F52}"/>
    <cellStyle name="Comma 377" xfId="617" xr:uid="{D33BE625-E0B3-4C73-9FE3-187C6CBD5BCD}"/>
    <cellStyle name="Comma 377 2" xfId="1655" xr:uid="{887227CC-DC38-4428-970B-2410F5C3D784}"/>
    <cellStyle name="Comma 377 2 2" xfId="3713" xr:uid="{2936C88F-55DC-4183-83C4-B147AE605481}"/>
    <cellStyle name="Comma 377 2 2 2" xfId="8946" xr:uid="{9DC69536-B650-4E8E-A895-90F3D485CCE5}"/>
    <cellStyle name="Comma 377 2 2 2 2" xfId="19298" xr:uid="{B324CB7D-34B6-482F-BF64-3A81C6AFE0BC}"/>
    <cellStyle name="Comma 377 2 2 3" xfId="14123" xr:uid="{F816EA58-A330-495A-86A0-7C41DB8FDBB0}"/>
    <cellStyle name="Comma 377 2 3" xfId="6888" xr:uid="{36FD5A4C-2C64-4E28-A7AA-827F78F16617}"/>
    <cellStyle name="Comma 377 2 3 2" xfId="17240" xr:uid="{115B6F74-F1E9-4ECA-8B23-B61B47400EC6}"/>
    <cellStyle name="Comma 377 2 4" xfId="12065" xr:uid="{9F770601-A584-4019-B847-0CC616B41D46}"/>
    <cellStyle name="Comma 377 3" xfId="2683" xr:uid="{3F2952A0-A027-402E-BF37-38C622CEE679}"/>
    <cellStyle name="Comma 377 3 2" xfId="7916" xr:uid="{978C4F25-7EFF-41C5-ACBD-5B91B9F684B4}"/>
    <cellStyle name="Comma 377 3 2 2" xfId="18268" xr:uid="{2E5A3CAC-A1FA-4297-BC65-5A973837E794}"/>
    <cellStyle name="Comma 377 3 3" xfId="13093" xr:uid="{E0753A81-0C20-4F1F-BFB4-3C48FF439D73}"/>
    <cellStyle name="Comma 377 4" xfId="4809" xr:uid="{B0CD5D61-7A13-451C-95D8-2FDAC108BD65}"/>
    <cellStyle name="Comma 377 4 2" xfId="9985" xr:uid="{0633D09C-BBE9-48B7-BD8C-20785351B995}"/>
    <cellStyle name="Comma 377 4 2 2" xfId="20337" xr:uid="{4EA200B2-C278-444B-BC53-D7595C5334B5}"/>
    <cellStyle name="Comma 377 4 3" xfId="15161" xr:uid="{ECA75F0D-9484-45CF-8B9B-278864135755}"/>
    <cellStyle name="Comma 377 5" xfId="5857" xr:uid="{615B9839-331E-4E17-BB15-B758D5BD89C2}"/>
    <cellStyle name="Comma 377 5 2" xfId="16209" xr:uid="{B882E90B-7F7F-4505-B1BF-F21C36D12CFE}"/>
    <cellStyle name="Comma 377 6" xfId="11035" xr:uid="{FA0AF340-4CC0-462D-9F74-3803860BC382}"/>
    <cellStyle name="Comma 378" xfId="618" xr:uid="{0EA4797F-5162-4239-BB1D-E6FEB01E44EB}"/>
    <cellStyle name="Comma 378 2" xfId="1656" xr:uid="{6C105F7A-2061-4D0E-B2C0-EAA240F54E1D}"/>
    <cellStyle name="Comma 378 2 2" xfId="3714" xr:uid="{2AE34673-3D6F-4A99-AC1E-B0585E20DD69}"/>
    <cellStyle name="Comma 378 2 2 2" xfId="8947" xr:uid="{04BF8CD1-97D9-4625-9CC4-33A02B9B1BFE}"/>
    <cellStyle name="Comma 378 2 2 2 2" xfId="19299" xr:uid="{B73BE9FB-D2E6-4BFF-BD5C-F5069012CC11}"/>
    <cellStyle name="Comma 378 2 2 3" xfId="14124" xr:uid="{038E2CFB-AD91-49FE-9468-E745682CFEE4}"/>
    <cellStyle name="Comma 378 2 3" xfId="6889" xr:uid="{58E34DC2-21B2-4B70-8DCF-97139F6F4690}"/>
    <cellStyle name="Comma 378 2 3 2" xfId="17241" xr:uid="{FD50737C-9DE4-4F93-A7AD-A23DDF85CD7A}"/>
    <cellStyle name="Comma 378 2 4" xfId="12066" xr:uid="{3CDA6435-7DE1-49DB-8FDC-9023619310FC}"/>
    <cellStyle name="Comma 378 3" xfId="2684" xr:uid="{FC995D27-842F-48F4-87A0-67BE5F59B62D}"/>
    <cellStyle name="Comma 378 3 2" xfId="7917" xr:uid="{8453E39E-2FB3-4E9B-B04C-9D659B701F99}"/>
    <cellStyle name="Comma 378 3 2 2" xfId="18269" xr:uid="{17D8C958-103B-40C3-92FA-3E5910CDC12D}"/>
    <cellStyle name="Comma 378 3 3" xfId="13094" xr:uid="{9B8DA0C2-84FF-44D3-9C85-C3FDCC37642C}"/>
    <cellStyle name="Comma 378 4" xfId="4810" xr:uid="{2B615B38-92C7-42E6-BAD4-956C478DDC0A}"/>
    <cellStyle name="Comma 378 4 2" xfId="9986" xr:uid="{D0639F23-0E9E-44B2-8513-37929B4170F0}"/>
    <cellStyle name="Comma 378 4 2 2" xfId="20338" xr:uid="{A7CC0FC4-38C2-4815-88E0-1D1C5B763C8C}"/>
    <cellStyle name="Comma 378 4 3" xfId="15162" xr:uid="{B7935455-BD4C-4DDE-9AB2-DEBCF15AB9D2}"/>
    <cellStyle name="Comma 378 5" xfId="5858" xr:uid="{359A7E56-B089-4CCE-A617-DBEE01ED3613}"/>
    <cellStyle name="Comma 378 5 2" xfId="16210" xr:uid="{B5C1CC67-0BAA-4381-8A23-9CFEA507AC30}"/>
    <cellStyle name="Comma 378 6" xfId="11036" xr:uid="{892C57C1-3351-40F5-8226-45D118C78A6A}"/>
    <cellStyle name="Comma 379" xfId="619" xr:uid="{749540D7-B926-4A44-B267-5B058737CB2E}"/>
    <cellStyle name="Comma 379 2" xfId="1657" xr:uid="{13DCE211-0644-4013-92D0-FAC75D740D08}"/>
    <cellStyle name="Comma 379 2 2" xfId="3715" xr:uid="{A07986DC-993F-47B0-AF0C-B9B3E8F93B50}"/>
    <cellStyle name="Comma 379 2 2 2" xfId="8948" xr:uid="{A07911E3-12B8-4D42-8FF1-866CF4F5298E}"/>
    <cellStyle name="Comma 379 2 2 2 2" xfId="19300" xr:uid="{68E6AB40-3C10-4B6E-A34A-8B0C185548F9}"/>
    <cellStyle name="Comma 379 2 2 3" xfId="14125" xr:uid="{CA682086-B5A2-4C0B-839B-A5F15EE1B7E5}"/>
    <cellStyle name="Comma 379 2 3" xfId="6890" xr:uid="{00DC90E1-3FA3-48B1-B3FA-BD7C49586EC2}"/>
    <cellStyle name="Comma 379 2 3 2" xfId="17242" xr:uid="{6DCFBCDF-6C55-4B7C-A130-42FF9EF3CA14}"/>
    <cellStyle name="Comma 379 2 4" xfId="12067" xr:uid="{D19E0E38-8584-4B81-B16A-8F8758577E51}"/>
    <cellStyle name="Comma 379 3" xfId="2685" xr:uid="{7EA5F7D5-94E7-45C2-917D-6A13BFD8E8B0}"/>
    <cellStyle name="Comma 379 3 2" xfId="7918" xr:uid="{96610994-4643-47DA-88F5-7167664EB8FD}"/>
    <cellStyle name="Comma 379 3 2 2" xfId="18270" xr:uid="{3BEBF998-C987-41B7-A96D-9297C047F013}"/>
    <cellStyle name="Comma 379 3 3" xfId="13095" xr:uid="{0B7C62CC-8977-4E99-A1C9-931E950F3F2C}"/>
    <cellStyle name="Comma 379 4" xfId="4811" xr:uid="{4F1DE037-F63A-4169-8B94-DE0565D5514E}"/>
    <cellStyle name="Comma 379 4 2" xfId="9987" xr:uid="{0E81BB36-0D80-4C17-B010-8F1794316D3D}"/>
    <cellStyle name="Comma 379 4 2 2" xfId="20339" xr:uid="{C4DEFEE4-12DF-4579-AEFE-BEA2BAB3F3CE}"/>
    <cellStyle name="Comma 379 4 3" xfId="15163" xr:uid="{72DDB789-6189-4655-A67B-E958247BA01C}"/>
    <cellStyle name="Comma 379 5" xfId="5859" xr:uid="{5EF75189-C277-45A3-A07B-1A5A23315ADA}"/>
    <cellStyle name="Comma 379 5 2" xfId="16211" xr:uid="{36BE9E29-82DE-4F23-B8FD-7436E6C6C1BC}"/>
    <cellStyle name="Comma 379 6" xfId="11037" xr:uid="{CCF3A98D-0EA5-415A-9677-0F6C06AD1E88}"/>
    <cellStyle name="Comma 38" xfId="238" xr:uid="{1688CF34-8822-49FB-8DA5-779AE265D534}"/>
    <cellStyle name="Comma 38 2" xfId="1316" xr:uid="{48E6510B-A050-477A-B54C-B3B18B32C4D4}"/>
    <cellStyle name="Comma 38 2 2" xfId="3374" xr:uid="{05906C36-2707-49FD-AF56-570644EE4B30}"/>
    <cellStyle name="Comma 38 2 2 2" xfId="8607" xr:uid="{52464CB6-2205-4F9C-9C61-E9EDFE89138B}"/>
    <cellStyle name="Comma 38 2 2 2 2" xfId="18959" xr:uid="{34B172FF-DE70-47A9-A9D6-2FCDED38684C}"/>
    <cellStyle name="Comma 38 2 2 3" xfId="13784" xr:uid="{D14339FD-C63C-4EF1-947B-313A255D7277}"/>
    <cellStyle name="Comma 38 2 3" xfId="6549" xr:uid="{FF238720-BBCF-4B82-B155-8A079F435726}"/>
    <cellStyle name="Comma 38 2 3 2" xfId="16901" xr:uid="{8C8F863A-1884-45D8-9F97-C8EF790BCCD7}"/>
    <cellStyle name="Comma 38 2 4" xfId="11726" xr:uid="{D026A912-4BC9-4E82-841C-112EF692BA0B}"/>
    <cellStyle name="Comma 38 3" xfId="2344" xr:uid="{5FE2975E-D943-4108-AE1B-B29DB2714041}"/>
    <cellStyle name="Comma 38 3 2" xfId="7577" xr:uid="{DE7D05C8-0E24-42A9-AE39-5CE56820B91D}"/>
    <cellStyle name="Comma 38 3 2 2" xfId="17929" xr:uid="{F2E26975-4DE5-47FE-BB2F-908DAB3AFB43}"/>
    <cellStyle name="Comma 38 3 3" xfId="12754" xr:uid="{57930EED-E714-4DDD-BBE2-DE514274DEF7}"/>
    <cellStyle name="Comma 38 4" xfId="4470" xr:uid="{32ED07A6-92BF-4292-AA5F-ADA0CDD1C591}"/>
    <cellStyle name="Comma 38 4 2" xfId="9646" xr:uid="{AFF0F101-157B-4DE1-AC8C-CB43C84209EF}"/>
    <cellStyle name="Comma 38 4 2 2" xfId="19998" xr:uid="{347F4017-CB06-4A62-A383-E4E93B889E72}"/>
    <cellStyle name="Comma 38 4 3" xfId="14822" xr:uid="{907C34A5-AE1B-43C7-85CF-C9C018BFA30B}"/>
    <cellStyle name="Comma 38 5" xfId="5518" xr:uid="{E3A5410F-1757-40B0-98FB-8534483DA5C8}"/>
    <cellStyle name="Comma 38 5 2" xfId="15870" xr:uid="{090B2342-BA79-49A2-A366-B10111071C2F}"/>
    <cellStyle name="Comma 38 6" xfId="10696" xr:uid="{825F8BEF-9869-4C83-A7BD-E4D9816F9813}"/>
    <cellStyle name="Comma 380" xfId="620" xr:uid="{9473D33D-AAAD-46C5-822B-6031E5EE2375}"/>
    <cellStyle name="Comma 380 2" xfId="1658" xr:uid="{35359C9D-274C-4587-8A81-BC96F0E9FF95}"/>
    <cellStyle name="Comma 380 2 2" xfId="3716" xr:uid="{425D5081-7B03-4CCA-99DF-110406F54C21}"/>
    <cellStyle name="Comma 380 2 2 2" xfId="8949" xr:uid="{7CDD4E3F-CD3D-40A3-81CB-8A930B773839}"/>
    <cellStyle name="Comma 380 2 2 2 2" xfId="19301" xr:uid="{82A6AF3B-0319-437A-B26E-2E2C0F549ACF}"/>
    <cellStyle name="Comma 380 2 2 3" xfId="14126" xr:uid="{FB1EC14B-84AB-437E-A62C-E4A0FC93310F}"/>
    <cellStyle name="Comma 380 2 3" xfId="6891" xr:uid="{C681C584-7EC2-4ECC-B90C-7C9D976485BE}"/>
    <cellStyle name="Comma 380 2 3 2" xfId="17243" xr:uid="{EA4A1466-BDEC-45AF-9EAD-C4CC560143F8}"/>
    <cellStyle name="Comma 380 2 4" xfId="12068" xr:uid="{442B1B67-D65F-401D-BE93-363CE4AD575E}"/>
    <cellStyle name="Comma 380 3" xfId="2686" xr:uid="{E14E1D74-E8DB-4FD6-8849-811CC4808105}"/>
    <cellStyle name="Comma 380 3 2" xfId="7919" xr:uid="{C6FDD9F9-7EFB-422F-8E3A-FFADBBC59745}"/>
    <cellStyle name="Comma 380 3 2 2" xfId="18271" xr:uid="{AD6CAE1F-C614-4616-A8CD-C6507B7B75EA}"/>
    <cellStyle name="Comma 380 3 3" xfId="13096" xr:uid="{B004E5AA-75A2-4F65-BCA7-99107E43BAE9}"/>
    <cellStyle name="Comma 380 4" xfId="4812" xr:uid="{671592A5-4676-4CF1-B900-15FA28FDC752}"/>
    <cellStyle name="Comma 380 4 2" xfId="9988" xr:uid="{24DE4D8B-0541-4418-8A08-0F34B0F267B4}"/>
    <cellStyle name="Comma 380 4 2 2" xfId="20340" xr:uid="{ECD70A69-FDD8-4118-843F-0BF775C26CB1}"/>
    <cellStyle name="Comma 380 4 3" xfId="15164" xr:uid="{6DC32109-FA32-4B2B-9694-04EE3FDE8ECD}"/>
    <cellStyle name="Comma 380 5" xfId="5860" xr:uid="{61405E11-6038-4F5B-8538-E4359F1E0F3D}"/>
    <cellStyle name="Comma 380 5 2" xfId="16212" xr:uid="{12F7E8AA-72B0-46BB-B4D6-3ABC0734EA2E}"/>
    <cellStyle name="Comma 380 6" xfId="11038" xr:uid="{AA6A53A3-5148-4D89-A4F5-F9A94900378D}"/>
    <cellStyle name="Comma 381" xfId="621" xr:uid="{05EF2F96-5AEE-4EF0-B53A-6378BE5EBDE2}"/>
    <cellStyle name="Comma 381 2" xfId="1659" xr:uid="{9D20B778-90A2-4BA5-A4A9-019F7DC359F2}"/>
    <cellStyle name="Comma 381 2 2" xfId="3717" xr:uid="{CD3971B0-2472-48FC-A05B-4BC6A77B6152}"/>
    <cellStyle name="Comma 381 2 2 2" xfId="8950" xr:uid="{C1FCD3E6-FEF8-4F62-902C-B671004132CC}"/>
    <cellStyle name="Comma 381 2 2 2 2" xfId="19302" xr:uid="{47D2545D-1FDF-4C83-BA16-9536B5BB5C11}"/>
    <cellStyle name="Comma 381 2 2 3" xfId="14127" xr:uid="{AFAAABAD-2AE4-40F0-8A5E-794D6BF8A9BA}"/>
    <cellStyle name="Comma 381 2 3" xfId="6892" xr:uid="{017EA881-CC8E-48CD-BD32-5DCFA2195C8D}"/>
    <cellStyle name="Comma 381 2 3 2" xfId="17244" xr:uid="{FEBCE727-8506-4DF5-AE98-1D855184ECED}"/>
    <cellStyle name="Comma 381 2 4" xfId="12069" xr:uid="{0A37DDB8-A1D8-471F-A855-330DA6FB980A}"/>
    <cellStyle name="Comma 381 3" xfId="2687" xr:uid="{3BB864CF-B8E8-455D-9C8C-30B664370FF0}"/>
    <cellStyle name="Comma 381 3 2" xfId="7920" xr:uid="{97B83866-8D18-4E2B-8FA0-1B108F2B343F}"/>
    <cellStyle name="Comma 381 3 2 2" xfId="18272" xr:uid="{BCA9AB5F-DBE1-4D4F-9E2E-1FE2DCAFC8B0}"/>
    <cellStyle name="Comma 381 3 3" xfId="13097" xr:uid="{3CAD7ED4-AF7B-45E5-B370-7F20D923842C}"/>
    <cellStyle name="Comma 381 4" xfId="4813" xr:uid="{ED663941-F1D5-4BF3-BDB2-1D3DD078610F}"/>
    <cellStyle name="Comma 381 4 2" xfId="9989" xr:uid="{56E4C84B-C7C0-4DD6-996E-2ABAB63314AA}"/>
    <cellStyle name="Comma 381 4 2 2" xfId="20341" xr:uid="{98752B86-2032-4247-BE6A-E429A7B87DF9}"/>
    <cellStyle name="Comma 381 4 3" xfId="15165" xr:uid="{5067588E-172E-4D56-8F42-63A6B119B80E}"/>
    <cellStyle name="Comma 381 5" xfId="5861" xr:uid="{C27E2C7E-8930-43B0-8648-30D3BE929E1C}"/>
    <cellStyle name="Comma 381 5 2" xfId="16213" xr:uid="{3E24377F-0A45-48E8-ADFA-77EFD0985D55}"/>
    <cellStyle name="Comma 381 6" xfId="11039" xr:uid="{5888FF41-EE6D-4FB4-924C-F03B8E9F43A9}"/>
    <cellStyle name="Comma 382" xfId="622" xr:uid="{9E418871-5427-40D8-ADE7-AF9A60A3A9CB}"/>
    <cellStyle name="Comma 382 2" xfId="1660" xr:uid="{C21F5E75-EEE2-4FC4-9CE4-FF4B82B65284}"/>
    <cellStyle name="Comma 382 2 2" xfId="3718" xr:uid="{88600FD0-E19C-41BB-B06B-459175F695C6}"/>
    <cellStyle name="Comma 382 2 2 2" xfId="8951" xr:uid="{43081238-409A-42D6-BB39-2D09F3CF063B}"/>
    <cellStyle name="Comma 382 2 2 2 2" xfId="19303" xr:uid="{230E75D5-9E5E-4580-B2D4-6E3BF0537B8C}"/>
    <cellStyle name="Comma 382 2 2 3" xfId="14128" xr:uid="{4F03595A-B5DC-4F70-B4DE-BEFFC6183B0B}"/>
    <cellStyle name="Comma 382 2 3" xfId="6893" xr:uid="{B78DE497-7C46-4A7F-8314-65631860FC5A}"/>
    <cellStyle name="Comma 382 2 3 2" xfId="17245" xr:uid="{93028F2A-79E7-483C-B229-C3823BBBF167}"/>
    <cellStyle name="Comma 382 2 4" xfId="12070" xr:uid="{852BE59F-2E91-4C58-A720-F5C4E3924C30}"/>
    <cellStyle name="Comma 382 3" xfId="2688" xr:uid="{959E2441-5D9B-44F2-BACF-A7EAF2266832}"/>
    <cellStyle name="Comma 382 3 2" xfId="7921" xr:uid="{E4D04F9B-BB01-44F7-9993-3FB0C60F0721}"/>
    <cellStyle name="Comma 382 3 2 2" xfId="18273" xr:uid="{F9A4157B-458D-41D1-9470-BBA45C76D2D1}"/>
    <cellStyle name="Comma 382 3 3" xfId="13098" xr:uid="{00E88A11-ED5E-4908-AAB0-638244D68CE5}"/>
    <cellStyle name="Comma 382 4" xfId="4814" xr:uid="{83943059-63D9-482C-BE0F-7B444FCEBC30}"/>
    <cellStyle name="Comma 382 4 2" xfId="9990" xr:uid="{79DDBE5D-2C5F-47C5-B75A-51BABE0C1F9B}"/>
    <cellStyle name="Comma 382 4 2 2" xfId="20342" xr:uid="{6EBF5578-D7A4-4416-8C50-54C2787EFDA9}"/>
    <cellStyle name="Comma 382 4 3" xfId="15166" xr:uid="{7129FE6A-192C-48FF-89C1-BD1BB115F72D}"/>
    <cellStyle name="Comma 382 5" xfId="5862" xr:uid="{FCEAE2C8-49D0-4318-BDC4-D51B7BC9428F}"/>
    <cellStyle name="Comma 382 5 2" xfId="16214" xr:uid="{8405B482-5B52-4609-92D0-90601D2027A8}"/>
    <cellStyle name="Comma 382 6" xfId="11040" xr:uid="{E6B28402-9EEB-4E4A-BF2A-DA72BD089185}"/>
    <cellStyle name="Comma 383" xfId="623" xr:uid="{23F5CFF9-B0D9-427A-A62C-EFB7FA96615E}"/>
    <cellStyle name="Comma 383 2" xfId="1661" xr:uid="{D39D2156-8474-4AFA-9C14-57495EA7DE19}"/>
    <cellStyle name="Comma 383 2 2" xfId="3719" xr:uid="{306EBE80-94A0-4E8C-8255-C8D6A82D1AC1}"/>
    <cellStyle name="Comma 383 2 2 2" xfId="8952" xr:uid="{C1E0E88A-AA63-4509-A05D-8F47370E2860}"/>
    <cellStyle name="Comma 383 2 2 2 2" xfId="19304" xr:uid="{2ED42E4B-C2C9-418D-AA5F-F666E7E90BBC}"/>
    <cellStyle name="Comma 383 2 2 3" xfId="14129" xr:uid="{DF38DA25-FD06-4856-89AE-8EC4A8B735C7}"/>
    <cellStyle name="Comma 383 2 3" xfId="6894" xr:uid="{50FA4D36-1709-480E-9E5D-FF386923A672}"/>
    <cellStyle name="Comma 383 2 3 2" xfId="17246" xr:uid="{4BFCD1D0-FDFA-46FD-B5E3-FF766A09A047}"/>
    <cellStyle name="Comma 383 2 4" xfId="12071" xr:uid="{EAD0BC45-66DE-4089-AC7B-692B4BD83697}"/>
    <cellStyle name="Comma 383 3" xfId="2689" xr:uid="{F48A3770-F25E-497B-BFE7-2D6F20EB8B43}"/>
    <cellStyle name="Comma 383 3 2" xfId="7922" xr:uid="{3B078796-E87A-48C5-89D9-83E181BB1618}"/>
    <cellStyle name="Comma 383 3 2 2" xfId="18274" xr:uid="{62FF6D6F-B22D-4402-BC60-C09237A95F34}"/>
    <cellStyle name="Comma 383 3 3" xfId="13099" xr:uid="{76D634AB-C290-4F72-83E0-C4AB1E1A742A}"/>
    <cellStyle name="Comma 383 4" xfId="4815" xr:uid="{9D409BE9-76C1-4477-ACBC-C897256986EC}"/>
    <cellStyle name="Comma 383 4 2" xfId="9991" xr:uid="{9DDDC789-05C6-4039-AE86-7CFB5B4AA22F}"/>
    <cellStyle name="Comma 383 4 2 2" xfId="20343" xr:uid="{839D98C0-DD30-4DB0-AA0F-F012AD227477}"/>
    <cellStyle name="Comma 383 4 3" xfId="15167" xr:uid="{4D66D9C2-B335-4CF0-929A-2E0894B6721D}"/>
    <cellStyle name="Comma 383 5" xfId="5863" xr:uid="{9662C17B-885A-4149-AE78-31EF8C2F59A8}"/>
    <cellStyle name="Comma 383 5 2" xfId="16215" xr:uid="{9B5EF94B-6210-4528-8826-2B3EC436EAC6}"/>
    <cellStyle name="Comma 383 6" xfId="11041" xr:uid="{6F4DF2D8-0CCC-4280-85F4-48911C6BCA58}"/>
    <cellStyle name="Comma 384" xfId="624" xr:uid="{A3B2D4BD-994F-4209-9CE7-A140C8C49E59}"/>
    <cellStyle name="Comma 384 2" xfId="1662" xr:uid="{DCBBF238-6A59-481F-AEBC-BDE15F511E32}"/>
    <cellStyle name="Comma 384 2 2" xfId="3720" xr:uid="{F287AD08-131F-4723-842E-CCF0A1EF25AB}"/>
    <cellStyle name="Comma 384 2 2 2" xfId="8953" xr:uid="{9B5AFDD3-A157-4F4D-A90E-C1BFE8E761B3}"/>
    <cellStyle name="Comma 384 2 2 2 2" xfId="19305" xr:uid="{DF9B81D1-7D89-4B83-911B-85EAD676FE8D}"/>
    <cellStyle name="Comma 384 2 2 3" xfId="14130" xr:uid="{0B97011E-3BDF-4B98-8501-A74ED8091DD6}"/>
    <cellStyle name="Comma 384 2 3" xfId="6895" xr:uid="{4D643C28-E6B6-4ACB-A3B9-5D7ACEC92C51}"/>
    <cellStyle name="Comma 384 2 3 2" xfId="17247" xr:uid="{415AD613-3D36-4F94-8760-513229F80D7B}"/>
    <cellStyle name="Comma 384 2 4" xfId="12072" xr:uid="{3B649221-8408-4F12-B87A-6C2D4E2C69C9}"/>
    <cellStyle name="Comma 384 3" xfId="2690" xr:uid="{10C06E2B-09D2-4C92-8CCE-DF49A0CE87FD}"/>
    <cellStyle name="Comma 384 3 2" xfId="7923" xr:uid="{DD875EC9-3108-473C-AB6D-C8DB19A015D8}"/>
    <cellStyle name="Comma 384 3 2 2" xfId="18275" xr:uid="{D01F93AD-3004-4C76-9F9F-4A6589E8FAEA}"/>
    <cellStyle name="Comma 384 3 3" xfId="13100" xr:uid="{47C14148-AD37-409C-AAE2-EFCBF9F58AB7}"/>
    <cellStyle name="Comma 384 4" xfId="4816" xr:uid="{44F0410A-DE6B-4AC0-8A1D-9A9DA50E9A47}"/>
    <cellStyle name="Comma 384 4 2" xfId="9992" xr:uid="{C5A887EF-D1BC-478C-81E5-39CC47115678}"/>
    <cellStyle name="Comma 384 4 2 2" xfId="20344" xr:uid="{69E87373-2621-4B7A-81FB-61A052C84EF8}"/>
    <cellStyle name="Comma 384 4 3" xfId="15168" xr:uid="{E77A3200-1A96-4B21-9729-1086F69751C1}"/>
    <cellStyle name="Comma 384 5" xfId="5864" xr:uid="{875F47FE-5FC0-42B1-9E59-934374E4BAE2}"/>
    <cellStyle name="Comma 384 5 2" xfId="16216" xr:uid="{4F05A075-23C9-430F-B13D-8AD1BC49434A}"/>
    <cellStyle name="Comma 384 6" xfId="11042" xr:uid="{8A53B71C-BDDC-4A6F-806C-E3E1B1C11D0E}"/>
    <cellStyle name="Comma 385" xfId="625" xr:uid="{2EC8FC5E-5185-41D5-BC75-9F2340987B87}"/>
    <cellStyle name="Comma 385 2" xfId="1663" xr:uid="{1F7C0766-4EB1-4C47-9A08-EACD072D28D8}"/>
    <cellStyle name="Comma 385 2 2" xfId="3721" xr:uid="{A3FECF51-859A-406B-9BD0-63CA06A13705}"/>
    <cellStyle name="Comma 385 2 2 2" xfId="8954" xr:uid="{8411F1FC-77A1-42D5-80BE-1022EF55B16B}"/>
    <cellStyle name="Comma 385 2 2 2 2" xfId="19306" xr:uid="{33B3FDEF-4C78-485F-A33D-CA5852CD4391}"/>
    <cellStyle name="Comma 385 2 2 3" xfId="14131" xr:uid="{87CCFDD8-15EE-48DB-AF29-0455ADE5BDAC}"/>
    <cellStyle name="Comma 385 2 3" xfId="6896" xr:uid="{9769F385-78D8-4C08-988D-C6644D133140}"/>
    <cellStyle name="Comma 385 2 3 2" xfId="17248" xr:uid="{8F0F6A91-FA3E-4F87-9F04-75CB5BBFB852}"/>
    <cellStyle name="Comma 385 2 4" xfId="12073" xr:uid="{936FC6BE-1437-481E-99CA-D183FD45A162}"/>
    <cellStyle name="Comma 385 3" xfId="2691" xr:uid="{678EAB5E-E045-48A5-90A2-D80AEB386AE4}"/>
    <cellStyle name="Comma 385 3 2" xfId="7924" xr:uid="{67C3CB6A-4708-494F-AAF5-FF9DF73335A7}"/>
    <cellStyle name="Comma 385 3 2 2" xfId="18276" xr:uid="{8B2DF562-1892-41D5-83A8-42C0FF7E0885}"/>
    <cellStyle name="Comma 385 3 3" xfId="13101" xr:uid="{AB50E5B7-2C0D-4AD7-A468-172503E6AEA5}"/>
    <cellStyle name="Comma 385 4" xfId="4817" xr:uid="{11486CD4-0965-4A6B-8BD8-447C468E1919}"/>
    <cellStyle name="Comma 385 4 2" xfId="9993" xr:uid="{664BD407-66D9-4339-9FF1-477588FF984A}"/>
    <cellStyle name="Comma 385 4 2 2" xfId="20345" xr:uid="{2988F251-C6BB-4178-9124-47A1116A6A90}"/>
    <cellStyle name="Comma 385 4 3" xfId="15169" xr:uid="{DFB3AA21-DE6A-4313-9E44-15B637F0E6FD}"/>
    <cellStyle name="Comma 385 5" xfId="5865" xr:uid="{FA24A289-103E-4341-A16F-8E353FD8B221}"/>
    <cellStyle name="Comma 385 5 2" xfId="16217" xr:uid="{CAF17515-6FB9-4ABF-A181-2BA5DCE67C1B}"/>
    <cellStyle name="Comma 385 6" xfId="11043" xr:uid="{53742113-D4C7-471B-9049-A0A63BCE537D}"/>
    <cellStyle name="Comma 386" xfId="626" xr:uid="{7FB9B3EA-EC94-4AC3-972A-FFD2389D2AF8}"/>
    <cellStyle name="Comma 386 2" xfId="1664" xr:uid="{F2E0FDBA-1E87-40F1-A628-1CEE2D1B7E81}"/>
    <cellStyle name="Comma 386 2 2" xfId="3722" xr:uid="{714486C9-60F8-4BB7-AAD5-3FC1E4C20B69}"/>
    <cellStyle name="Comma 386 2 2 2" xfId="8955" xr:uid="{AA813A86-0619-4827-83B2-39E1FAD2C23D}"/>
    <cellStyle name="Comma 386 2 2 2 2" xfId="19307" xr:uid="{93C0D441-3499-49B1-91A5-A9614C67A8AE}"/>
    <cellStyle name="Comma 386 2 2 3" xfId="14132" xr:uid="{2AD7055F-8DE5-4E82-BED7-5535B8190290}"/>
    <cellStyle name="Comma 386 2 3" xfId="6897" xr:uid="{1D540D29-C6F5-44C3-B915-1D6C2C49EBFD}"/>
    <cellStyle name="Comma 386 2 3 2" xfId="17249" xr:uid="{3CBA749A-FBD9-44AF-936C-C335065D05F9}"/>
    <cellStyle name="Comma 386 2 4" xfId="12074" xr:uid="{687DC8C4-C9F2-460A-BE9B-B3CAE1A235EF}"/>
    <cellStyle name="Comma 386 3" xfId="2692" xr:uid="{773CC24D-248C-40A9-AB8B-8F7BE149C40D}"/>
    <cellStyle name="Comma 386 3 2" xfId="7925" xr:uid="{E8227189-8331-49C6-AF58-B5215EE9B1BB}"/>
    <cellStyle name="Comma 386 3 2 2" xfId="18277" xr:uid="{37E1A1A4-B9FD-4C84-AE6E-914F0948EF63}"/>
    <cellStyle name="Comma 386 3 3" xfId="13102" xr:uid="{94C5D510-E6E3-4956-85E0-F5DBD34FE785}"/>
    <cellStyle name="Comma 386 4" xfId="4818" xr:uid="{C32A3D1B-9E41-442F-BCD5-F2853A849FCB}"/>
    <cellStyle name="Comma 386 4 2" xfId="9994" xr:uid="{1DCB1659-F4B5-4CE9-9F8A-DC2C047DA681}"/>
    <cellStyle name="Comma 386 4 2 2" xfId="20346" xr:uid="{C369A267-99D5-4689-896D-B223CFBCDC6E}"/>
    <cellStyle name="Comma 386 4 3" xfId="15170" xr:uid="{913E379F-D7F8-40C9-A2A6-EC6AA370544B}"/>
    <cellStyle name="Comma 386 5" xfId="5866" xr:uid="{22B0A1B1-3D0B-4AC6-ADF8-EBA1389CA618}"/>
    <cellStyle name="Comma 386 5 2" xfId="16218" xr:uid="{1230C88C-652F-4EF7-BDE1-972BE585FEC9}"/>
    <cellStyle name="Comma 386 6" xfId="11044" xr:uid="{44741CBB-B8F9-4C8F-A3EE-0D595BC2A234}"/>
    <cellStyle name="Comma 387" xfId="627" xr:uid="{C7C19A83-6474-4D9C-A471-B73601ECDD53}"/>
    <cellStyle name="Comma 387 2" xfId="1665" xr:uid="{D8A784AE-9378-407F-B70E-AE03B7755C60}"/>
    <cellStyle name="Comma 387 2 2" xfId="3723" xr:uid="{9289AC26-65E7-45C3-8603-134D23EDF856}"/>
    <cellStyle name="Comma 387 2 2 2" xfId="8956" xr:uid="{489F057A-AFF4-447C-B193-8670C814BBA7}"/>
    <cellStyle name="Comma 387 2 2 2 2" xfId="19308" xr:uid="{3E250F13-1741-4FE3-BEAD-FBA50207F11D}"/>
    <cellStyle name="Comma 387 2 2 3" xfId="14133" xr:uid="{F6B69A99-AE6C-4994-9B9A-32BE47DAFA4E}"/>
    <cellStyle name="Comma 387 2 3" xfId="6898" xr:uid="{8303057A-7FF4-4D35-A858-95FB0F4A8888}"/>
    <cellStyle name="Comma 387 2 3 2" xfId="17250" xr:uid="{E43FDB45-BDDF-4F28-88E5-D5440FFA1F81}"/>
    <cellStyle name="Comma 387 2 4" xfId="12075" xr:uid="{91F1D818-3922-450E-A1B1-FA8AAEE36E96}"/>
    <cellStyle name="Comma 387 3" xfId="2693" xr:uid="{2621DD5C-8218-4943-AF16-B25799B2E7F3}"/>
    <cellStyle name="Comma 387 3 2" xfId="7926" xr:uid="{FF056CE6-5184-4CC7-A949-565EC4EEF9B1}"/>
    <cellStyle name="Comma 387 3 2 2" xfId="18278" xr:uid="{1D76EF4E-DBA6-45D9-B533-4C2FA5E9C76B}"/>
    <cellStyle name="Comma 387 3 3" xfId="13103" xr:uid="{6B5BF816-E668-42A3-8223-6BCF4F52F2DA}"/>
    <cellStyle name="Comma 387 4" xfId="4819" xr:uid="{1E2A35DE-D3B4-40F2-95E9-2C58CCED2CFD}"/>
    <cellStyle name="Comma 387 4 2" xfId="9995" xr:uid="{68310499-49D3-4C85-973B-47B98436715A}"/>
    <cellStyle name="Comma 387 4 2 2" xfId="20347" xr:uid="{6A55A638-EE94-4073-8660-8CB6697D05FC}"/>
    <cellStyle name="Comma 387 4 3" xfId="15171" xr:uid="{3A3099DD-A310-4785-A0D9-0D571DF3AC4A}"/>
    <cellStyle name="Comma 387 5" xfId="5867" xr:uid="{AD70EE25-EE64-4431-96D0-4A96050C4DE0}"/>
    <cellStyle name="Comma 387 5 2" xfId="16219" xr:uid="{C650F0FC-3CA7-4916-97BD-01FEFC7DDB0C}"/>
    <cellStyle name="Comma 387 6" xfId="11045" xr:uid="{49F69912-16AF-4228-BB6E-5285E3035887}"/>
    <cellStyle name="Comma 388" xfId="628" xr:uid="{751FA1E4-B918-48CF-8027-F3A704F06B29}"/>
    <cellStyle name="Comma 388 2" xfId="1666" xr:uid="{90CEDB1A-EB8E-4600-9CD6-732180CED58F}"/>
    <cellStyle name="Comma 388 2 2" xfId="3724" xr:uid="{0D3AA672-DC8C-4D94-A4B0-5866BB64F43F}"/>
    <cellStyle name="Comma 388 2 2 2" xfId="8957" xr:uid="{7A183123-E46B-459A-B2B8-7936A326498A}"/>
    <cellStyle name="Comma 388 2 2 2 2" xfId="19309" xr:uid="{1CB24A6B-92F2-4F7D-9171-E1F1A4AABBEF}"/>
    <cellStyle name="Comma 388 2 2 3" xfId="14134" xr:uid="{A6E1BCE2-CA75-4BC7-879B-89912765BF3B}"/>
    <cellStyle name="Comma 388 2 3" xfId="6899" xr:uid="{E181A4C2-CCC0-4AB2-AC80-DDB9C64DB300}"/>
    <cellStyle name="Comma 388 2 3 2" xfId="17251" xr:uid="{812461EA-4173-4E13-A6F1-AAF10466E8C3}"/>
    <cellStyle name="Comma 388 2 4" xfId="12076" xr:uid="{21A5A69D-03DB-4C3F-8136-F6EFCEBBC198}"/>
    <cellStyle name="Comma 388 3" xfId="2694" xr:uid="{F3102EC6-3F1D-4B1A-AEF7-8730D95B0384}"/>
    <cellStyle name="Comma 388 3 2" xfId="7927" xr:uid="{F0BB74BE-F186-436C-BB5E-A3A4314A0A6E}"/>
    <cellStyle name="Comma 388 3 2 2" xfId="18279" xr:uid="{2A67C8D5-11F1-400D-A236-D36ECC9A5BF1}"/>
    <cellStyle name="Comma 388 3 3" xfId="13104" xr:uid="{6E7CABCE-133E-44CF-B091-47AD57F1C266}"/>
    <cellStyle name="Comma 388 4" xfId="4820" xr:uid="{386B251B-2B61-44C5-839B-5C9A3B73EA21}"/>
    <cellStyle name="Comma 388 4 2" xfId="9996" xr:uid="{2A0B32C3-977F-4A9A-A693-308E287B3C63}"/>
    <cellStyle name="Comma 388 4 2 2" xfId="20348" xr:uid="{E8F24F58-A4BA-4AA3-BECF-030C5F1B334B}"/>
    <cellStyle name="Comma 388 4 3" xfId="15172" xr:uid="{3BF86648-DB89-4059-9FDD-4B217CBC0D35}"/>
    <cellStyle name="Comma 388 5" xfId="5868" xr:uid="{097273E6-580F-4053-9283-265F1AC6E3FC}"/>
    <cellStyle name="Comma 388 5 2" xfId="16220" xr:uid="{80F7E226-6F6A-4979-AD0F-D5CD63CBF53B}"/>
    <cellStyle name="Comma 388 6" xfId="11046" xr:uid="{134E6F7A-80BE-4084-A340-10E7BED4DB4D}"/>
    <cellStyle name="Comma 389" xfId="629" xr:uid="{18C2A866-6EBE-47DC-8D0C-F8CFBB7F6D08}"/>
    <cellStyle name="Comma 389 2" xfId="1667" xr:uid="{95144F5F-43B1-4DBF-B261-3AD8D6044EAF}"/>
    <cellStyle name="Comma 389 2 2" xfId="3725" xr:uid="{04ADBB7A-E61D-4339-940D-D783F8209F9F}"/>
    <cellStyle name="Comma 389 2 2 2" xfId="8958" xr:uid="{EB7943A3-A7CD-45FF-B49B-10EBB3D0E343}"/>
    <cellStyle name="Comma 389 2 2 2 2" xfId="19310" xr:uid="{CE069AAB-8752-4BBD-AE54-C069C674B03D}"/>
    <cellStyle name="Comma 389 2 2 3" xfId="14135" xr:uid="{CFF318C7-0E26-4A81-91BE-22B160EC241D}"/>
    <cellStyle name="Comma 389 2 3" xfId="6900" xr:uid="{2745CF6F-C938-4599-87A5-33AA494B213E}"/>
    <cellStyle name="Comma 389 2 3 2" xfId="17252" xr:uid="{7A933BF3-0E62-4BF0-9D40-253532EEF861}"/>
    <cellStyle name="Comma 389 2 4" xfId="12077" xr:uid="{BFB9445D-4CFA-4DCD-B17A-DBBAEA997A2D}"/>
    <cellStyle name="Comma 389 3" xfId="2695" xr:uid="{42B83D69-ECFF-4617-859C-F8090ADB6433}"/>
    <cellStyle name="Comma 389 3 2" xfId="7928" xr:uid="{0162EFBE-DF20-4641-B725-FB19455DE0DF}"/>
    <cellStyle name="Comma 389 3 2 2" xfId="18280" xr:uid="{2830C450-3AAD-4213-9461-505DB3C088A1}"/>
    <cellStyle name="Comma 389 3 3" xfId="13105" xr:uid="{0EE0CD64-F9DE-4172-B843-673581E55D36}"/>
    <cellStyle name="Comma 389 4" xfId="4821" xr:uid="{29264845-14FF-42A6-91BE-C5C64F42E6D4}"/>
    <cellStyle name="Comma 389 4 2" xfId="9997" xr:uid="{A030D119-B49A-44A5-93E3-78C3046B2901}"/>
    <cellStyle name="Comma 389 4 2 2" xfId="20349" xr:uid="{C3EBC8A6-95A6-4DEF-AA4A-7ED8CAB66420}"/>
    <cellStyle name="Comma 389 4 3" xfId="15173" xr:uid="{0F5CA9D4-5A8B-4EAE-A561-8920803E4A48}"/>
    <cellStyle name="Comma 389 5" xfId="5869" xr:uid="{F0A733D1-C531-444E-A91E-DFDFF3123268}"/>
    <cellStyle name="Comma 389 5 2" xfId="16221" xr:uid="{DFA8513D-88A0-4646-AC83-13B559D8AFEE}"/>
    <cellStyle name="Comma 389 6" xfId="11047" xr:uid="{A2716C30-8ED7-40DE-BA81-635A56DF6A39}"/>
    <cellStyle name="Comma 39" xfId="239" xr:uid="{A8AC870E-A1FD-4D3D-AF33-A7F40675A7E0}"/>
    <cellStyle name="Comma 39 2" xfId="1317" xr:uid="{2E7A2738-3798-410D-9394-A090ADD51909}"/>
    <cellStyle name="Comma 39 2 2" xfId="3375" xr:uid="{C2BFA0DD-93FE-40F4-AEB5-E275DEF68C53}"/>
    <cellStyle name="Comma 39 2 2 2" xfId="8608" xr:uid="{465ADB25-EEA0-4FBF-83B5-9CC3F791D97F}"/>
    <cellStyle name="Comma 39 2 2 2 2" xfId="18960" xr:uid="{7577A090-AD3A-4BEC-892C-8C78F6F85F80}"/>
    <cellStyle name="Comma 39 2 2 3" xfId="13785" xr:uid="{A0C733C1-31DF-43B6-85D9-A77045608807}"/>
    <cellStyle name="Comma 39 2 3" xfId="6550" xr:uid="{BA7583E7-66BC-4CE3-9B19-B78F2C61C76F}"/>
    <cellStyle name="Comma 39 2 3 2" xfId="16902" xr:uid="{2CD2C223-B29F-4B1D-A3DC-9D1E53E41841}"/>
    <cellStyle name="Comma 39 2 4" xfId="11727" xr:uid="{312A0BF8-102F-49B2-8C49-72587EAAA507}"/>
    <cellStyle name="Comma 39 3" xfId="2345" xr:uid="{062E643A-FBD3-4496-B472-E4C02A20FDBE}"/>
    <cellStyle name="Comma 39 3 2" xfId="7578" xr:uid="{F8CC7E97-FE18-4C6B-B0B3-0ED6478313B0}"/>
    <cellStyle name="Comma 39 3 2 2" xfId="17930" xr:uid="{20E53563-CFDD-427C-AD53-CCDFC4C7DC56}"/>
    <cellStyle name="Comma 39 3 3" xfId="12755" xr:uid="{B4C85DF3-CD8A-4A37-B5E7-1065D4BF054D}"/>
    <cellStyle name="Comma 39 4" xfId="4471" xr:uid="{C94BA7A2-4AB5-4FA1-9F6A-1150391B2227}"/>
    <cellStyle name="Comma 39 4 2" xfId="9647" xr:uid="{A60D5C5A-DDFF-4117-B5AE-ED6378732D04}"/>
    <cellStyle name="Comma 39 4 2 2" xfId="19999" xr:uid="{DADCB702-40E5-440A-9745-30020F0146C1}"/>
    <cellStyle name="Comma 39 4 3" xfId="14823" xr:uid="{81C7083E-449F-429F-B573-FDFA14145FB8}"/>
    <cellStyle name="Comma 39 5" xfId="5519" xr:uid="{1AEF6837-6142-418B-98EA-342A2EA3FA04}"/>
    <cellStyle name="Comma 39 5 2" xfId="15871" xr:uid="{FA391313-6EB1-4680-B0B0-254563442CA2}"/>
    <cellStyle name="Comma 39 6" xfId="10697" xr:uid="{E99CF960-DA0E-47E6-91A3-39A58B62C9D5}"/>
    <cellStyle name="Comma 390" xfId="630" xr:uid="{6182CB37-1D24-4652-9144-6F5FABDEE766}"/>
    <cellStyle name="Comma 390 2" xfId="1668" xr:uid="{7CA48197-86E5-43DF-B83C-9A14141A08FB}"/>
    <cellStyle name="Comma 390 2 2" xfId="3726" xr:uid="{F9C23AC8-C469-4394-866D-AC186A94CB0C}"/>
    <cellStyle name="Comma 390 2 2 2" xfId="8959" xr:uid="{ABA54B52-7F23-4D6C-B9A6-C62725436998}"/>
    <cellStyle name="Comma 390 2 2 2 2" xfId="19311" xr:uid="{A8BCF1E9-C53D-43D5-B87F-9E4D3F367F78}"/>
    <cellStyle name="Comma 390 2 2 3" xfId="14136" xr:uid="{0DCD2CAC-9050-4E45-AE70-662CEF10BBEE}"/>
    <cellStyle name="Comma 390 2 3" xfId="6901" xr:uid="{E4E2CCB8-0262-4BE9-90EE-E6038972170A}"/>
    <cellStyle name="Comma 390 2 3 2" xfId="17253" xr:uid="{6E888232-8048-4B74-9FB0-BDD7232D0A2C}"/>
    <cellStyle name="Comma 390 2 4" xfId="12078" xr:uid="{9B492CB1-25F4-4C0B-B53D-643E3D4DF21E}"/>
    <cellStyle name="Comma 390 3" xfId="2696" xr:uid="{33AFF1D3-909F-4058-8B5A-16DB333238AD}"/>
    <cellStyle name="Comma 390 3 2" xfId="7929" xr:uid="{C9C33EC9-48FE-4338-A3EA-3CD2B83AE835}"/>
    <cellStyle name="Comma 390 3 2 2" xfId="18281" xr:uid="{571D7078-FBFB-44AC-AF35-B122A0CF6E3C}"/>
    <cellStyle name="Comma 390 3 3" xfId="13106" xr:uid="{DB35C672-C1CF-43CD-87B0-97381CB34051}"/>
    <cellStyle name="Comma 390 4" xfId="4822" xr:uid="{0B3615A9-2A23-46A3-9EF0-46534294C14E}"/>
    <cellStyle name="Comma 390 4 2" xfId="9998" xr:uid="{CE73ACC5-3CC7-4E2C-B725-415F8CD574BE}"/>
    <cellStyle name="Comma 390 4 2 2" xfId="20350" xr:uid="{52C76D52-19D5-4FFB-99A9-1B3732B4CE7B}"/>
    <cellStyle name="Comma 390 4 3" xfId="15174" xr:uid="{BAEA81D5-F5CF-4738-92D0-DBC37467E2E9}"/>
    <cellStyle name="Comma 390 5" xfId="5870" xr:uid="{87F3581E-F735-4D18-BE96-4218C5BBD891}"/>
    <cellStyle name="Comma 390 5 2" xfId="16222" xr:uid="{84D142C3-6CA7-48CD-8B16-9CBA9A98EDDB}"/>
    <cellStyle name="Comma 390 6" xfId="11048" xr:uid="{7BA1FB9B-CD6B-4160-A1E0-CDDE20EC7682}"/>
    <cellStyle name="Comma 391" xfId="631" xr:uid="{F61B6860-1D14-4882-B634-98427357F599}"/>
    <cellStyle name="Comma 391 2" xfId="1669" xr:uid="{32E6A0EF-6C2D-41D2-8A8A-647D135C5A9F}"/>
    <cellStyle name="Comma 391 2 2" xfId="3727" xr:uid="{A122F737-3428-4B39-B831-7D5CDD4585F7}"/>
    <cellStyle name="Comma 391 2 2 2" xfId="8960" xr:uid="{60058990-B24B-41CA-9372-F0E2748559A7}"/>
    <cellStyle name="Comma 391 2 2 2 2" xfId="19312" xr:uid="{A6BF7FA6-4901-425E-935F-CF5C78925F50}"/>
    <cellStyle name="Comma 391 2 2 3" xfId="14137" xr:uid="{C36944F8-824F-417E-ACE9-8B114573F208}"/>
    <cellStyle name="Comma 391 2 3" xfId="6902" xr:uid="{78C1A059-AA5A-439A-A577-352B4B5E0496}"/>
    <cellStyle name="Comma 391 2 3 2" xfId="17254" xr:uid="{3DBDA5AE-4F46-4D3B-97D1-2724DB108DF2}"/>
    <cellStyle name="Comma 391 2 4" xfId="12079" xr:uid="{D752C50A-745D-45E5-8614-CA8A9B87D3B2}"/>
    <cellStyle name="Comma 391 3" xfId="2697" xr:uid="{D98025C8-7FD1-4D81-A46A-40EF850CCE98}"/>
    <cellStyle name="Comma 391 3 2" xfId="7930" xr:uid="{C4F2EB33-9A1B-465B-B95A-2000482F1356}"/>
    <cellStyle name="Comma 391 3 2 2" xfId="18282" xr:uid="{73C5FC1C-8526-4FC0-8486-3EEB1B3DB9E5}"/>
    <cellStyle name="Comma 391 3 3" xfId="13107" xr:uid="{6B3B2AEB-DE10-44CB-B516-E7E19E007874}"/>
    <cellStyle name="Comma 391 4" xfId="4823" xr:uid="{6871C888-5ABC-4F6E-A2E0-6AF8E887F996}"/>
    <cellStyle name="Comma 391 4 2" xfId="9999" xr:uid="{67BD620C-2ADA-41A0-8470-FD9C723B3215}"/>
    <cellStyle name="Comma 391 4 2 2" xfId="20351" xr:uid="{4C5A96FA-0E6C-4C68-AF91-EC01D2B315B4}"/>
    <cellStyle name="Comma 391 4 3" xfId="15175" xr:uid="{C58DBF98-AABB-4AAB-A3DF-A1F7564A59E8}"/>
    <cellStyle name="Comma 391 5" xfId="5871" xr:uid="{0B7E1B88-531D-4ABD-9096-698FD168EA02}"/>
    <cellStyle name="Comma 391 5 2" xfId="16223" xr:uid="{0973AD19-4F8B-4EBF-A269-E2CFCDB615B3}"/>
    <cellStyle name="Comma 391 6" xfId="11049" xr:uid="{9239437B-282E-4AC8-99B2-1845AC9BDF6B}"/>
    <cellStyle name="Comma 392" xfId="632" xr:uid="{4195CF46-DA6B-43D1-940E-D65BC1C0AC2A}"/>
    <cellStyle name="Comma 392 2" xfId="1670" xr:uid="{873938F3-F351-4002-9FF0-9A6B8D8F09ED}"/>
    <cellStyle name="Comma 392 2 2" xfId="3728" xr:uid="{D0B91602-0462-417B-A4A8-93193C2C0B30}"/>
    <cellStyle name="Comma 392 2 2 2" xfId="8961" xr:uid="{1B744A3F-41A1-4D1B-9161-F431F7FD56AC}"/>
    <cellStyle name="Comma 392 2 2 2 2" xfId="19313" xr:uid="{DD833475-AAFC-4A89-88BC-37D945E12381}"/>
    <cellStyle name="Comma 392 2 2 3" xfId="14138" xr:uid="{88304B20-E5FD-4422-98D5-A4CD9434811C}"/>
    <cellStyle name="Comma 392 2 3" xfId="6903" xr:uid="{D8B4A075-4784-4BA2-8DE0-9E8E457779BC}"/>
    <cellStyle name="Comma 392 2 3 2" xfId="17255" xr:uid="{D1B93FE7-A3E9-4C6B-AC8F-D02DF187656E}"/>
    <cellStyle name="Comma 392 2 4" xfId="12080" xr:uid="{14B5B68A-D6DA-4488-8B71-4496877AB735}"/>
    <cellStyle name="Comma 392 3" xfId="2698" xr:uid="{2C8F2CCD-2B3F-43E1-BC0C-88E1B7A7DA25}"/>
    <cellStyle name="Comma 392 3 2" xfId="7931" xr:uid="{466971CB-42C0-4767-B7B5-F4CD46CCF806}"/>
    <cellStyle name="Comma 392 3 2 2" xfId="18283" xr:uid="{22B096D8-868D-4078-9CF6-94C3F2CB7C82}"/>
    <cellStyle name="Comma 392 3 3" xfId="13108" xr:uid="{2EC01FC0-41FD-49D1-B774-39A1721CFFC7}"/>
    <cellStyle name="Comma 392 4" xfId="4824" xr:uid="{1A69A77B-89A4-4B0D-A16C-A3CC983F4DA7}"/>
    <cellStyle name="Comma 392 4 2" xfId="10000" xr:uid="{74ADA1A8-DAFA-4636-8D64-16C6E4C695F9}"/>
    <cellStyle name="Comma 392 4 2 2" xfId="20352" xr:uid="{FC1300FF-5CC3-4039-9B5D-31CA30BE94A0}"/>
    <cellStyle name="Comma 392 4 3" xfId="15176" xr:uid="{262A1CE4-DD3B-4699-9BA7-D974A1B7D9BC}"/>
    <cellStyle name="Comma 392 5" xfId="5872" xr:uid="{806B9DDD-6A16-4E2B-B614-D59484E9DEDE}"/>
    <cellStyle name="Comma 392 5 2" xfId="16224" xr:uid="{E3DAD6BC-C818-4390-B070-25EA3361CEDA}"/>
    <cellStyle name="Comma 392 6" xfId="11050" xr:uid="{D4B2907E-73FD-40F8-820C-A62F4706CD56}"/>
    <cellStyle name="Comma 393" xfId="633" xr:uid="{B48063E3-CDA1-4161-80E5-7B3734A90213}"/>
    <cellStyle name="Comma 393 2" xfId="1671" xr:uid="{A6BFDF22-CB81-4621-AD6D-DB5491E20040}"/>
    <cellStyle name="Comma 393 2 2" xfId="3729" xr:uid="{8578859C-68D7-4A46-8536-D32F8F17E02C}"/>
    <cellStyle name="Comma 393 2 2 2" xfId="8962" xr:uid="{373AC6EA-8287-4540-A723-59F8CA1C52DB}"/>
    <cellStyle name="Comma 393 2 2 2 2" xfId="19314" xr:uid="{ADC049F2-E3C6-4A2C-BC54-80868DA19BC7}"/>
    <cellStyle name="Comma 393 2 2 3" xfId="14139" xr:uid="{9E78D608-716E-4F4A-B34E-5C67E9607E3E}"/>
    <cellStyle name="Comma 393 2 3" xfId="6904" xr:uid="{9B597968-4F73-4A89-B683-A72CAE3B563C}"/>
    <cellStyle name="Comma 393 2 3 2" xfId="17256" xr:uid="{7FC2D336-07BA-48EA-BB4A-C090A4331E7A}"/>
    <cellStyle name="Comma 393 2 4" xfId="12081" xr:uid="{5C897942-7293-4E3D-A28F-03FB8D6FD029}"/>
    <cellStyle name="Comma 393 3" xfId="2699" xr:uid="{3E5FEA5E-16F2-42AA-8CFF-2DE8AE386D24}"/>
    <cellStyle name="Comma 393 3 2" xfId="7932" xr:uid="{F217F190-314B-48B2-8070-9ECA8DE7BFFF}"/>
    <cellStyle name="Comma 393 3 2 2" xfId="18284" xr:uid="{05C26504-9698-4D4E-BCD7-DC36AD8FC86E}"/>
    <cellStyle name="Comma 393 3 3" xfId="13109" xr:uid="{8E50B913-C650-46D5-AD65-049B4AB683F0}"/>
    <cellStyle name="Comma 393 4" xfId="4825" xr:uid="{1D6A4986-7742-41A8-AAF6-C2CD42132286}"/>
    <cellStyle name="Comma 393 4 2" xfId="10001" xr:uid="{AC639653-55CE-4574-AF77-5C4DA88EA653}"/>
    <cellStyle name="Comma 393 4 2 2" xfId="20353" xr:uid="{346DFE05-CF23-42AF-92BF-C3145149E24D}"/>
    <cellStyle name="Comma 393 4 3" xfId="15177" xr:uid="{20CECD7A-0B63-4CD2-AC79-1CA68E2E3945}"/>
    <cellStyle name="Comma 393 5" xfId="5873" xr:uid="{A182C00A-D9DA-4E76-8163-DB283032ACB1}"/>
    <cellStyle name="Comma 393 5 2" xfId="16225" xr:uid="{11CEFC72-CAA5-4947-BA0D-0AFD93E3DFBD}"/>
    <cellStyle name="Comma 393 6" xfId="11051" xr:uid="{FDE65E3B-39EC-4D0E-AE35-88F7AD8040A1}"/>
    <cellStyle name="Comma 394" xfId="634" xr:uid="{AC722A7F-552D-4DCB-92FF-A103737A217C}"/>
    <cellStyle name="Comma 394 2" xfId="1672" xr:uid="{8B8D113B-1B6F-4F2B-9E5A-122CB28B3E5F}"/>
    <cellStyle name="Comma 394 2 2" xfId="3730" xr:uid="{D6B127A4-45B5-4340-91E3-CDF9203466E3}"/>
    <cellStyle name="Comma 394 2 2 2" xfId="8963" xr:uid="{8C825F6C-6741-4E04-869E-E1B18904E37D}"/>
    <cellStyle name="Comma 394 2 2 2 2" xfId="19315" xr:uid="{CBF7994E-79FB-46E1-8F8B-182319F29143}"/>
    <cellStyle name="Comma 394 2 2 3" xfId="14140" xr:uid="{C56F3A4D-AF19-4F94-9E3D-C6E3F7195B1E}"/>
    <cellStyle name="Comma 394 2 3" xfId="6905" xr:uid="{8992498D-7837-443C-A4B1-8B0559008936}"/>
    <cellStyle name="Comma 394 2 3 2" xfId="17257" xr:uid="{097F5192-074B-4640-8EF9-B1EA0F0382E4}"/>
    <cellStyle name="Comma 394 2 4" xfId="12082" xr:uid="{E4D0FE2D-7594-467B-9D6D-7F415E7EA389}"/>
    <cellStyle name="Comma 394 3" xfId="2700" xr:uid="{0838CE47-DA18-4451-A049-09472BCA7AFC}"/>
    <cellStyle name="Comma 394 3 2" xfId="7933" xr:uid="{B9554DD7-8918-408E-A6D0-B8A21BB0D5F2}"/>
    <cellStyle name="Comma 394 3 2 2" xfId="18285" xr:uid="{A16F9AE2-0496-44FF-82B4-D0E7E3E45EBB}"/>
    <cellStyle name="Comma 394 3 3" xfId="13110" xr:uid="{F36A367C-A2D3-4E7A-A46F-5C0B0F929C8D}"/>
    <cellStyle name="Comma 394 4" xfId="4826" xr:uid="{11F06E55-9253-4654-979A-8725C866D399}"/>
    <cellStyle name="Comma 394 4 2" xfId="10002" xr:uid="{206F7188-BE73-4BF5-BAAA-BBA94452546A}"/>
    <cellStyle name="Comma 394 4 2 2" xfId="20354" xr:uid="{63733058-FFA6-4D63-A869-AE841FA568A3}"/>
    <cellStyle name="Comma 394 4 3" xfId="15178" xr:uid="{3E8180CF-200A-4DB7-84BA-BDFEF8F2B43B}"/>
    <cellStyle name="Comma 394 5" xfId="5874" xr:uid="{30158FD8-8EB0-4645-B232-504BC2494E7F}"/>
    <cellStyle name="Comma 394 5 2" xfId="16226" xr:uid="{43027E4C-05D7-4485-9E0E-3BA88F9F9BCF}"/>
    <cellStyle name="Comma 394 6" xfId="11052" xr:uid="{185F7CEB-16DC-4739-A242-920D9913FB92}"/>
    <cellStyle name="Comma 395" xfId="635" xr:uid="{E601FF34-9381-47FB-BE9F-66A7234BCFB6}"/>
    <cellStyle name="Comma 395 2" xfId="1673" xr:uid="{4521078D-EE24-4601-AA62-5F4B1E8E5EF8}"/>
    <cellStyle name="Comma 395 2 2" xfId="3731" xr:uid="{C183ED6E-85DB-4FBB-AC45-ECD82C851966}"/>
    <cellStyle name="Comma 395 2 2 2" xfId="8964" xr:uid="{5E9BFDA2-FD48-4D99-9FC7-0865224EDF4F}"/>
    <cellStyle name="Comma 395 2 2 2 2" xfId="19316" xr:uid="{6F20C9AA-C5F1-4BA9-96BD-0D7E3E1659EF}"/>
    <cellStyle name="Comma 395 2 2 3" xfId="14141" xr:uid="{638975C3-34EF-41D8-A029-FAE55E0560E8}"/>
    <cellStyle name="Comma 395 2 3" xfId="6906" xr:uid="{D2B4168A-B60D-4000-B530-75335632AEE9}"/>
    <cellStyle name="Comma 395 2 3 2" xfId="17258" xr:uid="{DD17B0BA-F562-45CC-A35C-8978768E81C3}"/>
    <cellStyle name="Comma 395 2 4" xfId="12083" xr:uid="{4300A704-5B6D-4E40-90D4-583C2CFA5803}"/>
    <cellStyle name="Comma 395 3" xfId="2701" xr:uid="{FC08EAAE-FE1A-46F1-8C24-4475F7339C8C}"/>
    <cellStyle name="Comma 395 3 2" xfId="7934" xr:uid="{FED27580-48C8-444A-B53A-EEFAA6E07606}"/>
    <cellStyle name="Comma 395 3 2 2" xfId="18286" xr:uid="{21CAC0DA-A2BC-49AE-BEBD-1C5E0667AF38}"/>
    <cellStyle name="Comma 395 3 3" xfId="13111" xr:uid="{03DF9004-17ED-46C4-94DA-1963FE5A83C6}"/>
    <cellStyle name="Comma 395 4" xfId="4827" xr:uid="{2B79402F-1E4D-4527-97F4-544796FF45BC}"/>
    <cellStyle name="Comma 395 4 2" xfId="10003" xr:uid="{8D20EFC1-DA02-4AE4-A684-73C81F15CBE4}"/>
    <cellStyle name="Comma 395 4 2 2" xfId="20355" xr:uid="{C77AE7B3-A28B-41A2-AE0C-6C6E371AE243}"/>
    <cellStyle name="Comma 395 4 3" xfId="15179" xr:uid="{243A7BA4-C169-4A3E-B124-8775990F3DE9}"/>
    <cellStyle name="Comma 395 5" xfId="5875" xr:uid="{4291DB97-1CD8-40C8-A268-9D71D164313F}"/>
    <cellStyle name="Comma 395 5 2" xfId="16227" xr:uid="{DF4D80D2-703F-41F0-91A4-604B97F2C02C}"/>
    <cellStyle name="Comma 395 6" xfId="11053" xr:uid="{3E9F4D1A-5A1B-45D9-BD0C-F339D2A0B188}"/>
    <cellStyle name="Comma 396" xfId="636" xr:uid="{9DCC0496-094B-4238-9E04-2FD2FBF0B14F}"/>
    <cellStyle name="Comma 396 2" xfId="1674" xr:uid="{D9DDCE08-D769-4989-A170-CAA6D5813B01}"/>
    <cellStyle name="Comma 396 2 2" xfId="3732" xr:uid="{1E75FAD1-5D04-41B7-B563-C6C1F0577D0C}"/>
    <cellStyle name="Comma 396 2 2 2" xfId="8965" xr:uid="{7FBCEF61-601D-4F5E-AEE3-84C9D019A5C4}"/>
    <cellStyle name="Comma 396 2 2 2 2" xfId="19317" xr:uid="{9C3B1E39-90D4-471B-B5A1-6F764BBEF93E}"/>
    <cellStyle name="Comma 396 2 2 3" xfId="14142" xr:uid="{672BDEC7-B5A1-4111-845C-0FA860858169}"/>
    <cellStyle name="Comma 396 2 3" xfId="6907" xr:uid="{E81ACBF7-2D76-4044-97B7-F1240F7B5AAE}"/>
    <cellStyle name="Comma 396 2 3 2" xfId="17259" xr:uid="{60591049-098C-4079-A13E-19B676829420}"/>
    <cellStyle name="Comma 396 2 4" xfId="12084" xr:uid="{1D37E95D-8B91-496B-9E39-59472DD10CCE}"/>
    <cellStyle name="Comma 396 3" xfId="2702" xr:uid="{14A71C76-7CE5-455F-A8A5-D36D1B562F49}"/>
    <cellStyle name="Comma 396 3 2" xfId="7935" xr:uid="{B333AEE3-1F52-4E56-956B-9FF9AAD45EF6}"/>
    <cellStyle name="Comma 396 3 2 2" xfId="18287" xr:uid="{947E9D10-617A-4F31-8D2C-8B471672C877}"/>
    <cellStyle name="Comma 396 3 3" xfId="13112" xr:uid="{976EEEC0-228B-4429-8B32-972FBE9314FF}"/>
    <cellStyle name="Comma 396 4" xfId="4828" xr:uid="{8F9151FF-224E-4C8A-898E-B0C694ACDDFF}"/>
    <cellStyle name="Comma 396 4 2" xfId="10004" xr:uid="{D4484733-665F-4BD9-8C31-9E8A029EA417}"/>
    <cellStyle name="Comma 396 4 2 2" xfId="20356" xr:uid="{17870B72-439B-44B9-9FD8-37745EE2570E}"/>
    <cellStyle name="Comma 396 4 3" xfId="15180" xr:uid="{B8D651E0-85F0-4958-ABD6-B4AF81FD58D3}"/>
    <cellStyle name="Comma 396 5" xfId="5876" xr:uid="{3F06C0EC-F780-4D7F-BCD7-C2681873298F}"/>
    <cellStyle name="Comma 396 5 2" xfId="16228" xr:uid="{6238CC8B-815C-4337-9D1F-13FD505A3780}"/>
    <cellStyle name="Comma 396 6" xfId="11054" xr:uid="{B207633D-9F47-4C5E-BA92-F15F41264B3E}"/>
    <cellStyle name="Comma 397" xfId="637" xr:uid="{67A5422D-4F10-4D63-BF51-EC9099C325A8}"/>
    <cellStyle name="Comma 397 2" xfId="1675" xr:uid="{4CD49035-818F-44D4-8AEC-D8D774F287C2}"/>
    <cellStyle name="Comma 397 2 2" xfId="3733" xr:uid="{2C1E0D21-24C6-4DE9-B9A4-CB00D89FF0F8}"/>
    <cellStyle name="Comma 397 2 2 2" xfId="8966" xr:uid="{12995385-AD99-4CC4-8E53-9965B300AF28}"/>
    <cellStyle name="Comma 397 2 2 2 2" xfId="19318" xr:uid="{4AC33E8F-26E5-4675-91AD-6A607F400DFE}"/>
    <cellStyle name="Comma 397 2 2 3" xfId="14143" xr:uid="{71AE8E51-A93D-4E46-9776-7704ED5E50E5}"/>
    <cellStyle name="Comma 397 2 3" xfId="6908" xr:uid="{3A65FABD-30C3-494E-A1AC-B8415E7D5AAC}"/>
    <cellStyle name="Comma 397 2 3 2" xfId="17260" xr:uid="{CEC7CEEC-860F-40FD-8BD0-45D00312549A}"/>
    <cellStyle name="Comma 397 2 4" xfId="12085" xr:uid="{1B57FF5A-6F8F-4197-8BC5-784DEDBD7F00}"/>
    <cellStyle name="Comma 397 3" xfId="2703" xr:uid="{AE69C23F-BA12-4EB5-997F-3C55E5457D4C}"/>
    <cellStyle name="Comma 397 3 2" xfId="7936" xr:uid="{451CE67E-699B-4FD6-86F4-AE4336E2B9ED}"/>
    <cellStyle name="Comma 397 3 2 2" xfId="18288" xr:uid="{AF832025-D2D9-45AC-9401-E559068E17A7}"/>
    <cellStyle name="Comma 397 3 3" xfId="13113" xr:uid="{56668C85-9F87-4014-AA69-C37385CDC8F5}"/>
    <cellStyle name="Comma 397 4" xfId="4829" xr:uid="{37A7AD45-3386-457E-B9D2-A9448DB6E9E1}"/>
    <cellStyle name="Comma 397 4 2" xfId="10005" xr:uid="{F66391FF-47FB-4394-8DF9-DFB7995A00D1}"/>
    <cellStyle name="Comma 397 4 2 2" xfId="20357" xr:uid="{CF4FC81D-5C63-4D47-BA88-8CC1F1FE73EE}"/>
    <cellStyle name="Comma 397 4 3" xfId="15181" xr:uid="{C5017197-268A-4DC5-A6E8-0F885CBFCCB7}"/>
    <cellStyle name="Comma 397 5" xfId="5877" xr:uid="{F2F1982E-786A-4927-89FA-E3EDB90C8FE8}"/>
    <cellStyle name="Comma 397 5 2" xfId="16229" xr:uid="{EEAEB9A0-3710-4753-8461-D46CBCF0D247}"/>
    <cellStyle name="Comma 397 6" xfId="11055" xr:uid="{80794CD6-F720-4C43-AC10-1BB7DC0F8909}"/>
    <cellStyle name="Comma 398" xfId="638" xr:uid="{7B17D851-CD6A-494B-8FE9-81E833D3FAB8}"/>
    <cellStyle name="Comma 398 2" xfId="1676" xr:uid="{2679D250-810D-4D61-8949-10C8A6AFC1A0}"/>
    <cellStyle name="Comma 398 2 2" xfId="3734" xr:uid="{4CAE437C-4EB9-41E6-A35D-23B573AB3793}"/>
    <cellStyle name="Comma 398 2 2 2" xfId="8967" xr:uid="{4CFAD18F-1A28-4551-8EB3-85AD578A4F1F}"/>
    <cellStyle name="Comma 398 2 2 2 2" xfId="19319" xr:uid="{6736ADA5-82B8-4A7B-A306-B9620A88BF81}"/>
    <cellStyle name="Comma 398 2 2 3" xfId="14144" xr:uid="{C0C61764-CE64-4D10-B2C2-291414BBC496}"/>
    <cellStyle name="Comma 398 2 3" xfId="6909" xr:uid="{F19F832A-2A83-487C-9B5F-F92B3539685C}"/>
    <cellStyle name="Comma 398 2 3 2" xfId="17261" xr:uid="{1CBE4AAD-4403-4D9A-968E-CB7AAB04BF3F}"/>
    <cellStyle name="Comma 398 2 4" xfId="12086" xr:uid="{88505D50-0E5B-4723-8162-B86BEBC8BBAF}"/>
    <cellStyle name="Comma 398 3" xfId="2704" xr:uid="{EBF8DAEE-D064-45E3-AF23-F2A426A83BD6}"/>
    <cellStyle name="Comma 398 3 2" xfId="7937" xr:uid="{1C869D0A-78D4-4715-8967-4CCB06933592}"/>
    <cellStyle name="Comma 398 3 2 2" xfId="18289" xr:uid="{C31B7F14-B48B-458C-B92F-E7C5DF9619D3}"/>
    <cellStyle name="Comma 398 3 3" xfId="13114" xr:uid="{421740CB-40F2-4659-80A6-97E6D50096DC}"/>
    <cellStyle name="Comma 398 4" xfId="4830" xr:uid="{801FB0C4-19A6-4FE5-9D49-5B083569CD32}"/>
    <cellStyle name="Comma 398 4 2" xfId="10006" xr:uid="{0F52CEE7-1869-4CB2-ACF4-E7AFEDB37AB8}"/>
    <cellStyle name="Comma 398 4 2 2" xfId="20358" xr:uid="{E93D2A60-B59D-4FF5-834C-4F798AAF91E5}"/>
    <cellStyle name="Comma 398 4 3" xfId="15182" xr:uid="{3E939C8B-4B68-4E6D-AD91-B1C1CB1D2603}"/>
    <cellStyle name="Comma 398 5" xfId="5878" xr:uid="{7A8CC62F-9B00-4513-A9BF-FCC171051285}"/>
    <cellStyle name="Comma 398 5 2" xfId="16230" xr:uid="{496861D8-61D0-456B-8A7E-4C35DC2E600C}"/>
    <cellStyle name="Comma 398 6" xfId="11056" xr:uid="{DE4F7F5E-DC02-4118-8268-DAC76A043A9C}"/>
    <cellStyle name="Comma 399" xfId="639" xr:uid="{0AF64778-98BE-46DD-8A3D-0AB40F592B3D}"/>
    <cellStyle name="Comma 399 2" xfId="1677" xr:uid="{2543B63B-FC6A-4D25-8739-7CAAEBFDDB84}"/>
    <cellStyle name="Comma 399 2 2" xfId="3735" xr:uid="{EBADDB7D-CE84-41B6-9084-DF6A63B86996}"/>
    <cellStyle name="Comma 399 2 2 2" xfId="8968" xr:uid="{7E31E903-BE86-4DF9-884B-94C942AB6AD2}"/>
    <cellStyle name="Comma 399 2 2 2 2" xfId="19320" xr:uid="{D7D7E8A8-2A17-4527-A0AF-6B72B2019A8D}"/>
    <cellStyle name="Comma 399 2 2 3" xfId="14145" xr:uid="{91FB551A-7FD7-493B-AEEF-A8412D00075D}"/>
    <cellStyle name="Comma 399 2 3" xfId="6910" xr:uid="{83B423BF-8238-4A63-81A5-A5366CA10A8E}"/>
    <cellStyle name="Comma 399 2 3 2" xfId="17262" xr:uid="{6F088827-CA13-4426-848E-3AAE3E1431C7}"/>
    <cellStyle name="Comma 399 2 4" xfId="12087" xr:uid="{0FDCFCE6-87F0-45E0-8093-173DD35B6A00}"/>
    <cellStyle name="Comma 399 3" xfId="2705" xr:uid="{2D48ADE3-DFB1-4CB3-9991-EE995504121A}"/>
    <cellStyle name="Comma 399 3 2" xfId="7938" xr:uid="{30357BC9-FCC4-4407-896B-263722C4210D}"/>
    <cellStyle name="Comma 399 3 2 2" xfId="18290" xr:uid="{102BA76B-4BCA-4B7F-B9F8-E02530AD3668}"/>
    <cellStyle name="Comma 399 3 3" xfId="13115" xr:uid="{3B0F7CB2-91E4-4683-8F72-E3FD5CA01C7C}"/>
    <cellStyle name="Comma 399 4" xfId="4831" xr:uid="{AC3710DA-ACAB-4D7E-BE80-A436B08A21D5}"/>
    <cellStyle name="Comma 399 4 2" xfId="10007" xr:uid="{C0BDC881-D19A-4BB0-ADD8-177A438869BE}"/>
    <cellStyle name="Comma 399 4 2 2" xfId="20359" xr:uid="{CAAF66B8-0C95-4F47-95D1-2504A3326D9F}"/>
    <cellStyle name="Comma 399 4 3" xfId="15183" xr:uid="{F4DA176F-BCBD-4CF1-96D1-0B218292C35D}"/>
    <cellStyle name="Comma 399 5" xfId="5879" xr:uid="{B1185610-5747-4CFC-BD9F-1A67C8892B45}"/>
    <cellStyle name="Comma 399 5 2" xfId="16231" xr:uid="{31878B23-FAAA-4DEE-89C9-57F3CFFEDEEB}"/>
    <cellStyle name="Comma 399 6" xfId="11057" xr:uid="{FD3C3838-34F8-4108-B85F-2C05DB553DB0}"/>
    <cellStyle name="Comma 4" xfId="73" xr:uid="{B1EAF407-094A-4B5F-B240-2B5F3B9A8208}"/>
    <cellStyle name="Comma 4 2" xfId="74" xr:uid="{0BD1E936-928E-4A0D-8610-0C8332E30A6D}"/>
    <cellStyle name="Comma 4 2 2" xfId="1280" xr:uid="{0FBF2E9C-ABE5-4737-A02D-9607330B047B}"/>
    <cellStyle name="Comma 4 2 2 2" xfId="3338" xr:uid="{3ADE8B49-E00E-4644-9C55-32B0B4137237}"/>
    <cellStyle name="Comma 4 2 2 2 2" xfId="8571" xr:uid="{0326212C-0364-4C8C-BFD8-97C529DD36E7}"/>
    <cellStyle name="Comma 4 2 2 2 2 2" xfId="18923" xr:uid="{EFDEF434-6069-4361-96C9-407D233576BA}"/>
    <cellStyle name="Comma 4 2 2 2 3" xfId="13748" xr:uid="{D22CA11E-BEC3-4D10-A5AE-F1925AE5241E}"/>
    <cellStyle name="Comma 4 2 2 3" xfId="6513" xr:uid="{AB6ED8F4-234D-4243-A7EC-4F0D77D1BCE5}"/>
    <cellStyle name="Comma 4 2 2 3 2" xfId="16865" xr:uid="{191CF82A-F62D-4675-8DAC-68EE4696F5D2}"/>
    <cellStyle name="Comma 4 2 2 4" xfId="11690" xr:uid="{2B5A1875-9800-4CB9-B8A5-ACCBBBFC010A}"/>
    <cellStyle name="Comma 4 2 3" xfId="2308" xr:uid="{4300A57A-9FB4-4922-91A7-3A498F3F92FC}"/>
    <cellStyle name="Comma 4 2 3 2" xfId="7541" xr:uid="{3A47CA0B-BBEB-4354-89EF-7D6A833D55BE}"/>
    <cellStyle name="Comma 4 2 3 2 2" xfId="17893" xr:uid="{36ECC59A-83D0-4F56-9334-46E35A867C53}"/>
    <cellStyle name="Comma 4 2 3 3" xfId="12718" xr:uid="{C258BA69-17A4-439C-AE65-E9CE210BC958}"/>
    <cellStyle name="Comma 4 2 4" xfId="4434" xr:uid="{351AEE52-835B-4BD0-9788-46AA6920BECE}"/>
    <cellStyle name="Comma 4 2 4 2" xfId="9610" xr:uid="{2E977BAE-B405-48CF-B40F-AB43A4ADC9C2}"/>
    <cellStyle name="Comma 4 2 4 2 2" xfId="19962" xr:uid="{46E742EB-6A45-4925-93EF-51B89C6BEAED}"/>
    <cellStyle name="Comma 4 2 4 3" xfId="14786" xr:uid="{995A6E01-19FA-4FD1-9851-B92079BF93BB}"/>
    <cellStyle name="Comma 4 2 5" xfId="5481" xr:uid="{25A7518C-B53F-4418-8EB6-57B84B156B98}"/>
    <cellStyle name="Comma 4 2 5 2" xfId="15833" xr:uid="{B25148BD-81F1-428E-8AF7-6BD91080B5E1}"/>
    <cellStyle name="Comma 4 2 6" xfId="10660" xr:uid="{E7A04800-E4EE-46BB-9B5F-2D72BD6F5334}"/>
    <cellStyle name="Comma 4 3" xfId="1279" xr:uid="{CBA83BAA-19D5-43D5-9223-5071080C7B00}"/>
    <cellStyle name="Comma 4 3 2" xfId="3337" xr:uid="{70B90584-2002-4C1C-B823-26267CA9EF1A}"/>
    <cellStyle name="Comma 4 3 2 2" xfId="8570" xr:uid="{EFDE6739-563B-48F6-B745-27AB19B64E03}"/>
    <cellStyle name="Comma 4 3 2 2 2" xfId="18922" xr:uid="{9B427F6C-4B97-4B3E-B426-FF9BCF6AD35C}"/>
    <cellStyle name="Comma 4 3 2 3" xfId="13747" xr:uid="{FF66B79C-AE34-4600-84F9-30DA4997E4BD}"/>
    <cellStyle name="Comma 4 3 3" xfId="6512" xr:uid="{F01D80AE-92ED-4275-BA74-DC0A07223165}"/>
    <cellStyle name="Comma 4 3 3 2" xfId="16864" xr:uid="{2537D534-8B05-459C-976F-7A101F0E992E}"/>
    <cellStyle name="Comma 4 3 4" xfId="11689" xr:uid="{F3FA9BFB-8A23-4A2B-BECA-4EB070F23B9F}"/>
    <cellStyle name="Comma 4 4" xfId="2307" xr:uid="{A5F3BE57-7C6D-477F-8DCE-AB5480EB3DEB}"/>
    <cellStyle name="Comma 4 4 2" xfId="7540" xr:uid="{0AD2C1CA-89F1-4809-B888-5077F214C3CE}"/>
    <cellStyle name="Comma 4 4 2 2" xfId="17892" xr:uid="{5DD906C6-AD2A-4861-9455-E1DE51898B26}"/>
    <cellStyle name="Comma 4 4 3" xfId="12717" xr:uid="{D4B24AF8-AA67-4F49-8036-65102597CE48}"/>
    <cellStyle name="Comma 4 5" xfId="4433" xr:uid="{58D3B546-94B0-4D0C-BA0A-01715240250E}"/>
    <cellStyle name="Comma 4 5 2" xfId="9609" xr:uid="{BF779286-5E7C-4B76-882A-86E74E220840}"/>
    <cellStyle name="Comma 4 5 2 2" xfId="19961" xr:uid="{71CE5E85-7D19-423D-9FB6-45B53CD34457}"/>
    <cellStyle name="Comma 4 5 3" xfId="14785" xr:uid="{7D867D3E-37B7-4DD6-90CF-D3676A2C2290}"/>
    <cellStyle name="Comma 4 6" xfId="5480" xr:uid="{184690C8-6908-4EF2-8E7C-040FCE6AC5F2}"/>
    <cellStyle name="Comma 4 6 2" xfId="15832" xr:uid="{754A9A9E-DC9C-4616-AFB6-0809C9EAE1EF}"/>
    <cellStyle name="Comma 4 7" xfId="10659" xr:uid="{D9C6F164-6372-416A-B70B-8A6693EFE16E}"/>
    <cellStyle name="Comma 40" xfId="240" xr:uid="{5D040D27-4D90-41AB-93E7-96A96C8C3585}"/>
    <cellStyle name="Comma 40 2" xfId="1318" xr:uid="{2A143359-4AEA-494D-AF03-3AD666BA5FD0}"/>
    <cellStyle name="Comma 40 2 2" xfId="3376" xr:uid="{D6009892-6AE2-423E-A59E-ACC87154F3AC}"/>
    <cellStyle name="Comma 40 2 2 2" xfId="8609" xr:uid="{458D9757-CD7B-4B82-8B48-C2F4F8DBC89B}"/>
    <cellStyle name="Comma 40 2 2 2 2" xfId="18961" xr:uid="{FB28C06C-2B75-489C-8606-F05DD0477062}"/>
    <cellStyle name="Comma 40 2 2 3" xfId="13786" xr:uid="{875B0B52-0F52-4C80-AB48-ECBF61ABF738}"/>
    <cellStyle name="Comma 40 2 3" xfId="6551" xr:uid="{4A9561A4-E49E-46B8-8FDC-542AE856F6A1}"/>
    <cellStyle name="Comma 40 2 3 2" xfId="16903" xr:uid="{F34A18D5-FCFD-4935-97A0-3DEC147D25F9}"/>
    <cellStyle name="Comma 40 2 4" xfId="11728" xr:uid="{DA47490A-6647-46CB-9968-9D0671EBB5EA}"/>
    <cellStyle name="Comma 40 3" xfId="2346" xr:uid="{9033F154-0799-4C87-B812-4F2FC3266EB7}"/>
    <cellStyle name="Comma 40 3 2" xfId="7579" xr:uid="{7B2B0095-4FB1-4FB0-A9DE-1E56A0455874}"/>
    <cellStyle name="Comma 40 3 2 2" xfId="17931" xr:uid="{B522B3E4-C0F1-44CC-92DA-6C188C7458C2}"/>
    <cellStyle name="Comma 40 3 3" xfId="12756" xr:uid="{FC035950-5EB9-4844-AD5D-A6F0015A94E5}"/>
    <cellStyle name="Comma 40 4" xfId="4472" xr:uid="{89F4EB85-04A3-4266-82B9-39CB22D08D1C}"/>
    <cellStyle name="Comma 40 4 2" xfId="9648" xr:uid="{7CA118F7-978A-48D1-8A72-64EC2A2D8847}"/>
    <cellStyle name="Comma 40 4 2 2" xfId="20000" xr:uid="{5309C8E2-E739-43F5-9583-47AFA06F9C27}"/>
    <cellStyle name="Comma 40 4 3" xfId="14824" xr:uid="{CB3971C6-E5DA-4349-A7F8-A8B1C6AED66A}"/>
    <cellStyle name="Comma 40 5" xfId="5520" xr:uid="{314446D6-1172-4517-B286-374E760B1E1A}"/>
    <cellStyle name="Comma 40 5 2" xfId="15872" xr:uid="{436B1F25-364D-42A7-A6A5-80657ABEB684}"/>
    <cellStyle name="Comma 40 6" xfId="10698" xr:uid="{B78D92DD-971B-4C07-AC93-8D0E25EC938F}"/>
    <cellStyle name="Comma 400" xfId="640" xr:uid="{2355B916-85CC-4B41-9B3E-976DC42966C6}"/>
    <cellStyle name="Comma 400 2" xfId="1678" xr:uid="{6AC22C0D-A3D3-48A3-879F-7F25504D0108}"/>
    <cellStyle name="Comma 400 2 2" xfId="3736" xr:uid="{1DE18AE9-AFF1-4A71-ADE0-7971C35B5D81}"/>
    <cellStyle name="Comma 400 2 2 2" xfId="8969" xr:uid="{3E923CE4-A37D-4E23-A94B-F5421DB160EA}"/>
    <cellStyle name="Comma 400 2 2 2 2" xfId="19321" xr:uid="{1253DD88-305B-40AB-B6AC-E27306E58E09}"/>
    <cellStyle name="Comma 400 2 2 3" xfId="14146" xr:uid="{DD0500D4-261E-490D-ADE8-B697B4605E0C}"/>
    <cellStyle name="Comma 400 2 3" xfId="6911" xr:uid="{4D92A645-E14A-4DE6-BD6B-9867CDFB5272}"/>
    <cellStyle name="Comma 400 2 3 2" xfId="17263" xr:uid="{506E9E9D-5A36-4E25-ADA8-B735BD56B1FB}"/>
    <cellStyle name="Comma 400 2 4" xfId="12088" xr:uid="{5F465D63-6BBA-4F94-AFB6-A06FE20DA561}"/>
    <cellStyle name="Comma 400 3" xfId="2706" xr:uid="{5F41C4F1-BBE8-4A9B-93CD-4D9DAC083568}"/>
    <cellStyle name="Comma 400 3 2" xfId="7939" xr:uid="{CB9F5F56-E5B3-4FA4-A019-03AEEA182947}"/>
    <cellStyle name="Comma 400 3 2 2" xfId="18291" xr:uid="{7F68C12D-BA51-440B-A91D-679A78EE8FF6}"/>
    <cellStyle name="Comma 400 3 3" xfId="13116" xr:uid="{7BBE366B-C210-44C2-988A-C9A31DB543EB}"/>
    <cellStyle name="Comma 400 4" xfId="4832" xr:uid="{5DEDD15F-FCDB-4B17-9AF2-D3A43F4F4A38}"/>
    <cellStyle name="Comma 400 4 2" xfId="10008" xr:uid="{05AE7644-D386-4569-ACD3-C370E2CBDD4F}"/>
    <cellStyle name="Comma 400 4 2 2" xfId="20360" xr:uid="{F2B6972B-6C48-4890-8EA6-65242C42D200}"/>
    <cellStyle name="Comma 400 4 3" xfId="15184" xr:uid="{52BC9172-5280-450F-8C66-498EC1B6AE9A}"/>
    <cellStyle name="Comma 400 5" xfId="5880" xr:uid="{C7743FC7-E70B-4AFC-81C4-88C11EDA8EAA}"/>
    <cellStyle name="Comma 400 5 2" xfId="16232" xr:uid="{4ECB4649-F021-4F88-A23F-2048608F755B}"/>
    <cellStyle name="Comma 400 6" xfId="11058" xr:uid="{FE36D661-D9FE-4654-8DDA-CB4B8C7ED6B1}"/>
    <cellStyle name="Comma 401" xfId="641" xr:uid="{CF61FBE5-9770-46BC-A80D-244D0661A457}"/>
    <cellStyle name="Comma 401 2" xfId="1679" xr:uid="{DADAB27E-565D-489D-8821-1B66B9628220}"/>
    <cellStyle name="Comma 401 2 2" xfId="3737" xr:uid="{718C1F06-B97E-4136-9552-4D920D7D7C4D}"/>
    <cellStyle name="Comma 401 2 2 2" xfId="8970" xr:uid="{137136D3-411A-4807-9B06-E80CB9876801}"/>
    <cellStyle name="Comma 401 2 2 2 2" xfId="19322" xr:uid="{661031FB-E0C8-4444-A74E-21E09157BB80}"/>
    <cellStyle name="Comma 401 2 2 3" xfId="14147" xr:uid="{29B3140B-8540-4DDC-82ED-572DEA824B1F}"/>
    <cellStyle name="Comma 401 2 3" xfId="6912" xr:uid="{F8ABAE6D-438A-428D-8897-1BD3B24AC131}"/>
    <cellStyle name="Comma 401 2 3 2" xfId="17264" xr:uid="{231ECF3E-8D53-44A7-BF0A-AC5E62E8D92D}"/>
    <cellStyle name="Comma 401 2 4" xfId="12089" xr:uid="{B5BB99F3-871E-4DAB-A8D4-EE607870B2C9}"/>
    <cellStyle name="Comma 401 3" xfId="2707" xr:uid="{819325B7-5E0A-454B-8381-30A7F4F3A60C}"/>
    <cellStyle name="Comma 401 3 2" xfId="7940" xr:uid="{E527675E-7C3F-4C53-A8FD-830027519784}"/>
    <cellStyle name="Comma 401 3 2 2" xfId="18292" xr:uid="{C80102BD-9C4D-4148-918F-EF535570969A}"/>
    <cellStyle name="Comma 401 3 3" xfId="13117" xr:uid="{B72A929B-08EF-4680-9EE6-EEE32A543F00}"/>
    <cellStyle name="Comma 401 4" xfId="4833" xr:uid="{57785EC4-D9C9-45C3-AC18-51F2920FE4A6}"/>
    <cellStyle name="Comma 401 4 2" xfId="10009" xr:uid="{F3870835-4923-489C-9BB8-FCD93A664DF7}"/>
    <cellStyle name="Comma 401 4 2 2" xfId="20361" xr:uid="{BAF21A0A-F601-46A9-8F68-13D37E932C7B}"/>
    <cellStyle name="Comma 401 4 3" xfId="15185" xr:uid="{2B5F5CBC-D751-4B11-AD92-FD3AF4DE2D95}"/>
    <cellStyle name="Comma 401 5" xfId="5881" xr:uid="{914BB3D2-871C-4B9F-8A8B-07D29CFB0DA4}"/>
    <cellStyle name="Comma 401 5 2" xfId="16233" xr:uid="{C976D1ED-D5F7-45FB-838E-FC349D6FBF79}"/>
    <cellStyle name="Comma 401 6" xfId="11059" xr:uid="{6D2B07F7-6003-4B5C-AB72-195C4C3360CE}"/>
    <cellStyle name="Comma 402" xfId="642" xr:uid="{17EB851A-C13D-41D6-9AE2-9E3AD6D516C5}"/>
    <cellStyle name="Comma 402 2" xfId="1680" xr:uid="{4B9150CC-F0AB-4EDD-94A3-5D7A507C8628}"/>
    <cellStyle name="Comma 402 2 2" xfId="3738" xr:uid="{90BFC8D9-F8B6-42E9-8338-CFAECFB11086}"/>
    <cellStyle name="Comma 402 2 2 2" xfId="8971" xr:uid="{CFA5E1D6-82FD-4624-BACD-B890FBE8130D}"/>
    <cellStyle name="Comma 402 2 2 2 2" xfId="19323" xr:uid="{01177EBD-B55D-4DB4-BDCD-D9403B612783}"/>
    <cellStyle name="Comma 402 2 2 3" xfId="14148" xr:uid="{63F4E47B-62E7-450F-B5A4-6CE1096C37DB}"/>
    <cellStyle name="Comma 402 2 3" xfId="6913" xr:uid="{69449B86-E161-419A-9895-9B0882BF5C68}"/>
    <cellStyle name="Comma 402 2 3 2" xfId="17265" xr:uid="{246451EB-8ABA-4164-B7DB-D35C3BA5EA15}"/>
    <cellStyle name="Comma 402 2 4" xfId="12090" xr:uid="{BFEB9488-B564-42B5-86ED-0C2C271EC498}"/>
    <cellStyle name="Comma 402 3" xfId="2708" xr:uid="{051A2204-6B60-43F6-BEA2-94BCE492B4DD}"/>
    <cellStyle name="Comma 402 3 2" xfId="7941" xr:uid="{17004961-14E1-4A98-9DEF-2F44EF96CAF3}"/>
    <cellStyle name="Comma 402 3 2 2" xfId="18293" xr:uid="{54A4F07D-FC5A-46C7-86F3-737A5B04E61E}"/>
    <cellStyle name="Comma 402 3 3" xfId="13118" xr:uid="{A027F4D6-0669-4A0E-848F-BAC62749971A}"/>
    <cellStyle name="Comma 402 4" xfId="4834" xr:uid="{FB511F9B-5EE3-4D2E-BFAC-70F57DF6CBFD}"/>
    <cellStyle name="Comma 402 4 2" xfId="10010" xr:uid="{6E8B5E1B-3EFA-4396-A4C4-061666E96054}"/>
    <cellStyle name="Comma 402 4 2 2" xfId="20362" xr:uid="{3987549A-06AB-49E0-B13D-3DD40299A06A}"/>
    <cellStyle name="Comma 402 4 3" xfId="15186" xr:uid="{BCF41B15-2AAA-44B8-855E-0E0BFDE53CE1}"/>
    <cellStyle name="Comma 402 5" xfId="5882" xr:uid="{953549E1-F0A9-442D-A926-C2698175691F}"/>
    <cellStyle name="Comma 402 5 2" xfId="16234" xr:uid="{F30BF244-75F4-4A21-A174-48BA72BFAFD0}"/>
    <cellStyle name="Comma 402 6" xfId="11060" xr:uid="{E27553D6-A528-48E9-92CF-1DA820149E5A}"/>
    <cellStyle name="Comma 403" xfId="643" xr:uid="{33650035-56BA-47BB-A636-3FAEDD0A4C4C}"/>
    <cellStyle name="Comma 403 2" xfId="1681" xr:uid="{606D1010-79F5-4ECB-B0B8-F70AAC854580}"/>
    <cellStyle name="Comma 403 2 2" xfId="3739" xr:uid="{CEC1C52D-7C56-4C9A-B1A1-6FA3D0649471}"/>
    <cellStyle name="Comma 403 2 2 2" xfId="8972" xr:uid="{A45DDCDE-D073-41EA-9A40-C780689E0A64}"/>
    <cellStyle name="Comma 403 2 2 2 2" xfId="19324" xr:uid="{ED650D4C-90DC-4DC4-82DC-5CF664FD637C}"/>
    <cellStyle name="Comma 403 2 2 3" xfId="14149" xr:uid="{7F36F430-25F3-4E52-BFB1-CB96167656B9}"/>
    <cellStyle name="Comma 403 2 3" xfId="6914" xr:uid="{BCEE261F-71D3-4215-B37A-6168DC4B241F}"/>
    <cellStyle name="Comma 403 2 3 2" xfId="17266" xr:uid="{967A270A-E544-4734-B23B-89BEF8453E1B}"/>
    <cellStyle name="Comma 403 2 4" xfId="12091" xr:uid="{6A603D25-1266-4253-B220-7E488490F9F3}"/>
    <cellStyle name="Comma 403 3" xfId="2709" xr:uid="{AE36826C-748E-41F8-BF77-3AA4223E4255}"/>
    <cellStyle name="Comma 403 3 2" xfId="7942" xr:uid="{2B39AE91-46F5-48B4-AD00-D81B739308FF}"/>
    <cellStyle name="Comma 403 3 2 2" xfId="18294" xr:uid="{7E97C534-82ED-4201-A28E-A8B58E683936}"/>
    <cellStyle name="Comma 403 3 3" xfId="13119" xr:uid="{73905C8A-7F2A-4052-9429-6C6652126A98}"/>
    <cellStyle name="Comma 403 4" xfId="4835" xr:uid="{072E64AA-1308-42C8-B46A-5CD8E0688ADD}"/>
    <cellStyle name="Comma 403 4 2" xfId="10011" xr:uid="{D5B81983-E34F-4AD7-B87B-85B458D1661C}"/>
    <cellStyle name="Comma 403 4 2 2" xfId="20363" xr:uid="{3979289D-F2F8-43DD-8B20-8D6120D3ADEB}"/>
    <cellStyle name="Comma 403 4 3" xfId="15187" xr:uid="{9F643ABC-32D7-46D0-9036-04E54F912895}"/>
    <cellStyle name="Comma 403 5" xfId="5883" xr:uid="{53BA544D-A627-47DC-9580-D8FEB857595A}"/>
    <cellStyle name="Comma 403 5 2" xfId="16235" xr:uid="{710587B9-5F53-486A-B481-FB2FA1855F7D}"/>
    <cellStyle name="Comma 403 6" xfId="11061" xr:uid="{E50FF0F5-6BEA-47EE-8828-AB23DFE9B0EB}"/>
    <cellStyle name="Comma 404" xfId="644" xr:uid="{248F4A9C-8F8C-4E7C-8174-0FD016477FD6}"/>
    <cellStyle name="Comma 404 2" xfId="1682" xr:uid="{03CC0C67-B656-44D2-ADF6-DE79F2574FF6}"/>
    <cellStyle name="Comma 404 2 2" xfId="3740" xr:uid="{05692D63-41E5-42DE-977C-7C138659CA99}"/>
    <cellStyle name="Comma 404 2 2 2" xfId="8973" xr:uid="{C50A11CB-8EB1-4527-90A8-F2F1BC2F61A3}"/>
    <cellStyle name="Comma 404 2 2 2 2" xfId="19325" xr:uid="{8029DC52-6E77-44FA-AF3B-D8F206D466F4}"/>
    <cellStyle name="Comma 404 2 2 3" xfId="14150" xr:uid="{4C07637E-F83D-472D-B75C-2B1B296DB9A6}"/>
    <cellStyle name="Comma 404 2 3" xfId="6915" xr:uid="{09060DD6-BF11-4968-949F-194664B8C590}"/>
    <cellStyle name="Comma 404 2 3 2" xfId="17267" xr:uid="{874B8EF7-2EE3-4674-AB78-52A30E7E5BA8}"/>
    <cellStyle name="Comma 404 2 4" xfId="12092" xr:uid="{05F2F7DD-557B-409A-B793-0DA24EE4D458}"/>
    <cellStyle name="Comma 404 3" xfId="2710" xr:uid="{73479C8A-08A6-499E-BCFF-F2C140B4A3DB}"/>
    <cellStyle name="Comma 404 3 2" xfId="7943" xr:uid="{C34090F1-C69F-4B12-81FC-30A4AC36F7DA}"/>
    <cellStyle name="Comma 404 3 2 2" xfId="18295" xr:uid="{14B024AB-0C3C-41AA-91D9-A9C13D8CF058}"/>
    <cellStyle name="Comma 404 3 3" xfId="13120" xr:uid="{96ACB74C-1CC9-44F8-9FCB-E9DFE825C7E6}"/>
    <cellStyle name="Comma 404 4" xfId="4836" xr:uid="{3FB4C1BC-8137-4A46-B271-27001A588F9B}"/>
    <cellStyle name="Comma 404 4 2" xfId="10012" xr:uid="{13BC4507-7394-48C1-B87D-18669A316A42}"/>
    <cellStyle name="Comma 404 4 2 2" xfId="20364" xr:uid="{E47C39D2-3785-4759-9974-7890803DCE22}"/>
    <cellStyle name="Comma 404 4 3" xfId="15188" xr:uid="{F89E1DBE-D33E-44F5-B2A1-6BB18166A7DB}"/>
    <cellStyle name="Comma 404 5" xfId="5884" xr:uid="{2DE6E1DE-C54E-4EC1-8C7C-BEE026F80FC1}"/>
    <cellStyle name="Comma 404 5 2" xfId="16236" xr:uid="{EF30900C-F407-42D8-96E3-2BCEB09F3BE9}"/>
    <cellStyle name="Comma 404 6" xfId="11062" xr:uid="{F6ECAC64-7BED-4DF9-9147-2B78F699C908}"/>
    <cellStyle name="Comma 405" xfId="645" xr:uid="{9A6533F4-AE2F-4C74-BA46-AA4779848CCA}"/>
    <cellStyle name="Comma 405 2" xfId="1683" xr:uid="{54DDC65E-3FE7-493E-805C-B07966E71B26}"/>
    <cellStyle name="Comma 405 2 2" xfId="3741" xr:uid="{B93CBA8E-4AEE-4DD3-B9D7-2DB1E974669B}"/>
    <cellStyle name="Comma 405 2 2 2" xfId="8974" xr:uid="{60CFE7E8-FCF2-49B9-A9F6-8DEB3CA44BAC}"/>
    <cellStyle name="Comma 405 2 2 2 2" xfId="19326" xr:uid="{9CF45CAA-3084-48C8-AA52-8F9AADCC4EA5}"/>
    <cellStyle name="Comma 405 2 2 3" xfId="14151" xr:uid="{80C7C5BB-B0CC-4EBC-BBEB-2370CCD43514}"/>
    <cellStyle name="Comma 405 2 3" xfId="6916" xr:uid="{8AE3A759-2C74-4949-84F6-6195FD10AD45}"/>
    <cellStyle name="Comma 405 2 3 2" xfId="17268" xr:uid="{BF1543B3-0068-4CF6-A049-8260F4BAC1A6}"/>
    <cellStyle name="Comma 405 2 4" xfId="12093" xr:uid="{B44B15A4-7C4A-457C-B6F5-87C20182265E}"/>
    <cellStyle name="Comma 405 3" xfId="2711" xr:uid="{715CBC8E-CB76-47C8-A72B-7C355ECBA9D5}"/>
    <cellStyle name="Comma 405 3 2" xfId="7944" xr:uid="{E1BD40B0-12E2-4F31-BC1A-8E6C04363B62}"/>
    <cellStyle name="Comma 405 3 2 2" xfId="18296" xr:uid="{37835929-F78F-43E1-8148-17A87C3CC896}"/>
    <cellStyle name="Comma 405 3 3" xfId="13121" xr:uid="{5233BBC1-E0BE-483A-A4FC-7F448C9018FA}"/>
    <cellStyle name="Comma 405 4" xfId="4837" xr:uid="{8E83757B-E034-44AA-A427-0D9816332FBD}"/>
    <cellStyle name="Comma 405 4 2" xfId="10013" xr:uid="{3D0B0EA3-E394-41E7-A8AB-E446DAC830D1}"/>
    <cellStyle name="Comma 405 4 2 2" xfId="20365" xr:uid="{5F12EB1E-58F5-4431-9FF3-1B7913F3E136}"/>
    <cellStyle name="Comma 405 4 3" xfId="15189" xr:uid="{CA33D4ED-759C-4765-8774-03437B7CE6DF}"/>
    <cellStyle name="Comma 405 5" xfId="5885" xr:uid="{5A117FBF-CE2C-4BA5-840A-35D5C4295F44}"/>
    <cellStyle name="Comma 405 5 2" xfId="16237" xr:uid="{39331F7E-E621-43DF-A9FE-7363B8D23767}"/>
    <cellStyle name="Comma 405 6" xfId="11063" xr:uid="{56AA618D-EBD6-43CF-AE53-53F361F06497}"/>
    <cellStyle name="Comma 406" xfId="646" xr:uid="{C62801E3-3CE0-468D-8D5E-E2DD9663BB48}"/>
    <cellStyle name="Comma 406 2" xfId="1684" xr:uid="{58EDFFB0-EF86-468D-9A00-E769450779E7}"/>
    <cellStyle name="Comma 406 2 2" xfId="3742" xr:uid="{9ADE5C33-7486-4F15-93E5-DBDDFBB9F16F}"/>
    <cellStyle name="Comma 406 2 2 2" xfId="8975" xr:uid="{EC2E29E8-5FDB-4711-B8E8-5E3CD846DE97}"/>
    <cellStyle name="Comma 406 2 2 2 2" xfId="19327" xr:uid="{AE0DF44D-448F-4799-ACBE-E496980BB62B}"/>
    <cellStyle name="Comma 406 2 2 3" xfId="14152" xr:uid="{FCB40DB1-8393-4D4F-80F9-FFE86C4D816C}"/>
    <cellStyle name="Comma 406 2 3" xfId="6917" xr:uid="{91EF5F31-63BA-43ED-B1E7-1C641BEB6A04}"/>
    <cellStyle name="Comma 406 2 3 2" xfId="17269" xr:uid="{D990B31D-F8AA-4FDE-B682-846E5A2CE7F5}"/>
    <cellStyle name="Comma 406 2 4" xfId="12094" xr:uid="{AF340E4A-31CC-4FED-9511-57468D82FB44}"/>
    <cellStyle name="Comma 406 3" xfId="2712" xr:uid="{D151796B-86A2-4451-9EE4-4E88E6FE7728}"/>
    <cellStyle name="Comma 406 3 2" xfId="7945" xr:uid="{6CD53662-D3B6-4621-B3EC-384F9CA066C0}"/>
    <cellStyle name="Comma 406 3 2 2" xfId="18297" xr:uid="{A202CBF6-38CF-45C5-BC60-2B7E51410433}"/>
    <cellStyle name="Comma 406 3 3" xfId="13122" xr:uid="{22EF4E0D-D719-4D25-BBBB-7F7B70D97548}"/>
    <cellStyle name="Comma 406 4" xfId="4838" xr:uid="{B83A243E-994A-4C1B-AB7D-ED8838A4DC2F}"/>
    <cellStyle name="Comma 406 4 2" xfId="10014" xr:uid="{30EA759F-F7D0-4767-BBDA-2AD239F6A071}"/>
    <cellStyle name="Comma 406 4 2 2" xfId="20366" xr:uid="{993E68B5-E4AD-4326-8D11-39D66BC8BED2}"/>
    <cellStyle name="Comma 406 4 3" xfId="15190" xr:uid="{34336101-E09D-41EE-89F9-C26644FF0489}"/>
    <cellStyle name="Comma 406 5" xfId="5886" xr:uid="{556F0655-23D5-4A5B-B74E-730F724C9BF5}"/>
    <cellStyle name="Comma 406 5 2" xfId="16238" xr:uid="{8605FD59-5CC9-4A24-AC39-13ED7A81EFCF}"/>
    <cellStyle name="Comma 406 6" xfId="11064" xr:uid="{443381B7-9E03-4D1E-A725-8D8E4159156E}"/>
    <cellStyle name="Comma 407" xfId="647" xr:uid="{EA7657CC-C183-438E-8321-5CFA3E6BB932}"/>
    <cellStyle name="Comma 407 2" xfId="1685" xr:uid="{FF40105D-6113-47BE-AEC4-67EBFF746B73}"/>
    <cellStyle name="Comma 407 2 2" xfId="3743" xr:uid="{236BC019-20D1-4894-8B40-691BA6068A7E}"/>
    <cellStyle name="Comma 407 2 2 2" xfId="8976" xr:uid="{A34ABF02-DC18-4200-9955-C571D4314764}"/>
    <cellStyle name="Comma 407 2 2 2 2" xfId="19328" xr:uid="{ACAA9AF2-4D67-4D62-8254-5D0C4C34CA32}"/>
    <cellStyle name="Comma 407 2 2 3" xfId="14153" xr:uid="{7425C4DE-D3C9-498D-A643-CD2EBFC67A88}"/>
    <cellStyle name="Comma 407 2 3" xfId="6918" xr:uid="{0334AAA0-865D-4D33-8257-8A28F300262A}"/>
    <cellStyle name="Comma 407 2 3 2" xfId="17270" xr:uid="{DFD92441-BBF4-4496-950B-F70B9AD439C3}"/>
    <cellStyle name="Comma 407 2 4" xfId="12095" xr:uid="{D262E0BA-AAB3-4D6D-888A-4A3464387A35}"/>
    <cellStyle name="Comma 407 3" xfId="2713" xr:uid="{994BB5D0-F963-49D8-B70E-49FC9F5334A7}"/>
    <cellStyle name="Comma 407 3 2" xfId="7946" xr:uid="{4C5F08B9-ED6D-476C-841E-A438FDF1CF05}"/>
    <cellStyle name="Comma 407 3 2 2" xfId="18298" xr:uid="{52ABFD0D-2E74-4E46-99A1-20EC2957EF51}"/>
    <cellStyle name="Comma 407 3 3" xfId="13123" xr:uid="{635E19D1-FCB8-4764-A0EA-67443837682F}"/>
    <cellStyle name="Comma 407 4" xfId="4839" xr:uid="{3B2B73AE-4A44-4443-8F2B-DB27D02457FD}"/>
    <cellStyle name="Comma 407 4 2" xfId="10015" xr:uid="{5DE1E4FF-F085-435C-A03C-ACC74901C2BC}"/>
    <cellStyle name="Comma 407 4 2 2" xfId="20367" xr:uid="{3D6263E1-13C6-426D-88B3-C4D7CEC11128}"/>
    <cellStyle name="Comma 407 4 3" xfId="15191" xr:uid="{674369FB-FA22-43EB-9C0E-71A6FA2382FE}"/>
    <cellStyle name="Comma 407 5" xfId="5887" xr:uid="{9A2BF22C-3DCC-4BBA-9255-A02E8446F1CE}"/>
    <cellStyle name="Comma 407 5 2" xfId="16239" xr:uid="{5D1FFF7E-2624-4A55-9E32-4946EA156F6E}"/>
    <cellStyle name="Comma 407 6" xfId="11065" xr:uid="{191FCD5C-77C5-4E2C-96D6-D48C5A7C0BFD}"/>
    <cellStyle name="Comma 408" xfId="648" xr:uid="{9CF50487-CCF3-4F08-B4E6-326E18BAB50F}"/>
    <cellStyle name="Comma 408 2" xfId="1686" xr:uid="{4709B764-54B5-41C3-B53A-C650B8916430}"/>
    <cellStyle name="Comma 408 2 2" xfId="3744" xr:uid="{EA117A66-0DB1-4640-935A-7FD93EFC2528}"/>
    <cellStyle name="Comma 408 2 2 2" xfId="8977" xr:uid="{8B5BDC88-F5BE-4EF0-96FD-8B0EE00374E3}"/>
    <cellStyle name="Comma 408 2 2 2 2" xfId="19329" xr:uid="{D96E6686-D741-402C-A09E-C8B69DFF055F}"/>
    <cellStyle name="Comma 408 2 2 3" xfId="14154" xr:uid="{844A004E-1EF0-4761-861E-F97E5A0889D2}"/>
    <cellStyle name="Comma 408 2 3" xfId="6919" xr:uid="{5DCBA8BB-958F-4C0A-8151-DB4A72FE9F16}"/>
    <cellStyle name="Comma 408 2 3 2" xfId="17271" xr:uid="{9DF4EB8E-0125-4F87-B955-61C80CB85540}"/>
    <cellStyle name="Comma 408 2 4" xfId="12096" xr:uid="{C8ABEE19-2027-47CC-AA70-63A9C2B68291}"/>
    <cellStyle name="Comma 408 3" xfId="2714" xr:uid="{349F763B-15AE-4C90-A1A9-01CE77866B5C}"/>
    <cellStyle name="Comma 408 3 2" xfId="7947" xr:uid="{91352153-2DA7-4DCA-AC3C-30C7EFDA0F34}"/>
    <cellStyle name="Comma 408 3 2 2" xfId="18299" xr:uid="{E7D56B55-3757-4EAB-B0D7-FEFD04F8A605}"/>
    <cellStyle name="Comma 408 3 3" xfId="13124" xr:uid="{952A7265-A4DD-4F75-BFDF-041A32D86BD3}"/>
    <cellStyle name="Comma 408 4" xfId="4840" xr:uid="{926FE6AE-D98E-4CA2-8921-DC9802C0F117}"/>
    <cellStyle name="Comma 408 4 2" xfId="10016" xr:uid="{C1E51EDD-9E44-483C-A9AA-DC7559269829}"/>
    <cellStyle name="Comma 408 4 2 2" xfId="20368" xr:uid="{03FDB935-9E00-4F67-A9D5-3CF9BD695FDA}"/>
    <cellStyle name="Comma 408 4 3" xfId="15192" xr:uid="{E170D50E-5127-4ECE-88D0-FB9DC4E5E4F0}"/>
    <cellStyle name="Comma 408 5" xfId="5888" xr:uid="{F1F5B9C7-5720-4EF4-A7D7-793A8220107E}"/>
    <cellStyle name="Comma 408 5 2" xfId="16240" xr:uid="{322FE48A-70D2-40FC-BEB1-F2001258B7A4}"/>
    <cellStyle name="Comma 408 6" xfId="11066" xr:uid="{6ECBB3F8-D4A2-4449-A9CD-43958B8030E6}"/>
    <cellStyle name="Comma 409" xfId="649" xr:uid="{A1CFA8B2-F171-4563-BC0A-024EFC828B0E}"/>
    <cellStyle name="Comma 409 2" xfId="1687" xr:uid="{1A540CF6-C9D9-45D1-B843-BF939BC86586}"/>
    <cellStyle name="Comma 409 2 2" xfId="3745" xr:uid="{24E2DC79-9340-4057-99A9-4E78EB85DD2A}"/>
    <cellStyle name="Comma 409 2 2 2" xfId="8978" xr:uid="{91336CFF-D36B-4E4A-A1A6-AA731536EFEC}"/>
    <cellStyle name="Comma 409 2 2 2 2" xfId="19330" xr:uid="{155FB898-DD70-4D9C-93FA-2CB27500C3AE}"/>
    <cellStyle name="Comma 409 2 2 3" xfId="14155" xr:uid="{1CB289D0-2941-4636-AD51-E617DEF818A0}"/>
    <cellStyle name="Comma 409 2 3" xfId="6920" xr:uid="{1DF719DB-6442-489C-97C6-F9D843C5ACC0}"/>
    <cellStyle name="Comma 409 2 3 2" xfId="17272" xr:uid="{105ED99A-50D0-457D-BB42-65F0841D93D8}"/>
    <cellStyle name="Comma 409 2 4" xfId="12097" xr:uid="{B43F9C8C-4458-4BBC-B95F-0FF44ED17483}"/>
    <cellStyle name="Comma 409 3" xfId="2715" xr:uid="{95022E11-FFA7-49B4-825F-16F2E445132A}"/>
    <cellStyle name="Comma 409 3 2" xfId="7948" xr:uid="{10BD7ED0-186A-45A0-89D2-7C0B6E6F9CF8}"/>
    <cellStyle name="Comma 409 3 2 2" xfId="18300" xr:uid="{282763D4-4289-476F-9847-FF195F811B82}"/>
    <cellStyle name="Comma 409 3 3" xfId="13125" xr:uid="{003D881C-288C-4566-85E7-3F4118A66E92}"/>
    <cellStyle name="Comma 409 4" xfId="4841" xr:uid="{F2968893-31A6-476B-BF08-922F0083B2FB}"/>
    <cellStyle name="Comma 409 4 2" xfId="10017" xr:uid="{86CC54CE-99CF-4E58-B8EA-B6B249A51F53}"/>
    <cellStyle name="Comma 409 4 2 2" xfId="20369" xr:uid="{4AC29036-24FF-48B8-A29B-76BB3ED0EE5E}"/>
    <cellStyle name="Comma 409 4 3" xfId="15193" xr:uid="{7A449A58-3F6F-4A9D-B692-ABCFE06B7CEF}"/>
    <cellStyle name="Comma 409 5" xfId="5889" xr:uid="{209704BF-5C49-43D0-894B-1547EF6C2A9B}"/>
    <cellStyle name="Comma 409 5 2" xfId="16241" xr:uid="{6584335E-E71B-4EBF-8801-7F086B4E920D}"/>
    <cellStyle name="Comma 409 6" xfId="11067" xr:uid="{62057933-70B7-49C4-9ECC-69EED6F52D01}"/>
    <cellStyle name="Comma 41" xfId="241" xr:uid="{FED399A9-EB53-466B-9A62-304478035CA6}"/>
    <cellStyle name="Comma 41 2" xfId="1319" xr:uid="{7F18A9C1-21C3-4B57-AD86-A04884FAA470}"/>
    <cellStyle name="Comma 41 2 2" xfId="3377" xr:uid="{5BB315F7-29C2-4B9D-BE89-9E54878440B2}"/>
    <cellStyle name="Comma 41 2 2 2" xfId="8610" xr:uid="{90BA63FA-983D-45D4-946B-64D9571EAE70}"/>
    <cellStyle name="Comma 41 2 2 2 2" xfId="18962" xr:uid="{3B8292A9-363B-4ABE-B7F1-F68D1514CB73}"/>
    <cellStyle name="Comma 41 2 2 3" xfId="13787" xr:uid="{7400D1C6-774A-4B20-AF50-1BAD9E5ED90F}"/>
    <cellStyle name="Comma 41 2 3" xfId="6552" xr:uid="{1824EC78-8139-42DD-90D7-D256D249AF6B}"/>
    <cellStyle name="Comma 41 2 3 2" xfId="16904" xr:uid="{58560DA8-A031-4356-A878-72EB90322E03}"/>
    <cellStyle name="Comma 41 2 4" xfId="11729" xr:uid="{2B7A7B9A-101F-40A5-B4B0-02E7C6549833}"/>
    <cellStyle name="Comma 41 3" xfId="2347" xr:uid="{9A948138-2E7B-4567-9DCE-C1F980047D83}"/>
    <cellStyle name="Comma 41 3 2" xfId="7580" xr:uid="{36DA60C8-7DDA-4FD3-8673-C3EBC87E0E5F}"/>
    <cellStyle name="Comma 41 3 2 2" xfId="17932" xr:uid="{80039206-8124-4E90-8ABD-5937CEDB20C5}"/>
    <cellStyle name="Comma 41 3 3" xfId="12757" xr:uid="{3C071C50-747B-4281-853E-27D9B2E6AF15}"/>
    <cellStyle name="Comma 41 4" xfId="4473" xr:uid="{E36A2EB4-5C2C-43BD-959F-E1B48056B067}"/>
    <cellStyle name="Comma 41 4 2" xfId="9649" xr:uid="{7C557D70-8E45-497E-AC87-1E2D6E4A8736}"/>
    <cellStyle name="Comma 41 4 2 2" xfId="20001" xr:uid="{1E86E541-7552-42D0-A2E2-3CF260C0972B}"/>
    <cellStyle name="Comma 41 4 3" xfId="14825" xr:uid="{5EB1178E-86AC-4722-B793-8437EE5BD2A6}"/>
    <cellStyle name="Comma 41 5" xfId="5521" xr:uid="{240E95B5-CD08-4043-B2CF-0A2B2667C83E}"/>
    <cellStyle name="Comma 41 5 2" xfId="15873" xr:uid="{58A5AF30-D606-4FF7-A73D-421B578BBDDD}"/>
    <cellStyle name="Comma 41 6" xfId="10699" xr:uid="{11530F86-4FCE-48BF-B0A5-FDF4D888B33B}"/>
    <cellStyle name="Comma 410" xfId="650" xr:uid="{A51A7940-15C7-47DD-B1E4-72FA460D65E1}"/>
    <cellStyle name="Comma 410 2" xfId="1688" xr:uid="{5FF8C278-2945-4D50-B17C-967A0C36412C}"/>
    <cellStyle name="Comma 410 2 2" xfId="3746" xr:uid="{EC6DACD7-81F1-4965-89FA-D110574DE632}"/>
    <cellStyle name="Comma 410 2 2 2" xfId="8979" xr:uid="{1A4F3AF1-53DC-4A1A-8E4D-010E82E633E1}"/>
    <cellStyle name="Comma 410 2 2 2 2" xfId="19331" xr:uid="{3102183A-E90C-4C27-A8C1-0C86FE847350}"/>
    <cellStyle name="Comma 410 2 2 3" xfId="14156" xr:uid="{0931D203-B5B2-4DAA-A66C-8522A8FB789E}"/>
    <cellStyle name="Comma 410 2 3" xfId="6921" xr:uid="{487691A8-85AA-4CBB-82CC-052576BBD852}"/>
    <cellStyle name="Comma 410 2 3 2" xfId="17273" xr:uid="{424F245C-0B46-4926-88CA-726C4A8BA6A4}"/>
    <cellStyle name="Comma 410 2 4" xfId="12098" xr:uid="{7492F82C-E7CE-4C35-A9AD-D19BDC0BA4A1}"/>
    <cellStyle name="Comma 410 3" xfId="2716" xr:uid="{F5DCF610-6889-4CE2-AAE0-30DC83B9CBFE}"/>
    <cellStyle name="Comma 410 3 2" xfId="7949" xr:uid="{456DB2D8-E26E-49CA-B20B-8B92161B00CF}"/>
    <cellStyle name="Comma 410 3 2 2" xfId="18301" xr:uid="{5DFACD24-80E6-4B17-B715-DDF25F188E00}"/>
    <cellStyle name="Comma 410 3 3" xfId="13126" xr:uid="{6B9F98DB-DC1F-4695-9610-86535EF95090}"/>
    <cellStyle name="Comma 410 4" xfId="4842" xr:uid="{6A2022A6-C9A2-4866-8A58-88021CA52927}"/>
    <cellStyle name="Comma 410 4 2" xfId="10018" xr:uid="{B377C1AF-429B-4D6D-B78B-660B4CA1CF9F}"/>
    <cellStyle name="Comma 410 4 2 2" xfId="20370" xr:uid="{C89AC8B5-A41B-4F7A-9DFC-8446CFF8D263}"/>
    <cellStyle name="Comma 410 4 3" xfId="15194" xr:uid="{34B44543-15D9-43C9-93E3-39B1569C9D39}"/>
    <cellStyle name="Comma 410 5" xfId="5890" xr:uid="{41366E6D-4F9C-43E0-8576-8B5E4725DCA7}"/>
    <cellStyle name="Comma 410 5 2" xfId="16242" xr:uid="{9B70961B-E2C2-44E3-9514-7A5A79C4F772}"/>
    <cellStyle name="Comma 410 6" xfId="11068" xr:uid="{5F021FAE-28E9-475D-A63C-F67B126235E0}"/>
    <cellStyle name="Comma 411" xfId="651" xr:uid="{2534783A-5550-4A7F-9358-D9FC544F906A}"/>
    <cellStyle name="Comma 411 2" xfId="1689" xr:uid="{99BB0C58-3DE2-4874-A324-B1A27054477D}"/>
    <cellStyle name="Comma 411 2 2" xfId="3747" xr:uid="{5616F80D-BCCF-4697-A382-83329B4F88DF}"/>
    <cellStyle name="Comma 411 2 2 2" xfId="8980" xr:uid="{17948827-94E3-4ED9-B24E-80FC4D8F4122}"/>
    <cellStyle name="Comma 411 2 2 2 2" xfId="19332" xr:uid="{586F24E0-10B5-4927-8B7B-1D9D330C8F45}"/>
    <cellStyle name="Comma 411 2 2 3" xfId="14157" xr:uid="{5DA72611-2889-4184-9573-4838FC33F902}"/>
    <cellStyle name="Comma 411 2 3" xfId="6922" xr:uid="{3F25E2B4-319B-4C82-98A3-2C6958754D01}"/>
    <cellStyle name="Comma 411 2 3 2" xfId="17274" xr:uid="{FB02BAA0-44BA-4B55-BC80-31792348F3D4}"/>
    <cellStyle name="Comma 411 2 4" xfId="12099" xr:uid="{83339092-25C4-487B-8DC5-7BC3E5D960C9}"/>
    <cellStyle name="Comma 411 3" xfId="2717" xr:uid="{EBBAA727-8E5B-4B43-9567-716EB648471A}"/>
    <cellStyle name="Comma 411 3 2" xfId="7950" xr:uid="{405890F3-2899-49CD-8817-0EAC9F287424}"/>
    <cellStyle name="Comma 411 3 2 2" xfId="18302" xr:uid="{CB6E9C31-9EBC-4FFC-894E-6DF97260FC32}"/>
    <cellStyle name="Comma 411 3 3" xfId="13127" xr:uid="{65ADFB84-385F-4C81-A745-3A0AD6724B4E}"/>
    <cellStyle name="Comma 411 4" xfId="4843" xr:uid="{E45429AA-5907-4BB5-BA04-56BE33262B35}"/>
    <cellStyle name="Comma 411 4 2" xfId="10019" xr:uid="{17AAED6B-F52B-45E7-885A-8AA42C066FE1}"/>
    <cellStyle name="Comma 411 4 2 2" xfId="20371" xr:uid="{4D522E01-8EBD-47C7-B5C6-B2BCF0C5C21A}"/>
    <cellStyle name="Comma 411 4 3" xfId="15195" xr:uid="{9071D59A-9260-476C-940E-709F3A0344CF}"/>
    <cellStyle name="Comma 411 5" xfId="5891" xr:uid="{46162911-C601-4754-8B15-0FE474698B42}"/>
    <cellStyle name="Comma 411 5 2" xfId="16243" xr:uid="{58C7803C-4056-4CC4-A99B-A69FA617FAA6}"/>
    <cellStyle name="Comma 411 6" xfId="11069" xr:uid="{A1020332-F9DA-41E5-80B7-ED3BB76B6397}"/>
    <cellStyle name="Comma 412" xfId="652" xr:uid="{DC08B7BE-8EC8-4229-929C-834793829BD5}"/>
    <cellStyle name="Comma 412 2" xfId="1690" xr:uid="{A18CD0E9-57DE-4D97-990F-173A42973D42}"/>
    <cellStyle name="Comma 412 2 2" xfId="3748" xr:uid="{4F298718-5C0F-42AE-BFB3-DF9EF60D93B3}"/>
    <cellStyle name="Comma 412 2 2 2" xfId="8981" xr:uid="{E90B1024-A496-4794-8C6F-05F07CF063BF}"/>
    <cellStyle name="Comma 412 2 2 2 2" xfId="19333" xr:uid="{7CD49886-E565-4A8C-BC63-2931AB070088}"/>
    <cellStyle name="Comma 412 2 2 3" xfId="14158" xr:uid="{33AEE006-D281-4221-B7A4-576D4EF55D33}"/>
    <cellStyle name="Comma 412 2 3" xfId="6923" xr:uid="{D09DE7A8-997F-4CF7-8DCE-55CFAFBA9656}"/>
    <cellStyle name="Comma 412 2 3 2" xfId="17275" xr:uid="{737CB2D5-5BFF-46DB-ADF2-952B71CD62FD}"/>
    <cellStyle name="Comma 412 2 4" xfId="12100" xr:uid="{E3F134ED-7A6A-4EEF-B649-40149FF05A80}"/>
    <cellStyle name="Comma 412 3" xfId="2718" xr:uid="{E24D0ADB-C97B-4A58-B6A0-0FCCC5C6EAF2}"/>
    <cellStyle name="Comma 412 3 2" xfId="7951" xr:uid="{60FCE470-3F9C-4F00-97D1-BA4810F6CD13}"/>
    <cellStyle name="Comma 412 3 2 2" xfId="18303" xr:uid="{12E7E9B7-E989-4A40-B86D-97CA5C92A8F2}"/>
    <cellStyle name="Comma 412 3 3" xfId="13128" xr:uid="{2408EBEB-9291-4D9A-93F2-B77227E5D57F}"/>
    <cellStyle name="Comma 412 4" xfId="4844" xr:uid="{127B5680-D4E4-48B3-BB8E-8CC7A8C49891}"/>
    <cellStyle name="Comma 412 4 2" xfId="10020" xr:uid="{E4DD4C26-3C16-4A29-B346-A401EDE34CD0}"/>
    <cellStyle name="Comma 412 4 2 2" xfId="20372" xr:uid="{7D95196D-7648-4C01-9FF4-A521B676DE9C}"/>
    <cellStyle name="Comma 412 4 3" xfId="15196" xr:uid="{1E439457-F098-4FF8-9EB4-B04A38DF1BE4}"/>
    <cellStyle name="Comma 412 5" xfId="5892" xr:uid="{BB89D355-071B-43D5-AAC7-DD6632076B8E}"/>
    <cellStyle name="Comma 412 5 2" xfId="16244" xr:uid="{53AF15D7-B965-4484-BA96-146C8E36EF2D}"/>
    <cellStyle name="Comma 412 6" xfId="11070" xr:uid="{5A61E324-4A85-4EF2-BFB7-F2ED3351D632}"/>
    <cellStyle name="Comma 413" xfId="653" xr:uid="{F697CD41-BCB0-44DE-BE22-59878BD9A07E}"/>
    <cellStyle name="Comma 413 2" xfId="1691" xr:uid="{CE265339-933D-4A68-AF92-F2DD23EECA7B}"/>
    <cellStyle name="Comma 413 2 2" xfId="3749" xr:uid="{39799CA7-5187-4444-809D-FFCEE7D57E9D}"/>
    <cellStyle name="Comma 413 2 2 2" xfId="8982" xr:uid="{B904BBBA-01F3-4909-9754-4CB11CEF5A69}"/>
    <cellStyle name="Comma 413 2 2 2 2" xfId="19334" xr:uid="{3CA9DADF-B815-47E9-BDE0-47F4EBECD2E1}"/>
    <cellStyle name="Comma 413 2 2 3" xfId="14159" xr:uid="{4279DFB8-6F4C-4FF3-BE45-91867539D9FE}"/>
    <cellStyle name="Comma 413 2 3" xfId="6924" xr:uid="{64087818-89A8-4B11-B2F3-58A0395A0B89}"/>
    <cellStyle name="Comma 413 2 3 2" xfId="17276" xr:uid="{0E835D15-9001-41AC-830C-DA82CD93BA09}"/>
    <cellStyle name="Comma 413 2 4" xfId="12101" xr:uid="{5741D757-E509-43FA-B9E1-76BC50334C82}"/>
    <cellStyle name="Comma 413 3" xfId="2719" xr:uid="{692081E8-4BDE-4F4F-B277-8CE86588428E}"/>
    <cellStyle name="Comma 413 3 2" xfId="7952" xr:uid="{68245A06-D99D-431A-A9D4-9D9E56717570}"/>
    <cellStyle name="Comma 413 3 2 2" xfId="18304" xr:uid="{A84474F6-CEDE-4B7D-BE12-DAE53D9E8CA4}"/>
    <cellStyle name="Comma 413 3 3" xfId="13129" xr:uid="{06437B29-133D-4E0D-81AD-FA4E6B664FF6}"/>
    <cellStyle name="Comma 413 4" xfId="4845" xr:uid="{8AF9537C-9A95-48AC-B806-0C4FE33B451D}"/>
    <cellStyle name="Comma 413 4 2" xfId="10021" xr:uid="{A3759514-F9B5-46F8-9C78-3588BEFD1270}"/>
    <cellStyle name="Comma 413 4 2 2" xfId="20373" xr:uid="{1289415B-5EFB-4CEB-B218-FF4CB0C3E0E6}"/>
    <cellStyle name="Comma 413 4 3" xfId="15197" xr:uid="{910C3304-0ED9-4C83-A70C-836B20BFD5B5}"/>
    <cellStyle name="Comma 413 5" xfId="5893" xr:uid="{4F189E9E-0A4B-4161-82B4-1F187DFA5BA6}"/>
    <cellStyle name="Comma 413 5 2" xfId="16245" xr:uid="{3B95DB7A-40C3-48BF-B30B-86808EEB71CB}"/>
    <cellStyle name="Comma 413 6" xfId="11071" xr:uid="{8266F533-F789-4B75-BDD2-CA69938AAF70}"/>
    <cellStyle name="Comma 414" xfId="654" xr:uid="{7A65C150-FD6B-4CAF-94AD-3D2F8955B3A5}"/>
    <cellStyle name="Comma 414 2" xfId="1692" xr:uid="{6FCDC480-C8E1-4EFB-8E91-765B44A51A7A}"/>
    <cellStyle name="Comma 414 2 2" xfId="3750" xr:uid="{EC2E5335-9E04-4879-9BF4-C2D668F9DC9F}"/>
    <cellStyle name="Comma 414 2 2 2" xfId="8983" xr:uid="{74E18304-65A8-4877-93C8-57460BD2FBCC}"/>
    <cellStyle name="Comma 414 2 2 2 2" xfId="19335" xr:uid="{458211A7-732F-490D-AB03-E0D0F3E1C10A}"/>
    <cellStyle name="Comma 414 2 2 3" xfId="14160" xr:uid="{8EB6BCF5-8012-4A40-AF23-6638E7E9D3A1}"/>
    <cellStyle name="Comma 414 2 3" xfId="6925" xr:uid="{9B7AFC12-DE05-4EC0-9868-E3CC3CEA804E}"/>
    <cellStyle name="Comma 414 2 3 2" xfId="17277" xr:uid="{10085EBC-C31D-42AF-8142-6E59E015BE72}"/>
    <cellStyle name="Comma 414 2 4" xfId="12102" xr:uid="{B9DFA37B-B2BD-4F18-A9FD-4FA38A21C44A}"/>
    <cellStyle name="Comma 414 3" xfId="2720" xr:uid="{E1416E69-9DE8-4171-BB64-296FB83BA311}"/>
    <cellStyle name="Comma 414 3 2" xfId="7953" xr:uid="{F1664721-72AC-4CEA-A098-5E25F64DFC2E}"/>
    <cellStyle name="Comma 414 3 2 2" xfId="18305" xr:uid="{B2AAA9CB-E4CD-4D70-BD8E-3246B052800D}"/>
    <cellStyle name="Comma 414 3 3" xfId="13130" xr:uid="{CF169DB1-3E2E-4011-BE84-3DA8CD4093FC}"/>
    <cellStyle name="Comma 414 4" xfId="4846" xr:uid="{1A705301-A084-4D8D-8C6E-8823D684F261}"/>
    <cellStyle name="Comma 414 4 2" xfId="10022" xr:uid="{E7F0B7E5-7EF9-488F-9703-7FE895F129E7}"/>
    <cellStyle name="Comma 414 4 2 2" xfId="20374" xr:uid="{3FE377D4-8A57-4F61-B7E4-ECCD8332E1C6}"/>
    <cellStyle name="Comma 414 4 3" xfId="15198" xr:uid="{6D1EB1CE-8C5C-4C9E-A282-4CC14C1D3CCC}"/>
    <cellStyle name="Comma 414 5" xfId="5894" xr:uid="{5A710F35-3716-4ABE-BEE5-17AAD5612E4B}"/>
    <cellStyle name="Comma 414 5 2" xfId="16246" xr:uid="{C12DDA50-590E-4BFB-A34A-71259A74BC69}"/>
    <cellStyle name="Comma 414 6" xfId="11072" xr:uid="{1C9866F2-DC39-4F36-840B-E5D0F22A09EA}"/>
    <cellStyle name="Comma 415" xfId="655" xr:uid="{E0AB52F1-F59E-4D19-BC50-A4D465D55DA5}"/>
    <cellStyle name="Comma 415 2" xfId="1693" xr:uid="{B95F5C52-B999-4EF3-9B6F-1334E65EE883}"/>
    <cellStyle name="Comma 415 2 2" xfId="3751" xr:uid="{126B4F32-235E-4F60-9C3D-17B981517387}"/>
    <cellStyle name="Comma 415 2 2 2" xfId="8984" xr:uid="{EF4C2632-AFC7-42B4-A23D-B0593F0009DE}"/>
    <cellStyle name="Comma 415 2 2 2 2" xfId="19336" xr:uid="{ABDAFFD6-9291-4A97-BEB0-B3A426CFFCFD}"/>
    <cellStyle name="Comma 415 2 2 3" xfId="14161" xr:uid="{693EB54C-53B8-4562-86C5-91DDB5E9AE4B}"/>
    <cellStyle name="Comma 415 2 3" xfId="6926" xr:uid="{9F539306-DD8B-427E-A6FC-217585FD2EFD}"/>
    <cellStyle name="Comma 415 2 3 2" xfId="17278" xr:uid="{2FDC647F-0B05-47E3-AF47-F31BC98FD336}"/>
    <cellStyle name="Comma 415 2 4" xfId="12103" xr:uid="{D19A6E10-C1CF-4C32-9206-568918A185E4}"/>
    <cellStyle name="Comma 415 3" xfId="2721" xr:uid="{FDC9EC84-73C0-4E58-B01F-D449EAC6B2F5}"/>
    <cellStyle name="Comma 415 3 2" xfId="7954" xr:uid="{5107834A-AB76-4A6D-9665-8C4761485CBD}"/>
    <cellStyle name="Comma 415 3 2 2" xfId="18306" xr:uid="{E3CB28EE-785C-441D-8E7A-C1D575D56B66}"/>
    <cellStyle name="Comma 415 3 3" xfId="13131" xr:uid="{EFD4FD44-C30C-4857-9EB9-11128EB3E3D2}"/>
    <cellStyle name="Comma 415 4" xfId="4847" xr:uid="{5EB835BE-C78E-4A81-B900-E5345BE4A4B4}"/>
    <cellStyle name="Comma 415 4 2" xfId="10023" xr:uid="{FDFBCB79-ACD7-45A2-B5E3-F6BB057386E3}"/>
    <cellStyle name="Comma 415 4 2 2" xfId="20375" xr:uid="{6E671457-DE1D-46A1-9FEB-87A4B9B34DE7}"/>
    <cellStyle name="Comma 415 4 3" xfId="15199" xr:uid="{719D5115-3281-4E61-A5F7-F2338A297A8B}"/>
    <cellStyle name="Comma 415 5" xfId="5895" xr:uid="{166404D9-E014-4A2B-9A96-3BBE4B0E6641}"/>
    <cellStyle name="Comma 415 5 2" xfId="16247" xr:uid="{1A04DF3F-23EA-4123-B8DF-00B9E4299B91}"/>
    <cellStyle name="Comma 415 6" xfId="11073" xr:uid="{E8C69E70-80AE-4272-B7B1-4E279C6CDD8F}"/>
    <cellStyle name="Comma 416" xfId="656" xr:uid="{71F8BF46-E771-45E7-AFCB-2A1ABDB735FC}"/>
    <cellStyle name="Comma 416 2" xfId="1694" xr:uid="{96D00DDE-E50A-4ACF-BA89-293C03360ECD}"/>
    <cellStyle name="Comma 416 2 2" xfId="3752" xr:uid="{8A82737E-A14C-4E75-AC03-A03A4CB9928D}"/>
    <cellStyle name="Comma 416 2 2 2" xfId="8985" xr:uid="{A1607236-0B12-4996-B12E-4FB9E554FEB2}"/>
    <cellStyle name="Comma 416 2 2 2 2" xfId="19337" xr:uid="{421CEA7C-ECDA-45DB-8BCC-AD5496998738}"/>
    <cellStyle name="Comma 416 2 2 3" xfId="14162" xr:uid="{E1D7C86C-141D-423F-B4EB-A866FFC825A6}"/>
    <cellStyle name="Comma 416 2 3" xfId="6927" xr:uid="{73BEF8F0-3CCB-477B-B01E-20504A008CBA}"/>
    <cellStyle name="Comma 416 2 3 2" xfId="17279" xr:uid="{82213A10-F62B-42FF-A7CC-05436D12C871}"/>
    <cellStyle name="Comma 416 2 4" xfId="12104" xr:uid="{DD2BAABF-5C80-46BB-8067-11FE1F0A4EBB}"/>
    <cellStyle name="Comma 416 3" xfId="2722" xr:uid="{A06A2072-BBB2-4B4A-8B4F-CBC0A1B84A14}"/>
    <cellStyle name="Comma 416 3 2" xfId="7955" xr:uid="{572DA54B-8F5E-4ACC-B20D-5C96C864C6FB}"/>
    <cellStyle name="Comma 416 3 2 2" xfId="18307" xr:uid="{79637487-7BF3-4D61-AC11-236EBB2A80E2}"/>
    <cellStyle name="Comma 416 3 3" xfId="13132" xr:uid="{6D78756B-2E28-45EB-9D65-AA341EC26855}"/>
    <cellStyle name="Comma 416 4" xfId="4848" xr:uid="{C7839B42-052A-4D85-8946-08ACE120D553}"/>
    <cellStyle name="Comma 416 4 2" xfId="10024" xr:uid="{666B7B9C-8A1F-40AC-AF24-3D98A412E239}"/>
    <cellStyle name="Comma 416 4 2 2" xfId="20376" xr:uid="{F70A952B-7E23-4AF4-AB47-A6D94FA7B3AD}"/>
    <cellStyle name="Comma 416 4 3" xfId="15200" xr:uid="{CEF94CFD-5D2D-48D5-B8DB-8326EBEEC164}"/>
    <cellStyle name="Comma 416 5" xfId="5896" xr:uid="{6EF69488-FCD5-41B4-8379-9175BA25CEA5}"/>
    <cellStyle name="Comma 416 5 2" xfId="16248" xr:uid="{517A16C8-4F3F-495B-9BFE-328C210025E9}"/>
    <cellStyle name="Comma 416 6" xfId="11074" xr:uid="{4A564376-5AD3-41D8-BE1F-EF427C7C50F9}"/>
    <cellStyle name="Comma 417" xfId="657" xr:uid="{092AF4F5-D17B-4486-8B4F-C88F3AE4BF2E}"/>
    <cellStyle name="Comma 417 2" xfId="1695" xr:uid="{8DF7EA75-D6C1-42A3-B0EC-2B652100F5AC}"/>
    <cellStyle name="Comma 417 2 2" xfId="3753" xr:uid="{FF8EC57B-1419-44D3-B54D-789132FD76BA}"/>
    <cellStyle name="Comma 417 2 2 2" xfId="8986" xr:uid="{96E330DA-1DAC-4795-87FA-F936F0553CE0}"/>
    <cellStyle name="Comma 417 2 2 2 2" xfId="19338" xr:uid="{A05D96DB-7A46-40A1-AA00-617449458DDF}"/>
    <cellStyle name="Comma 417 2 2 3" xfId="14163" xr:uid="{F8660423-B9E9-4E1C-9B71-1E8D4AD7C324}"/>
    <cellStyle name="Comma 417 2 3" xfId="6928" xr:uid="{1383051A-E335-422E-9EEF-A6B137135143}"/>
    <cellStyle name="Comma 417 2 3 2" xfId="17280" xr:uid="{D87DA79B-3B4F-49A8-9F6E-536A796A21FD}"/>
    <cellStyle name="Comma 417 2 4" xfId="12105" xr:uid="{C4B721C3-A504-400F-8162-4B898C6414BA}"/>
    <cellStyle name="Comma 417 3" xfId="2723" xr:uid="{99FCD031-5E1E-4C83-9324-2528914D86D6}"/>
    <cellStyle name="Comma 417 3 2" xfId="7956" xr:uid="{DFE2CD82-364B-4425-8E41-15CFB0506E3A}"/>
    <cellStyle name="Comma 417 3 2 2" xfId="18308" xr:uid="{10664733-6225-4D67-AE90-A94C30276885}"/>
    <cellStyle name="Comma 417 3 3" xfId="13133" xr:uid="{543EE8CA-6AB8-48B8-B35F-D76D7377183C}"/>
    <cellStyle name="Comma 417 4" xfId="4849" xr:uid="{1DBCF2D2-0188-4BF9-9DDD-4115D99B6442}"/>
    <cellStyle name="Comma 417 4 2" xfId="10025" xr:uid="{ED11A793-2931-42F2-8415-CC5075603247}"/>
    <cellStyle name="Comma 417 4 2 2" xfId="20377" xr:uid="{BC319384-E4E9-40B0-9D40-B93ADFC90499}"/>
    <cellStyle name="Comma 417 4 3" xfId="15201" xr:uid="{F50891EE-EC1C-4E62-932A-B2C867489C01}"/>
    <cellStyle name="Comma 417 5" xfId="5897" xr:uid="{B571AAC5-B402-451A-AF77-01299861270B}"/>
    <cellStyle name="Comma 417 5 2" xfId="16249" xr:uid="{126787F3-A068-4CBD-8700-D29ED8A8AA39}"/>
    <cellStyle name="Comma 417 6" xfId="11075" xr:uid="{07077894-96B1-4B30-8B99-1C6EED83B3CC}"/>
    <cellStyle name="Comma 418" xfId="658" xr:uid="{499C52AE-BFBE-4B3A-98E4-30E56A5F760C}"/>
    <cellStyle name="Comma 418 2" xfId="1696" xr:uid="{C4CB213B-D047-4F49-8478-2F2D2ED96B19}"/>
    <cellStyle name="Comma 418 2 2" xfId="3754" xr:uid="{66B84397-723E-4EE3-A150-A71671E021A7}"/>
    <cellStyle name="Comma 418 2 2 2" xfId="8987" xr:uid="{427AF200-221F-4027-9AB1-B4A88582F7C3}"/>
    <cellStyle name="Comma 418 2 2 2 2" xfId="19339" xr:uid="{06E8B555-AF84-4930-A26C-776A557AE197}"/>
    <cellStyle name="Comma 418 2 2 3" xfId="14164" xr:uid="{FC713FF0-D434-45CF-AF57-5C0969AF501D}"/>
    <cellStyle name="Comma 418 2 3" xfId="6929" xr:uid="{20FC088D-F475-4466-9B52-C0F416CB1D8C}"/>
    <cellStyle name="Comma 418 2 3 2" xfId="17281" xr:uid="{CF1C7FCD-8F60-49A0-AC1E-C9C849244AD4}"/>
    <cellStyle name="Comma 418 2 4" xfId="12106" xr:uid="{D96446BF-9693-4D60-8252-D58902B9E29A}"/>
    <cellStyle name="Comma 418 3" xfId="2724" xr:uid="{C46CFCD3-1D17-41E0-921D-3CEB702E8CA3}"/>
    <cellStyle name="Comma 418 3 2" xfId="7957" xr:uid="{D7C3A8E7-65E1-45F4-8AE6-F59F98D3754E}"/>
    <cellStyle name="Comma 418 3 2 2" xfId="18309" xr:uid="{984CDC7B-16CB-472D-88C8-FD5E66BD82FE}"/>
    <cellStyle name="Comma 418 3 3" xfId="13134" xr:uid="{921582C5-751C-4CCA-9D99-C5486EFF54FF}"/>
    <cellStyle name="Comma 418 4" xfId="4850" xr:uid="{BC0A27ED-0991-405C-8EAF-A438D2F6934D}"/>
    <cellStyle name="Comma 418 4 2" xfId="10026" xr:uid="{EDB4E02D-1E2D-4A19-B868-E6D0FFC56973}"/>
    <cellStyle name="Comma 418 4 2 2" xfId="20378" xr:uid="{AA3D233F-A5C9-4630-8530-0347A359D7DA}"/>
    <cellStyle name="Comma 418 4 3" xfId="15202" xr:uid="{08827DA2-7A30-48A9-B256-5A7D0E448327}"/>
    <cellStyle name="Comma 418 5" xfId="5898" xr:uid="{A6A5DDC9-1F15-4911-BE54-62AC290608FA}"/>
    <cellStyle name="Comma 418 5 2" xfId="16250" xr:uid="{29CCAF4F-CF86-4474-8C63-548D81699A1E}"/>
    <cellStyle name="Comma 418 6" xfId="11076" xr:uid="{F1D8BFB4-382A-41A4-B28F-8BDE37A708BD}"/>
    <cellStyle name="Comma 419" xfId="659" xr:uid="{9E84B596-4EDD-4C4E-9CB6-598964F29BD7}"/>
    <cellStyle name="Comma 419 2" xfId="1697" xr:uid="{145787D8-498A-405D-B310-D1C018435F74}"/>
    <cellStyle name="Comma 419 2 2" xfId="3755" xr:uid="{B6DE008B-166A-42E4-98C7-3C64A0399B08}"/>
    <cellStyle name="Comma 419 2 2 2" xfId="8988" xr:uid="{30A462E6-7060-4BB9-A5B6-552E96B6666A}"/>
    <cellStyle name="Comma 419 2 2 2 2" xfId="19340" xr:uid="{7A8D6A27-3EE0-47CE-AA53-A71CEBFB3E0B}"/>
    <cellStyle name="Comma 419 2 2 3" xfId="14165" xr:uid="{1C48A8F4-D327-4F6A-A4BC-B25E0DFEE0BA}"/>
    <cellStyle name="Comma 419 2 3" xfId="6930" xr:uid="{922D2070-105A-4C56-AD77-A6E41F6AA2FF}"/>
    <cellStyle name="Comma 419 2 3 2" xfId="17282" xr:uid="{02B30634-6DE9-4771-AB49-34F6DE53D31A}"/>
    <cellStyle name="Comma 419 2 4" xfId="12107" xr:uid="{2F598EA7-1B2D-4DC7-8681-1D018C964430}"/>
    <cellStyle name="Comma 419 3" xfId="2725" xr:uid="{12FD6FD5-68A7-49E2-B36F-03DE365ED839}"/>
    <cellStyle name="Comma 419 3 2" xfId="7958" xr:uid="{AAB0B6DA-38CB-4725-B91A-7EEE300B2520}"/>
    <cellStyle name="Comma 419 3 2 2" xfId="18310" xr:uid="{6E2BF1CE-31F2-4952-9AF5-53364FBAB83A}"/>
    <cellStyle name="Comma 419 3 3" xfId="13135" xr:uid="{7E7D498C-5072-4741-9C9B-9F4E2787F15F}"/>
    <cellStyle name="Comma 419 4" xfId="4851" xr:uid="{40F06906-8F76-4AE1-8CA6-33F1F1B02192}"/>
    <cellStyle name="Comma 419 4 2" xfId="10027" xr:uid="{F66C1E0D-65A9-4C91-9AD5-4A467974F553}"/>
    <cellStyle name="Comma 419 4 2 2" xfId="20379" xr:uid="{CAE40D17-3C60-421B-99EE-311C288383B4}"/>
    <cellStyle name="Comma 419 4 3" xfId="15203" xr:uid="{15F5D74F-8804-4E31-8792-2E645AABD3BA}"/>
    <cellStyle name="Comma 419 5" xfId="5899" xr:uid="{F4B492F7-CA1B-45F7-AB49-44D554B5DA02}"/>
    <cellStyle name="Comma 419 5 2" xfId="16251" xr:uid="{8A7AF613-4573-4D4D-A6BC-82BCAA7FA22B}"/>
    <cellStyle name="Comma 419 6" xfId="11077" xr:uid="{627F721E-AF1F-4ABB-84CF-88CFEA62C46C}"/>
    <cellStyle name="Comma 42" xfId="242" xr:uid="{3AA90BB3-1393-411B-926D-C2CBA5B684C8}"/>
    <cellStyle name="Comma 42 2" xfId="1320" xr:uid="{BC350961-A2C2-483A-B01D-543FE9D3082D}"/>
    <cellStyle name="Comma 42 2 2" xfId="3378" xr:uid="{69046864-0A25-4A05-9919-27BFB71BC232}"/>
    <cellStyle name="Comma 42 2 2 2" xfId="8611" xr:uid="{575AB52C-0663-4BC7-9B9A-97B262B77726}"/>
    <cellStyle name="Comma 42 2 2 2 2" xfId="18963" xr:uid="{70748797-97FA-4123-B421-114C29A7E3B3}"/>
    <cellStyle name="Comma 42 2 2 3" xfId="13788" xr:uid="{1A32CD77-C643-4D69-8365-BCA0E464ACEF}"/>
    <cellStyle name="Comma 42 2 3" xfId="6553" xr:uid="{573114F4-828C-4D1D-B749-8A64CE1C3A2F}"/>
    <cellStyle name="Comma 42 2 3 2" xfId="16905" xr:uid="{27E6C6CA-69E3-44E6-A6DB-9F8D7E1FF612}"/>
    <cellStyle name="Comma 42 2 4" xfId="11730" xr:uid="{CE69F660-E394-4D6C-9B48-CF688FAEC7AB}"/>
    <cellStyle name="Comma 42 3" xfId="2348" xr:uid="{788C2009-ED4B-44C3-A8CC-A7824DB80EC1}"/>
    <cellStyle name="Comma 42 3 2" xfId="7581" xr:uid="{501B9646-9C6F-4325-BF05-FD8C5FE734B6}"/>
    <cellStyle name="Comma 42 3 2 2" xfId="17933" xr:uid="{3C526B5D-3583-4EA2-BBD8-7837F7F24F99}"/>
    <cellStyle name="Comma 42 3 3" xfId="12758" xr:uid="{13D17D72-6A87-48DA-A5FB-6B163EC8624F}"/>
    <cellStyle name="Comma 42 4" xfId="4474" xr:uid="{A661FF34-C2C6-499E-95BD-C5E0D2A1A587}"/>
    <cellStyle name="Comma 42 4 2" xfId="9650" xr:uid="{E1510BF5-F459-49EF-9691-DF57CCF9C57C}"/>
    <cellStyle name="Comma 42 4 2 2" xfId="20002" xr:uid="{498A78E0-31FF-499A-8B4C-0FBE85F4CA69}"/>
    <cellStyle name="Comma 42 4 3" xfId="14826" xr:uid="{F22C37DC-C41D-4278-8BF4-357B59BDD478}"/>
    <cellStyle name="Comma 42 5" xfId="5522" xr:uid="{E9EAFBEB-197F-400A-B2B3-FC254CAFB3D9}"/>
    <cellStyle name="Comma 42 5 2" xfId="15874" xr:uid="{EF835704-5071-4895-9DA5-CD3B095CBBB4}"/>
    <cellStyle name="Comma 42 6" xfId="10700" xr:uid="{6576ADC4-7D0A-4DE6-9CB3-34DDBA34E262}"/>
    <cellStyle name="Comma 420" xfId="660" xr:uid="{6FDAB963-2FC1-47C0-8DFB-A11D1E9BBDC0}"/>
    <cellStyle name="Comma 420 2" xfId="1698" xr:uid="{A0F494A6-FA6D-421B-8D41-BCD854E62CE1}"/>
    <cellStyle name="Comma 420 2 2" xfId="3756" xr:uid="{4F7E77DC-3260-41C1-BC0A-57230F8B57FD}"/>
    <cellStyle name="Comma 420 2 2 2" xfId="8989" xr:uid="{5F4C0280-E78B-4366-BC77-BF4ED281D3F8}"/>
    <cellStyle name="Comma 420 2 2 2 2" xfId="19341" xr:uid="{68E34DFE-DE24-4338-9DD4-AC3C880BD1A4}"/>
    <cellStyle name="Comma 420 2 2 3" xfId="14166" xr:uid="{DB073DFD-FE2F-486B-B627-9A4886F03551}"/>
    <cellStyle name="Comma 420 2 3" xfId="6931" xr:uid="{83B6CB44-68FF-41F4-B80F-C6737124BF9B}"/>
    <cellStyle name="Comma 420 2 3 2" xfId="17283" xr:uid="{24E4095D-B89E-4B8F-9E08-7AC1DC3DD6BD}"/>
    <cellStyle name="Comma 420 2 4" xfId="12108" xr:uid="{EDAFB52E-CA81-41FA-BB41-B62E006C8D51}"/>
    <cellStyle name="Comma 420 3" xfId="2726" xr:uid="{CCE0E5A8-9E0C-4644-9672-E7B7CC9DDCD7}"/>
    <cellStyle name="Comma 420 3 2" xfId="7959" xr:uid="{56C27B5E-0436-48D1-AD6D-A406140D9DE8}"/>
    <cellStyle name="Comma 420 3 2 2" xfId="18311" xr:uid="{5D260D66-01A2-443B-A59D-EEFA3F37E0B1}"/>
    <cellStyle name="Comma 420 3 3" xfId="13136" xr:uid="{7E17B0A1-B0DE-4E94-BA11-78DA9AFA959F}"/>
    <cellStyle name="Comma 420 4" xfId="4852" xr:uid="{6059C563-9FC7-43E4-ADA6-DC7AE2875775}"/>
    <cellStyle name="Comma 420 4 2" xfId="10028" xr:uid="{1DF5E6DB-3512-4543-AF92-113C034C8BDC}"/>
    <cellStyle name="Comma 420 4 2 2" xfId="20380" xr:uid="{35CADC44-E1CF-42D6-A890-E615E57881BF}"/>
    <cellStyle name="Comma 420 4 3" xfId="15204" xr:uid="{7322CEF9-B32D-489B-A37D-35E159B3E7A5}"/>
    <cellStyle name="Comma 420 5" xfId="5900" xr:uid="{A4AFB68E-337E-4F11-9F98-89A5568B89C5}"/>
    <cellStyle name="Comma 420 5 2" xfId="16252" xr:uid="{A0CB34F3-5034-4379-9588-A3B5DA896BA8}"/>
    <cellStyle name="Comma 420 6" xfId="11078" xr:uid="{770F1D8C-276D-4B07-AB5B-4FE708B8F7E1}"/>
    <cellStyle name="Comma 421" xfId="661" xr:uid="{C9826A21-0432-4F83-A89F-6576381A182B}"/>
    <cellStyle name="Comma 421 2" xfId="1699" xr:uid="{87052CF7-18D8-4180-9E83-53AFE372ECEC}"/>
    <cellStyle name="Comma 421 2 2" xfId="3757" xr:uid="{22079BF4-D2D6-49E3-AC66-7A3DB9964273}"/>
    <cellStyle name="Comma 421 2 2 2" xfId="8990" xr:uid="{CDB53A38-E668-4306-8525-CD7AD15FA432}"/>
    <cellStyle name="Comma 421 2 2 2 2" xfId="19342" xr:uid="{308A31BB-C7E4-4CC2-B9A0-D0F7EB99AAD0}"/>
    <cellStyle name="Comma 421 2 2 3" xfId="14167" xr:uid="{B708A826-B48A-4B1B-9568-67D1194001D9}"/>
    <cellStyle name="Comma 421 2 3" xfId="6932" xr:uid="{E575CA7D-FA70-4DDB-9410-47BE3F06F452}"/>
    <cellStyle name="Comma 421 2 3 2" xfId="17284" xr:uid="{E283052B-2E55-494C-B90A-19A07DBF8905}"/>
    <cellStyle name="Comma 421 2 4" xfId="12109" xr:uid="{0B2D6E27-4510-4C87-B64E-BDE46E013165}"/>
    <cellStyle name="Comma 421 3" xfId="2727" xr:uid="{208716DC-02C8-43B9-BAAA-06AAE46261D6}"/>
    <cellStyle name="Comma 421 3 2" xfId="7960" xr:uid="{0C67E591-1AE3-4FB4-86CA-A75AE22D90AF}"/>
    <cellStyle name="Comma 421 3 2 2" xfId="18312" xr:uid="{B9AE8311-9265-4457-A301-B47CB3BF7379}"/>
    <cellStyle name="Comma 421 3 3" xfId="13137" xr:uid="{CBE40899-B8C0-445F-B707-4277D1454CE7}"/>
    <cellStyle name="Comma 421 4" xfId="4853" xr:uid="{DF7C5774-418D-4F03-AB5D-F2C62B6EB3A4}"/>
    <cellStyle name="Comma 421 4 2" xfId="10029" xr:uid="{265292E3-A2CF-4300-9867-84AE2FDED84E}"/>
    <cellStyle name="Comma 421 4 2 2" xfId="20381" xr:uid="{500FF17C-D7F7-4CEB-BACA-8B9A241A9AB2}"/>
    <cellStyle name="Comma 421 4 3" xfId="15205" xr:uid="{65070AC6-4F8E-45AC-B940-072B88A0E04E}"/>
    <cellStyle name="Comma 421 5" xfId="5901" xr:uid="{985DB606-7380-4013-9CAE-C835AD2CF6B9}"/>
    <cellStyle name="Comma 421 5 2" xfId="16253" xr:uid="{49412B51-48CA-4B8B-908F-1B8CAD5DC4A0}"/>
    <cellStyle name="Comma 421 6" xfId="11079" xr:uid="{F1F377A0-52E0-4248-8EC8-7E707211964C}"/>
    <cellStyle name="Comma 422" xfId="662" xr:uid="{895828D4-0950-4A37-AC4C-ED39B38998CC}"/>
    <cellStyle name="Comma 422 2" xfId="1700" xr:uid="{F560E9F0-4038-47B0-89B7-7A476F2A3191}"/>
    <cellStyle name="Comma 422 2 2" xfId="3758" xr:uid="{5D272847-D3C3-4CE3-99C5-83FC1345B9BA}"/>
    <cellStyle name="Comma 422 2 2 2" xfId="8991" xr:uid="{73ED81B2-846F-475C-B581-FEC63F569750}"/>
    <cellStyle name="Comma 422 2 2 2 2" xfId="19343" xr:uid="{2D0983FB-8720-48C7-923E-76124720A9F6}"/>
    <cellStyle name="Comma 422 2 2 3" xfId="14168" xr:uid="{38E4D131-DB43-4DDC-B55F-CA39313F2FD3}"/>
    <cellStyle name="Comma 422 2 3" xfId="6933" xr:uid="{B9DAE45D-3550-480F-B12E-CE79D27BCF4C}"/>
    <cellStyle name="Comma 422 2 3 2" xfId="17285" xr:uid="{A747DA5E-3A9A-4102-A4C2-BECE6541DEA1}"/>
    <cellStyle name="Comma 422 2 4" xfId="12110" xr:uid="{34A1470D-DB92-4E2D-BB76-B8604D26E47B}"/>
    <cellStyle name="Comma 422 3" xfId="2728" xr:uid="{13916D84-A1C2-4075-B6C3-A3FF3FC0EDBE}"/>
    <cellStyle name="Comma 422 3 2" xfId="7961" xr:uid="{C01E15E6-EE7A-41F6-BCA2-744476113278}"/>
    <cellStyle name="Comma 422 3 2 2" xfId="18313" xr:uid="{5F84B987-83B9-40A0-B431-E350D61D488E}"/>
    <cellStyle name="Comma 422 3 3" xfId="13138" xr:uid="{F3CC384E-1D82-496F-B967-333A2550A698}"/>
    <cellStyle name="Comma 422 4" xfId="4854" xr:uid="{A0108942-0546-4506-9E6C-77347EB49076}"/>
    <cellStyle name="Comma 422 4 2" xfId="10030" xr:uid="{A36C0A59-C196-4098-9BC9-2BE59B1E33D1}"/>
    <cellStyle name="Comma 422 4 2 2" xfId="20382" xr:uid="{3D4397FA-3664-433B-BB26-6FAC2B5154D0}"/>
    <cellStyle name="Comma 422 4 3" xfId="15206" xr:uid="{9341F6B3-4347-4806-A660-4AAFDDE83AD0}"/>
    <cellStyle name="Comma 422 5" xfId="5902" xr:uid="{2D715E13-B9B1-436D-91A3-0FAE7BBA08A6}"/>
    <cellStyle name="Comma 422 5 2" xfId="16254" xr:uid="{91242D71-69D6-4F12-8379-D797F212F351}"/>
    <cellStyle name="Comma 422 6" xfId="11080" xr:uid="{E830AB73-392C-42F8-8875-7D28790D8749}"/>
    <cellStyle name="Comma 423" xfId="663" xr:uid="{0CEBFF80-40F6-4027-B677-7E6595855406}"/>
    <cellStyle name="Comma 423 2" xfId="1701" xr:uid="{8321E566-8318-4B1F-A853-012DAA65EF49}"/>
    <cellStyle name="Comma 423 2 2" xfId="3759" xr:uid="{1E36711A-49A7-4591-B164-1B64469F9A49}"/>
    <cellStyle name="Comma 423 2 2 2" xfId="8992" xr:uid="{C4966721-F03B-4283-8426-494CC25F8072}"/>
    <cellStyle name="Comma 423 2 2 2 2" xfId="19344" xr:uid="{FB974D16-C1F9-4F95-A228-EC48227BF6A1}"/>
    <cellStyle name="Comma 423 2 2 3" xfId="14169" xr:uid="{AE25DEB8-441E-4B52-BA41-9F53A60C30DF}"/>
    <cellStyle name="Comma 423 2 3" xfId="6934" xr:uid="{75303C2D-4D41-4E39-B27F-165FD75C59A2}"/>
    <cellStyle name="Comma 423 2 3 2" xfId="17286" xr:uid="{1133EE51-9345-4284-9CB0-003555552891}"/>
    <cellStyle name="Comma 423 2 4" xfId="12111" xr:uid="{D1CA7E66-D3BC-462F-A153-EEF3A057BB05}"/>
    <cellStyle name="Comma 423 3" xfId="2729" xr:uid="{177D3D96-6D09-486A-8C86-B84659D262FF}"/>
    <cellStyle name="Comma 423 3 2" xfId="7962" xr:uid="{A20FA1B2-9B87-4B85-9CFB-5E8B1B9EC4C8}"/>
    <cellStyle name="Comma 423 3 2 2" xfId="18314" xr:uid="{F3EF064C-2339-4D15-9A65-554C744885EE}"/>
    <cellStyle name="Comma 423 3 3" xfId="13139" xr:uid="{A2FD5AE7-D4A0-4CF7-9D1A-61D1975DDDEC}"/>
    <cellStyle name="Comma 423 4" xfId="4855" xr:uid="{E24B2885-B79D-40FA-AE8C-4742A88347DA}"/>
    <cellStyle name="Comma 423 4 2" xfId="10031" xr:uid="{9B640456-669F-4A23-AAA2-A67727C8B8CF}"/>
    <cellStyle name="Comma 423 4 2 2" xfId="20383" xr:uid="{A2C2D5A2-CD76-4C7A-B032-DC724862FD4D}"/>
    <cellStyle name="Comma 423 4 3" xfId="15207" xr:uid="{78C59A8C-65BA-461E-971C-1584A22599C8}"/>
    <cellStyle name="Comma 423 5" xfId="5903" xr:uid="{E55985A8-6F38-4BA8-A95A-420F2E75A6D0}"/>
    <cellStyle name="Comma 423 5 2" xfId="16255" xr:uid="{69AC6CCD-4C84-4E12-B2D7-5E124F17E23D}"/>
    <cellStyle name="Comma 423 6" xfId="11081" xr:uid="{96BD9CA9-9CE5-4A7D-92A0-15246AD14FD6}"/>
    <cellStyle name="Comma 424" xfId="664" xr:uid="{1048CBA2-D17E-426D-897D-D9310620D149}"/>
    <cellStyle name="Comma 424 2" xfId="1702" xr:uid="{0A906DD9-FE68-4BA6-A2ED-8B59A0C7EB56}"/>
    <cellStyle name="Comma 424 2 2" xfId="3760" xr:uid="{A6065073-38E1-46E3-8E6A-A757FD9CC2F6}"/>
    <cellStyle name="Comma 424 2 2 2" xfId="8993" xr:uid="{69632A8D-4C7F-449B-9158-7B42892CA073}"/>
    <cellStyle name="Comma 424 2 2 2 2" xfId="19345" xr:uid="{DFF4C053-77F3-466D-AC9A-E232E0D17C5B}"/>
    <cellStyle name="Comma 424 2 2 3" xfId="14170" xr:uid="{7DF7AA9E-AA80-4A86-BF0B-8FE0E849563F}"/>
    <cellStyle name="Comma 424 2 3" xfId="6935" xr:uid="{06A321F9-2354-4C0B-8392-BE316FE6E25D}"/>
    <cellStyle name="Comma 424 2 3 2" xfId="17287" xr:uid="{06322D69-51DE-41C9-8640-8A556BFBEEBA}"/>
    <cellStyle name="Comma 424 2 4" xfId="12112" xr:uid="{71756B53-9589-48D0-88D8-93703EB3EF74}"/>
    <cellStyle name="Comma 424 3" xfId="2730" xr:uid="{0B95E37C-EDC2-4FC3-A2BE-4F29F65132AC}"/>
    <cellStyle name="Comma 424 3 2" xfId="7963" xr:uid="{49837F2E-83BE-40DE-8F0F-94525DE4CFD3}"/>
    <cellStyle name="Comma 424 3 2 2" xfId="18315" xr:uid="{AE71B4A8-67A8-48D4-AED8-1C5F9FB763CF}"/>
    <cellStyle name="Comma 424 3 3" xfId="13140" xr:uid="{0D714F16-042C-4341-8C99-E5FB28666A45}"/>
    <cellStyle name="Comma 424 4" xfId="4856" xr:uid="{29B8F57D-6AFC-40B7-BD15-1DD9BA9FE92D}"/>
    <cellStyle name="Comma 424 4 2" xfId="10032" xr:uid="{A8794B24-4E38-41B9-AE6B-7FC69667937D}"/>
    <cellStyle name="Comma 424 4 2 2" xfId="20384" xr:uid="{FCE9DD38-C4F1-4C13-BD67-A99C97B86255}"/>
    <cellStyle name="Comma 424 4 3" xfId="15208" xr:uid="{BDFFC727-68AF-4438-94F0-02128FA0D8D7}"/>
    <cellStyle name="Comma 424 5" xfId="5904" xr:uid="{7AEB08CA-6030-46E1-9B47-835D0EE8E1EA}"/>
    <cellStyle name="Comma 424 5 2" xfId="16256" xr:uid="{06CA870A-033B-4D33-B801-0AC47D3D178B}"/>
    <cellStyle name="Comma 424 6" xfId="11082" xr:uid="{AB34B620-6751-4629-85D4-8D8044EE31E7}"/>
    <cellStyle name="Comma 425" xfId="665" xr:uid="{CCC6DD45-984C-4C41-8738-F2D132220A26}"/>
    <cellStyle name="Comma 425 2" xfId="1703" xr:uid="{666E3694-C5AC-418E-825E-8B2E1425B6C6}"/>
    <cellStyle name="Comma 425 2 2" xfId="3761" xr:uid="{D25BF44D-A1E6-4C9D-9363-D75273F72345}"/>
    <cellStyle name="Comma 425 2 2 2" xfId="8994" xr:uid="{B8D8D117-30A6-4924-929C-B341C7C7B5FC}"/>
    <cellStyle name="Comma 425 2 2 2 2" xfId="19346" xr:uid="{0E22191B-369E-4EF0-9164-DBF700C91398}"/>
    <cellStyle name="Comma 425 2 2 3" xfId="14171" xr:uid="{E10721A6-B7FC-4FBE-B46C-BC1C51FB808F}"/>
    <cellStyle name="Comma 425 2 3" xfId="6936" xr:uid="{0CDD7BDD-74FE-43AE-922C-36A07C6AADBB}"/>
    <cellStyle name="Comma 425 2 3 2" xfId="17288" xr:uid="{D7946886-871C-4299-8F8C-82EF3C88E659}"/>
    <cellStyle name="Comma 425 2 4" xfId="12113" xr:uid="{D3D6735F-6FD5-4136-9B97-A4522AD4632B}"/>
    <cellStyle name="Comma 425 3" xfId="2731" xr:uid="{1B28A62F-6087-4F06-91BA-CA9AA68A2624}"/>
    <cellStyle name="Comma 425 3 2" xfId="7964" xr:uid="{EBF5A0CB-9DED-4181-9312-967191D7DEB0}"/>
    <cellStyle name="Comma 425 3 2 2" xfId="18316" xr:uid="{E700E540-EEBF-4D9A-8881-E4B2477A5260}"/>
    <cellStyle name="Comma 425 3 3" xfId="13141" xr:uid="{4590D5A0-20AD-4F2B-BB2A-C3768BD8976A}"/>
    <cellStyle name="Comma 425 4" xfId="4857" xr:uid="{14EC4785-E8B9-4987-8D9E-69E93FD65297}"/>
    <cellStyle name="Comma 425 4 2" xfId="10033" xr:uid="{026918CF-B7C7-4FDF-B745-B4C557743334}"/>
    <cellStyle name="Comma 425 4 2 2" xfId="20385" xr:uid="{26DABD83-F25A-425B-ABF0-872F6A5B0628}"/>
    <cellStyle name="Comma 425 4 3" xfId="15209" xr:uid="{F342F7A6-35FA-4D20-81DD-BC156BFF82B0}"/>
    <cellStyle name="Comma 425 5" xfId="5905" xr:uid="{B6A44E19-93EB-44D4-9B15-0036B7699C19}"/>
    <cellStyle name="Comma 425 5 2" xfId="16257" xr:uid="{D44A8597-32ED-45C6-851C-3121752EE453}"/>
    <cellStyle name="Comma 425 6" xfId="11083" xr:uid="{AC789A7C-B4BD-4DBB-820C-DB5E302BDB87}"/>
    <cellStyle name="Comma 426" xfId="666" xr:uid="{A6131511-8AA3-4F69-A17D-2E8E65CAE400}"/>
    <cellStyle name="Comma 426 2" xfId="1704" xr:uid="{CE1E8239-0C84-4522-83D4-24CF22C0EF3C}"/>
    <cellStyle name="Comma 426 2 2" xfId="3762" xr:uid="{093FF5FA-4158-4616-83F4-CA59643780E6}"/>
    <cellStyle name="Comma 426 2 2 2" xfId="8995" xr:uid="{F236006C-128D-459D-B4B2-8160A121E6A7}"/>
    <cellStyle name="Comma 426 2 2 2 2" xfId="19347" xr:uid="{3E5FC8FD-D24C-4DE0-AFBE-3B37F3D83BED}"/>
    <cellStyle name="Comma 426 2 2 3" xfId="14172" xr:uid="{8B00EF21-0B0F-4D56-855D-4907F41EBD40}"/>
    <cellStyle name="Comma 426 2 3" xfId="6937" xr:uid="{DB396758-7588-4AB6-9B6B-F82AADC51690}"/>
    <cellStyle name="Comma 426 2 3 2" xfId="17289" xr:uid="{9BD5AF2E-E7A0-4B04-9890-466E94B09DE7}"/>
    <cellStyle name="Comma 426 2 4" xfId="12114" xr:uid="{CC9921C0-FBF7-471E-B960-4240BC76DA5A}"/>
    <cellStyle name="Comma 426 3" xfId="2732" xr:uid="{A02758A9-5DDD-4433-83B9-B1A300A800CB}"/>
    <cellStyle name="Comma 426 3 2" xfId="7965" xr:uid="{A003191C-0DBC-4A43-AA02-5B362BB163D1}"/>
    <cellStyle name="Comma 426 3 2 2" xfId="18317" xr:uid="{200C234A-5B97-4691-8944-6184E3DD712D}"/>
    <cellStyle name="Comma 426 3 3" xfId="13142" xr:uid="{B8A4D53C-2E38-4239-98AB-9AE6E6D52ABB}"/>
    <cellStyle name="Comma 426 4" xfId="4858" xr:uid="{9C99AC70-269A-441B-9B9F-7867E788173A}"/>
    <cellStyle name="Comma 426 4 2" xfId="10034" xr:uid="{1D09A14F-267D-4F7D-9D5C-320A95079673}"/>
    <cellStyle name="Comma 426 4 2 2" xfId="20386" xr:uid="{5678873D-57AE-4775-8F5C-5D0A1030A4F3}"/>
    <cellStyle name="Comma 426 4 3" xfId="15210" xr:uid="{28D362B3-A7FA-4C8D-8870-67EB909F582C}"/>
    <cellStyle name="Comma 426 5" xfId="5906" xr:uid="{8078EF6E-63C2-470D-BCA2-8D0AC117E09D}"/>
    <cellStyle name="Comma 426 5 2" xfId="16258" xr:uid="{0D350776-962D-427C-B097-4B3F058E286B}"/>
    <cellStyle name="Comma 426 6" xfId="11084" xr:uid="{C5679223-2D23-4D54-A30F-47F166A6D93A}"/>
    <cellStyle name="Comma 427" xfId="667" xr:uid="{D1F0BDC0-3A28-42C6-9571-C9AA203B5379}"/>
    <cellStyle name="Comma 427 2" xfId="1705" xr:uid="{D02CE973-BCD9-45D9-84E1-03C8677C8BA4}"/>
    <cellStyle name="Comma 427 2 2" xfId="3763" xr:uid="{554E78B7-D09F-428B-A00A-0EC7B6B79792}"/>
    <cellStyle name="Comma 427 2 2 2" xfId="8996" xr:uid="{F6859D0E-B10F-4CA4-B0F3-8C81650A1D91}"/>
    <cellStyle name="Comma 427 2 2 2 2" xfId="19348" xr:uid="{28564AEA-C168-4038-ABAD-C7F792B512C1}"/>
    <cellStyle name="Comma 427 2 2 3" xfId="14173" xr:uid="{852B731A-4639-43BB-8A6D-4674AF80E44D}"/>
    <cellStyle name="Comma 427 2 3" xfId="6938" xr:uid="{A910E55C-35C7-4A3F-94D3-6E262EAAF76D}"/>
    <cellStyle name="Comma 427 2 3 2" xfId="17290" xr:uid="{67C5F70D-7C68-4EE0-A015-803F0F5556B8}"/>
    <cellStyle name="Comma 427 2 4" xfId="12115" xr:uid="{2D6B1213-705D-40BF-B5C7-FB59158870D5}"/>
    <cellStyle name="Comma 427 3" xfId="2733" xr:uid="{8231CA87-D02C-43D7-B854-BF728C936742}"/>
    <cellStyle name="Comma 427 3 2" xfId="7966" xr:uid="{90C53A20-757A-4024-93AF-CA19EEFF6FB9}"/>
    <cellStyle name="Comma 427 3 2 2" xfId="18318" xr:uid="{4E2639B8-C88F-4E9D-875C-5A44304494C7}"/>
    <cellStyle name="Comma 427 3 3" xfId="13143" xr:uid="{E33037D5-CB6B-4E1F-9278-F10EA10DEE20}"/>
    <cellStyle name="Comma 427 4" xfId="4859" xr:uid="{03E64EDA-4D11-411A-844E-FF0340037F73}"/>
    <cellStyle name="Comma 427 4 2" xfId="10035" xr:uid="{CE78372E-162D-4DD6-8E1A-B44F5A7FD151}"/>
    <cellStyle name="Comma 427 4 2 2" xfId="20387" xr:uid="{C6FC73D7-9E54-4FA7-A863-EEC98DB11997}"/>
    <cellStyle name="Comma 427 4 3" xfId="15211" xr:uid="{A0529439-80A2-46B7-A045-EC2C9F0578DC}"/>
    <cellStyle name="Comma 427 5" xfId="5907" xr:uid="{A8B1A87F-F107-4C58-91D3-F7E3E4721828}"/>
    <cellStyle name="Comma 427 5 2" xfId="16259" xr:uid="{97259411-4C09-4D1B-8BAF-F11CEB1749C4}"/>
    <cellStyle name="Comma 427 6" xfId="11085" xr:uid="{8F892D64-501E-4130-BBDC-D1F6F53DADAE}"/>
    <cellStyle name="Comma 428" xfId="668" xr:uid="{ABEB60C6-C014-44E2-BEA0-80B0B272BFD5}"/>
    <cellStyle name="Comma 428 2" xfId="1706" xr:uid="{BD887B6A-BF04-4A7F-8473-84C84A5E2144}"/>
    <cellStyle name="Comma 428 2 2" xfId="3764" xr:uid="{F65F4578-5B2B-497F-A2A7-DFB830D9718F}"/>
    <cellStyle name="Comma 428 2 2 2" xfId="8997" xr:uid="{0D1D725A-9B3A-4C31-AACC-5A16A548C36A}"/>
    <cellStyle name="Comma 428 2 2 2 2" xfId="19349" xr:uid="{6819597A-3C00-4568-B035-EC76D6E2B371}"/>
    <cellStyle name="Comma 428 2 2 3" xfId="14174" xr:uid="{631D4323-52E0-48B9-87D5-43893241FAE1}"/>
    <cellStyle name="Comma 428 2 3" xfId="6939" xr:uid="{F72B2F6C-7CB3-498C-B015-BF6801A9E45E}"/>
    <cellStyle name="Comma 428 2 3 2" xfId="17291" xr:uid="{999BC049-6EF0-48F9-9DA8-5878CDA024FE}"/>
    <cellStyle name="Comma 428 2 4" xfId="12116" xr:uid="{6145F41A-9F01-496E-B371-30264012B26B}"/>
    <cellStyle name="Comma 428 3" xfId="2734" xr:uid="{9CD09F36-D142-401C-8122-895CEBA21D24}"/>
    <cellStyle name="Comma 428 3 2" xfId="7967" xr:uid="{121C6B62-94D5-4AC0-9E29-875168CC4F6E}"/>
    <cellStyle name="Comma 428 3 2 2" xfId="18319" xr:uid="{C308CC61-F7F4-41BC-9CAA-FEEC1DFD0103}"/>
    <cellStyle name="Comma 428 3 3" xfId="13144" xr:uid="{6F267EF4-22E8-4C1B-8A48-603A47753492}"/>
    <cellStyle name="Comma 428 4" xfId="4860" xr:uid="{0FD5809B-703E-42CC-BE9B-EF41AE4487A7}"/>
    <cellStyle name="Comma 428 4 2" xfId="10036" xr:uid="{4638B14B-A440-49EE-9F21-49F98975E381}"/>
    <cellStyle name="Comma 428 4 2 2" xfId="20388" xr:uid="{C885B54C-FE49-417F-BC55-7D84853765BA}"/>
    <cellStyle name="Comma 428 4 3" xfId="15212" xr:uid="{76024297-A816-4268-B925-61CDF13C82A5}"/>
    <cellStyle name="Comma 428 5" xfId="5908" xr:uid="{4DED9A78-6228-4C47-B506-CDDAB5A71A58}"/>
    <cellStyle name="Comma 428 5 2" xfId="16260" xr:uid="{FB7C576F-C014-4098-B483-72C0A24A6DE8}"/>
    <cellStyle name="Comma 428 6" xfId="11086" xr:uid="{BA15DA4F-58C5-4519-A8A1-F342BB65568A}"/>
    <cellStyle name="Comma 429" xfId="669" xr:uid="{830513C7-6EF6-41AD-8507-6F7B4CDBF3EB}"/>
    <cellStyle name="Comma 429 2" xfId="1707" xr:uid="{703C60A7-3BAB-4501-8AC0-7C87CC158DA8}"/>
    <cellStyle name="Comma 429 2 2" xfId="3765" xr:uid="{DA99C589-BFA1-4D3E-816E-BFAB9BCBEA23}"/>
    <cellStyle name="Comma 429 2 2 2" xfId="8998" xr:uid="{F275666D-BA93-489E-80DD-9060FCF6E5DC}"/>
    <cellStyle name="Comma 429 2 2 2 2" xfId="19350" xr:uid="{2FBFF5AC-71C0-4863-B892-622ACEA72E35}"/>
    <cellStyle name="Comma 429 2 2 3" xfId="14175" xr:uid="{E0AD034C-292C-4E71-82BC-29E280DD42BE}"/>
    <cellStyle name="Comma 429 2 3" xfId="6940" xr:uid="{B9C9C76B-C1E3-412A-AAE0-FAAC028BA0EA}"/>
    <cellStyle name="Comma 429 2 3 2" xfId="17292" xr:uid="{BF267042-B982-4D70-AA05-739D17FAC9F3}"/>
    <cellStyle name="Comma 429 2 4" xfId="12117" xr:uid="{57770511-4E92-4132-9F0E-4B94A9E57871}"/>
    <cellStyle name="Comma 429 3" xfId="2735" xr:uid="{8EBD3A2A-E9B6-41DE-9E88-63B9478E0902}"/>
    <cellStyle name="Comma 429 3 2" xfId="7968" xr:uid="{0FA25E29-9495-40E8-A07A-8D11990061EC}"/>
    <cellStyle name="Comma 429 3 2 2" xfId="18320" xr:uid="{DEABF64F-7C73-4D03-B74C-B063EB915846}"/>
    <cellStyle name="Comma 429 3 3" xfId="13145" xr:uid="{430AD53A-CAC5-406D-831B-45A81345B6B6}"/>
    <cellStyle name="Comma 429 4" xfId="4861" xr:uid="{0F5EECBE-F516-4E98-AF23-91B474CC55D4}"/>
    <cellStyle name="Comma 429 4 2" xfId="10037" xr:uid="{8317C52D-6830-4A5D-AB0D-3175D74A2345}"/>
    <cellStyle name="Comma 429 4 2 2" xfId="20389" xr:uid="{DD947E84-E9DA-42B7-9C5F-9E8E093C43D4}"/>
    <cellStyle name="Comma 429 4 3" xfId="15213" xr:uid="{21209456-E0BD-4806-8B5D-C857A1CFAA0F}"/>
    <cellStyle name="Comma 429 5" xfId="5909" xr:uid="{AE12298C-33CF-492F-B55D-6FB4666B557C}"/>
    <cellStyle name="Comma 429 5 2" xfId="16261" xr:uid="{65EF0EC3-B39F-4436-880B-FA9C20763FA2}"/>
    <cellStyle name="Comma 429 6" xfId="11087" xr:uid="{A0AB0CB6-7451-441E-8017-5A203DAC5246}"/>
    <cellStyle name="Comma 43" xfId="243" xr:uid="{6ED96D76-9F93-4793-AEF6-B788E39BB0AF}"/>
    <cellStyle name="Comma 43 2" xfId="1321" xr:uid="{B5FD877F-C682-4EF9-A89F-61E830F355D0}"/>
    <cellStyle name="Comma 43 2 2" xfId="3379" xr:uid="{794FEED4-7035-4C01-8311-C598508E7EF4}"/>
    <cellStyle name="Comma 43 2 2 2" xfId="8612" xr:uid="{088EEABE-56D6-41FA-AC7E-A5551327C096}"/>
    <cellStyle name="Comma 43 2 2 2 2" xfId="18964" xr:uid="{0B6CAF46-C6FD-4454-9228-28234CDC00AD}"/>
    <cellStyle name="Comma 43 2 2 3" xfId="13789" xr:uid="{6EEC83D7-1DE2-4CD9-AE42-179A23FB3CBC}"/>
    <cellStyle name="Comma 43 2 3" xfId="6554" xr:uid="{A46C578E-A821-4782-882C-BBB099BF79ED}"/>
    <cellStyle name="Comma 43 2 3 2" xfId="16906" xr:uid="{E7078D00-04B3-47D8-BF6B-05A6B4A9BB7E}"/>
    <cellStyle name="Comma 43 2 4" xfId="11731" xr:uid="{FA7BEC70-E62B-40FA-AFDF-795C9626E8C7}"/>
    <cellStyle name="Comma 43 3" xfId="2349" xr:uid="{20A8CE51-38E5-478E-9B74-30F9A9B29919}"/>
    <cellStyle name="Comma 43 3 2" xfId="7582" xr:uid="{6B1C75BA-FBD9-40C2-8DC8-B243A874866E}"/>
    <cellStyle name="Comma 43 3 2 2" xfId="17934" xr:uid="{4AE2D42F-9110-4B08-8CFF-564C8945639C}"/>
    <cellStyle name="Comma 43 3 3" xfId="12759" xr:uid="{8886FA0D-B68B-4315-B95F-43BCC2ADFF57}"/>
    <cellStyle name="Comma 43 4" xfId="4475" xr:uid="{825F8AF8-8014-48B5-98B3-26BB324C6757}"/>
    <cellStyle name="Comma 43 4 2" xfId="9651" xr:uid="{979091E3-9428-4A0E-AE3E-2388C686160C}"/>
    <cellStyle name="Comma 43 4 2 2" xfId="20003" xr:uid="{F44A13F6-34E4-4A74-A910-55D42FB000EC}"/>
    <cellStyle name="Comma 43 4 3" xfId="14827" xr:uid="{BFB50F05-CCF1-48D8-A582-44C2055AC8E7}"/>
    <cellStyle name="Comma 43 5" xfId="5523" xr:uid="{160D6744-326F-4AEE-9288-8F0CF96099AA}"/>
    <cellStyle name="Comma 43 5 2" xfId="15875" xr:uid="{AC4BB2DE-8E1E-4770-BFDD-8559F8A619AE}"/>
    <cellStyle name="Comma 43 6" xfId="10701" xr:uid="{6DDF25CA-A1F8-4248-9F54-FCB1E3D2254E}"/>
    <cellStyle name="Comma 430" xfId="670" xr:uid="{34A14F28-42CA-4CA7-85B9-57628CA6EED8}"/>
    <cellStyle name="Comma 430 2" xfId="1708" xr:uid="{4BDE15EB-A80E-4551-A777-B62C88312943}"/>
    <cellStyle name="Comma 430 2 2" xfId="3766" xr:uid="{963776CB-473F-47AB-ABB9-47691F665405}"/>
    <cellStyle name="Comma 430 2 2 2" xfId="8999" xr:uid="{2F9BAA71-DDF9-4692-9D93-C536A1268323}"/>
    <cellStyle name="Comma 430 2 2 2 2" xfId="19351" xr:uid="{97A8BFD4-5B38-474A-9A26-AA0BFB7B3E3E}"/>
    <cellStyle name="Comma 430 2 2 3" xfId="14176" xr:uid="{8D6049EF-FDEF-45CF-8BCF-8C175BA2D8BD}"/>
    <cellStyle name="Comma 430 2 3" xfId="6941" xr:uid="{E1850286-4F8E-4C75-8541-DA6EDF3196E7}"/>
    <cellStyle name="Comma 430 2 3 2" xfId="17293" xr:uid="{A3BF4207-AE87-463E-8F52-07B9C14C09BD}"/>
    <cellStyle name="Comma 430 2 4" xfId="12118" xr:uid="{2E84A19F-7953-4A89-AF64-32A856ABD5D7}"/>
    <cellStyle name="Comma 430 3" xfId="2736" xr:uid="{014C7296-F9F9-409A-A220-76428A9CBC99}"/>
    <cellStyle name="Comma 430 3 2" xfId="7969" xr:uid="{C53F93AF-7A32-4E3A-9EBC-29A520E30095}"/>
    <cellStyle name="Comma 430 3 2 2" xfId="18321" xr:uid="{9DD6BEF7-AEB8-4378-8342-54D72895A8B5}"/>
    <cellStyle name="Comma 430 3 3" xfId="13146" xr:uid="{17E25526-789B-4516-84BB-2ED43C63F3E7}"/>
    <cellStyle name="Comma 430 4" xfId="4862" xr:uid="{4148887A-7C53-40EF-95BA-A4E466598CCC}"/>
    <cellStyle name="Comma 430 4 2" xfId="10038" xr:uid="{5CB3E7B4-136C-4F62-87EE-48E618B55B83}"/>
    <cellStyle name="Comma 430 4 2 2" xfId="20390" xr:uid="{0B8228A3-907E-4148-A004-7E41F0A47527}"/>
    <cellStyle name="Comma 430 4 3" xfId="15214" xr:uid="{1D58659C-3A8F-4088-9710-59907F87F937}"/>
    <cellStyle name="Comma 430 5" xfId="5910" xr:uid="{9A36382F-AA56-439B-8E44-9B9F1EA62C45}"/>
    <cellStyle name="Comma 430 5 2" xfId="16262" xr:uid="{C25B2469-153F-4314-8096-283659A369B6}"/>
    <cellStyle name="Comma 430 6" xfId="11088" xr:uid="{2A63B3F4-9842-4B81-B43A-AA6F3A4C5BB7}"/>
    <cellStyle name="Comma 431" xfId="671" xr:uid="{6EDC65E7-B1C7-4DD2-8AB3-087B577A7711}"/>
    <cellStyle name="Comma 431 2" xfId="1709" xr:uid="{D2CA72E8-6718-47BC-9D3D-B40520D1E13A}"/>
    <cellStyle name="Comma 431 2 2" xfId="3767" xr:uid="{1AFBF85A-F7EB-4CD9-AD1B-AFC743E4E8DB}"/>
    <cellStyle name="Comma 431 2 2 2" xfId="9000" xr:uid="{A0628083-CC72-4690-A585-59C559B90158}"/>
    <cellStyle name="Comma 431 2 2 2 2" xfId="19352" xr:uid="{5170A015-D72F-41E4-B7AA-3FB14AC433CD}"/>
    <cellStyle name="Comma 431 2 2 3" xfId="14177" xr:uid="{60775C26-47CE-4B92-96B3-8902F32BA3DC}"/>
    <cellStyle name="Comma 431 2 3" xfId="6942" xr:uid="{6B3673FA-992A-4C0B-9F1F-87E673013068}"/>
    <cellStyle name="Comma 431 2 3 2" xfId="17294" xr:uid="{833E5248-47B2-476C-83CD-043C573B9EC0}"/>
    <cellStyle name="Comma 431 2 4" xfId="12119" xr:uid="{D686BC4A-C55E-4EBA-A92F-6FBB8FFB0B99}"/>
    <cellStyle name="Comma 431 3" xfId="2737" xr:uid="{59FC5B41-405A-439A-9CA7-62DA6E75D9C1}"/>
    <cellStyle name="Comma 431 3 2" xfId="7970" xr:uid="{77839489-4795-41F2-AAA4-AB407282EB21}"/>
    <cellStyle name="Comma 431 3 2 2" xfId="18322" xr:uid="{BB3B48CA-A84E-4264-811E-C72C884139A2}"/>
    <cellStyle name="Comma 431 3 3" xfId="13147" xr:uid="{B8BD6944-119B-499E-902D-30531DC891C8}"/>
    <cellStyle name="Comma 431 4" xfId="4863" xr:uid="{2ECC24B3-0355-42E3-9957-CE9397845B79}"/>
    <cellStyle name="Comma 431 4 2" xfId="10039" xr:uid="{D6F8BC6D-B92A-4750-9152-8403FA15CF55}"/>
    <cellStyle name="Comma 431 4 2 2" xfId="20391" xr:uid="{AA478D46-2AC4-4218-A1FF-7E7987FBDD9E}"/>
    <cellStyle name="Comma 431 4 3" xfId="15215" xr:uid="{6FD73C9F-E369-41C8-87AA-D7533B223EB1}"/>
    <cellStyle name="Comma 431 5" xfId="5911" xr:uid="{EC7C1FC3-2CC2-4722-B518-893A3AA5EAE6}"/>
    <cellStyle name="Comma 431 5 2" xfId="16263" xr:uid="{FB63420C-CF5B-480E-BD9A-3532748A4105}"/>
    <cellStyle name="Comma 431 6" xfId="11089" xr:uid="{A96C2C87-F970-4FB9-BEBD-3F1EB6C8FC59}"/>
    <cellStyle name="Comma 432" xfId="672" xr:uid="{AF28C2D9-1B53-41EC-B8AD-8AA3774AB96E}"/>
    <cellStyle name="Comma 432 2" xfId="1710" xr:uid="{1F2384D0-0A86-43D1-8151-250462EA6EC9}"/>
    <cellStyle name="Comma 432 2 2" xfId="3768" xr:uid="{7DFBF47B-1479-4DBE-8DCD-F9234BE78B0E}"/>
    <cellStyle name="Comma 432 2 2 2" xfId="9001" xr:uid="{D08C3F27-728E-49BA-9BE6-E61B78BE6B97}"/>
    <cellStyle name="Comma 432 2 2 2 2" xfId="19353" xr:uid="{3BA3CA30-C125-4632-9E4C-6A7104F45612}"/>
    <cellStyle name="Comma 432 2 2 3" xfId="14178" xr:uid="{CE5EE957-981C-4487-96CD-920E339D3167}"/>
    <cellStyle name="Comma 432 2 3" xfId="6943" xr:uid="{C7ACC207-6BFB-407E-942A-D242B48B603B}"/>
    <cellStyle name="Comma 432 2 3 2" xfId="17295" xr:uid="{CEEE099C-D918-445B-BA1E-4564DB8A3D42}"/>
    <cellStyle name="Comma 432 2 4" xfId="12120" xr:uid="{D84ADD14-C656-43C1-81A1-A28DC216BEA3}"/>
    <cellStyle name="Comma 432 3" xfId="2738" xr:uid="{1CD34E90-5D79-47F7-8BDD-57EEF395368E}"/>
    <cellStyle name="Comma 432 3 2" xfId="7971" xr:uid="{D7AFCED0-23F1-432A-949A-6A8CA1FC1EFB}"/>
    <cellStyle name="Comma 432 3 2 2" xfId="18323" xr:uid="{7DE57CBD-A2D5-4C85-97D8-4447AB2C7EDC}"/>
    <cellStyle name="Comma 432 3 3" xfId="13148" xr:uid="{889E59DB-D3F7-4F62-BDBA-98C6E3748B97}"/>
    <cellStyle name="Comma 432 4" xfId="4864" xr:uid="{FCA4AEB7-C07E-4C3F-BB3F-16193BF6AEFF}"/>
    <cellStyle name="Comma 432 4 2" xfId="10040" xr:uid="{5F708E78-9F0B-4CE1-8CDE-5180EC05F904}"/>
    <cellStyle name="Comma 432 4 2 2" xfId="20392" xr:uid="{AF7C407D-4B02-4004-B803-7DF2B08D6812}"/>
    <cellStyle name="Comma 432 4 3" xfId="15216" xr:uid="{7983BF3F-8C5F-4971-9414-99665F024E4C}"/>
    <cellStyle name="Comma 432 5" xfId="5912" xr:uid="{3D285705-EE04-4594-9DF9-4C1CF64BAF62}"/>
    <cellStyle name="Comma 432 5 2" xfId="16264" xr:uid="{6BA3C5FC-7061-44BF-AD7C-27DF41E2B2BA}"/>
    <cellStyle name="Comma 432 6" xfId="11090" xr:uid="{6ED8FE74-281B-4627-8704-82115E26998C}"/>
    <cellStyle name="Comma 433" xfId="673" xr:uid="{71AAA983-5E2C-4DE4-A59A-C79AAB17D530}"/>
    <cellStyle name="Comma 433 2" xfId="1711" xr:uid="{4A49F689-D7EC-4E9A-B769-3D974B3D8A51}"/>
    <cellStyle name="Comma 433 2 2" xfId="3769" xr:uid="{1B7F2356-B864-454B-8CEB-AB9A3C68A2BD}"/>
    <cellStyle name="Comma 433 2 2 2" xfId="9002" xr:uid="{3ADEB35A-B102-419C-8013-13AB368BB853}"/>
    <cellStyle name="Comma 433 2 2 2 2" xfId="19354" xr:uid="{BD91BC6F-0A3D-4AE9-B6D4-7B4BF1305FA4}"/>
    <cellStyle name="Comma 433 2 2 3" xfId="14179" xr:uid="{2B67B16D-9DDD-40A2-8242-C582611444B5}"/>
    <cellStyle name="Comma 433 2 3" xfId="6944" xr:uid="{9C5A8114-DC90-4F7B-92D2-BBCE05FF8C8A}"/>
    <cellStyle name="Comma 433 2 3 2" xfId="17296" xr:uid="{CE73CBF6-82A1-4111-AD09-35712B038A93}"/>
    <cellStyle name="Comma 433 2 4" xfId="12121" xr:uid="{918DE5D9-2861-4AF8-9780-16FF3C7C5C44}"/>
    <cellStyle name="Comma 433 3" xfId="2739" xr:uid="{AEEEF673-08BE-498F-B027-3290927BC19E}"/>
    <cellStyle name="Comma 433 3 2" xfId="7972" xr:uid="{987FE71D-65E7-4D75-87E7-E9F171FAEE7E}"/>
    <cellStyle name="Comma 433 3 2 2" xfId="18324" xr:uid="{CC6F000F-34CA-40ED-945D-37CB5D777B8B}"/>
    <cellStyle name="Comma 433 3 3" xfId="13149" xr:uid="{79F83D83-CE29-4684-8939-CED57C4AFBC6}"/>
    <cellStyle name="Comma 433 4" xfId="4865" xr:uid="{C7598BB6-8294-4773-9663-25C0F3CBDE4A}"/>
    <cellStyle name="Comma 433 4 2" xfId="10041" xr:uid="{4E8BA863-8D1A-4F9A-A34D-4410EB65AEFB}"/>
    <cellStyle name="Comma 433 4 2 2" xfId="20393" xr:uid="{B6B199C5-2374-44FF-9DB7-76BB42EDFBCF}"/>
    <cellStyle name="Comma 433 4 3" xfId="15217" xr:uid="{4C5F8ED2-9600-42AE-950B-9EE243A45953}"/>
    <cellStyle name="Comma 433 5" xfId="5913" xr:uid="{1226C579-60BE-4186-BE15-833AE84D7ECE}"/>
    <cellStyle name="Comma 433 5 2" xfId="16265" xr:uid="{EDBB89A1-28AD-4CD2-831D-3DD7D8F57F60}"/>
    <cellStyle name="Comma 433 6" xfId="11091" xr:uid="{A4215703-23B3-4970-9EDA-40E13A949E64}"/>
    <cellStyle name="Comma 434" xfId="674" xr:uid="{14372953-6C93-4872-A5EC-A01339705704}"/>
    <cellStyle name="Comma 434 2" xfId="1712" xr:uid="{A4D9D95D-B65C-4394-A1E8-0E1055F5010B}"/>
    <cellStyle name="Comma 434 2 2" xfId="3770" xr:uid="{4F8AB504-D650-4319-A3F7-BFDF9635038D}"/>
    <cellStyle name="Comma 434 2 2 2" xfId="9003" xr:uid="{05DD7FFB-D2AA-44D1-AE64-744B79A7BC0B}"/>
    <cellStyle name="Comma 434 2 2 2 2" xfId="19355" xr:uid="{03C88FC7-E4D7-4538-BEB6-4B87D1148F92}"/>
    <cellStyle name="Comma 434 2 2 3" xfId="14180" xr:uid="{8CDFD3A2-9EDE-4F37-AECA-08363ADD1F4B}"/>
    <cellStyle name="Comma 434 2 3" xfId="6945" xr:uid="{5B5F297B-9206-464C-9BA9-DC339A5C9194}"/>
    <cellStyle name="Comma 434 2 3 2" xfId="17297" xr:uid="{B6CD4F80-7ADD-4F49-AA56-6CC2530916B4}"/>
    <cellStyle name="Comma 434 2 4" xfId="12122" xr:uid="{0453C144-C064-4A3A-8D88-4947172F6ACF}"/>
    <cellStyle name="Comma 434 3" xfId="2740" xr:uid="{75561B41-E324-4B68-992A-F8425A3CA59D}"/>
    <cellStyle name="Comma 434 3 2" xfId="7973" xr:uid="{C0D545AB-C1E0-4BF1-939F-FD0B3CB136BF}"/>
    <cellStyle name="Comma 434 3 2 2" xfId="18325" xr:uid="{3C15D3FF-B65B-4E05-A00C-45CFC365D673}"/>
    <cellStyle name="Comma 434 3 3" xfId="13150" xr:uid="{93A7CFC8-642A-45D7-8408-27FF24D7D4A4}"/>
    <cellStyle name="Comma 434 4" xfId="4866" xr:uid="{7CD45660-DBB9-4FC7-856A-296B569BF41B}"/>
    <cellStyle name="Comma 434 4 2" xfId="10042" xr:uid="{E9454A7C-AEB4-4A84-A83E-C4D5D027513F}"/>
    <cellStyle name="Comma 434 4 2 2" xfId="20394" xr:uid="{72004A04-A646-4F29-A5F8-B685DB24E1A3}"/>
    <cellStyle name="Comma 434 4 3" xfId="15218" xr:uid="{A289ADC3-51CB-4F50-A1D5-C22178F7579B}"/>
    <cellStyle name="Comma 434 5" xfId="5914" xr:uid="{20A78F83-71FF-4806-B34F-02F2DFDF669D}"/>
    <cellStyle name="Comma 434 5 2" xfId="16266" xr:uid="{14783732-AD2A-41BC-9CBE-7E884A2CB463}"/>
    <cellStyle name="Comma 434 6" xfId="11092" xr:uid="{0155A437-A0BB-4524-A16E-763E48028B03}"/>
    <cellStyle name="Comma 435" xfId="675" xr:uid="{66099E2B-C668-42C4-A1C8-A427FA1930BE}"/>
    <cellStyle name="Comma 435 2" xfId="1713" xr:uid="{F61D338C-31FC-4E2A-B9CF-4A2084E5ADEC}"/>
    <cellStyle name="Comma 435 2 2" xfId="3771" xr:uid="{5A3CF42E-D938-4DAB-9A75-42217FC25E65}"/>
    <cellStyle name="Comma 435 2 2 2" xfId="9004" xr:uid="{9A63D3BD-C3EB-412C-839C-9FE359B5FB39}"/>
    <cellStyle name="Comma 435 2 2 2 2" xfId="19356" xr:uid="{54337AAD-5795-45B3-87A1-4EE9F2B0E0BE}"/>
    <cellStyle name="Comma 435 2 2 3" xfId="14181" xr:uid="{945D5C80-F298-4C39-8BFD-887AEE6ED95D}"/>
    <cellStyle name="Comma 435 2 3" xfId="6946" xr:uid="{0436B8C7-47FA-4DD9-A038-1079BC7F9DE4}"/>
    <cellStyle name="Comma 435 2 3 2" xfId="17298" xr:uid="{97D1CF88-05E2-45C9-B7EC-CA2233412C0B}"/>
    <cellStyle name="Comma 435 2 4" xfId="12123" xr:uid="{75B5245A-D806-4EDE-B384-1A839B36007A}"/>
    <cellStyle name="Comma 435 3" xfId="2741" xr:uid="{22E04853-AAB4-4EE9-B8BE-770361914AB3}"/>
    <cellStyle name="Comma 435 3 2" xfId="7974" xr:uid="{FC49B60B-5D2F-4B08-8A92-677913E14ECC}"/>
    <cellStyle name="Comma 435 3 2 2" xfId="18326" xr:uid="{0B102EA8-D3FC-491D-94AA-8B4DE80B8CB8}"/>
    <cellStyle name="Comma 435 3 3" xfId="13151" xr:uid="{E1494821-9948-4F69-B522-C8B54584AB17}"/>
    <cellStyle name="Comma 435 4" xfId="4867" xr:uid="{EE08F667-3A1D-49FE-8AD0-83833900983C}"/>
    <cellStyle name="Comma 435 4 2" xfId="10043" xr:uid="{ED5C05AA-A576-4BE7-BA99-E6C1CED1BAF0}"/>
    <cellStyle name="Comma 435 4 2 2" xfId="20395" xr:uid="{C5D4E531-AF02-4161-A357-146B1C8BE24A}"/>
    <cellStyle name="Comma 435 4 3" xfId="15219" xr:uid="{9F4163A9-071F-48B8-BD28-D6EA1B9BFB45}"/>
    <cellStyle name="Comma 435 5" xfId="5915" xr:uid="{DACD11F8-3FB0-4460-920D-147CE313C2F2}"/>
    <cellStyle name="Comma 435 5 2" xfId="16267" xr:uid="{CA78FBE9-87E4-4725-9C4A-CEA9EE090BAD}"/>
    <cellStyle name="Comma 435 6" xfId="11093" xr:uid="{0AC5C269-3F4A-4DCF-BDAC-8D3E71CEAEFE}"/>
    <cellStyle name="Comma 436" xfId="676" xr:uid="{29F6F5CC-7623-4ACE-B1EF-015DB375DC79}"/>
    <cellStyle name="Comma 436 2" xfId="1714" xr:uid="{B50E24D7-403D-4A1D-AFA3-FC7C11C04620}"/>
    <cellStyle name="Comma 436 2 2" xfId="3772" xr:uid="{DA189FC4-3909-4A39-9DE6-F509A4382491}"/>
    <cellStyle name="Comma 436 2 2 2" xfId="9005" xr:uid="{B1F90157-205F-4718-B88D-2F7ABFFA1DB0}"/>
    <cellStyle name="Comma 436 2 2 2 2" xfId="19357" xr:uid="{D077B12A-4041-403B-AE4E-61956DE7B2EC}"/>
    <cellStyle name="Comma 436 2 2 3" xfId="14182" xr:uid="{C575DA08-B2F0-408B-A407-94E483000FAF}"/>
    <cellStyle name="Comma 436 2 3" xfId="6947" xr:uid="{B34ED4A0-869F-49BB-8E10-F89DF9DF79BC}"/>
    <cellStyle name="Comma 436 2 3 2" xfId="17299" xr:uid="{ACFBFD1B-AC90-4554-8648-893107F0D20B}"/>
    <cellStyle name="Comma 436 2 4" xfId="12124" xr:uid="{E686EDF7-46B0-42D2-BCBE-7AEC12FD8B26}"/>
    <cellStyle name="Comma 436 3" xfId="2742" xr:uid="{0E116E90-7546-4281-AD18-47DF50268161}"/>
    <cellStyle name="Comma 436 3 2" xfId="7975" xr:uid="{7F7CD8CD-8373-4851-8688-B83F189BEC76}"/>
    <cellStyle name="Comma 436 3 2 2" xfId="18327" xr:uid="{E57FA0EC-89D8-49E5-8ECF-2AD8AEC76BB4}"/>
    <cellStyle name="Comma 436 3 3" xfId="13152" xr:uid="{FE5CE962-9F4B-486D-8039-907DA45DCC58}"/>
    <cellStyle name="Comma 436 4" xfId="4868" xr:uid="{07DF4E79-EA7F-4E2E-8F86-315BD8FD415F}"/>
    <cellStyle name="Comma 436 4 2" xfId="10044" xr:uid="{77F98E92-1BD6-4B4A-9B37-938F0BE7F1EF}"/>
    <cellStyle name="Comma 436 4 2 2" xfId="20396" xr:uid="{2CAB3E99-5FE3-4F4A-BD3A-ACFA2C8466D3}"/>
    <cellStyle name="Comma 436 4 3" xfId="15220" xr:uid="{618A4FA5-73D8-4180-9268-A0BB1ADC59E5}"/>
    <cellStyle name="Comma 436 5" xfId="5916" xr:uid="{F5698531-DE93-4216-ABBE-F6FD2788FD3F}"/>
    <cellStyle name="Comma 436 5 2" xfId="16268" xr:uid="{B44428F7-1D6C-4A6A-B6E1-E79EAE07D4E6}"/>
    <cellStyle name="Comma 436 6" xfId="11094" xr:uid="{DA4DEEEA-EEA1-4EA5-8163-88A56B612532}"/>
    <cellStyle name="Comma 437" xfId="677" xr:uid="{96FC980B-0A80-4312-9CA0-2FB4E448E0A5}"/>
    <cellStyle name="Comma 437 2" xfId="1715" xr:uid="{05ABB42E-B45A-4325-8384-71A05FF557B0}"/>
    <cellStyle name="Comma 437 2 2" xfId="3773" xr:uid="{202C40E9-A372-435D-AC45-FAD0242ADE16}"/>
    <cellStyle name="Comma 437 2 2 2" xfId="9006" xr:uid="{12CD1E2A-10E1-43B2-B867-26C090CDB54F}"/>
    <cellStyle name="Comma 437 2 2 2 2" xfId="19358" xr:uid="{17617E3E-86F5-4F15-9FD9-D9E75B75F094}"/>
    <cellStyle name="Comma 437 2 2 3" xfId="14183" xr:uid="{80DC6D76-9B09-4B61-B7FB-A372D0CC454E}"/>
    <cellStyle name="Comma 437 2 3" xfId="6948" xr:uid="{1E9A6717-45E8-47DB-BB3C-A1E958120499}"/>
    <cellStyle name="Comma 437 2 3 2" xfId="17300" xr:uid="{9F546C8B-D8F9-4B1C-A640-B04004E57A11}"/>
    <cellStyle name="Comma 437 2 4" xfId="12125" xr:uid="{AA545D26-4D69-4DD4-BC0A-D19866F46855}"/>
    <cellStyle name="Comma 437 3" xfId="2743" xr:uid="{311A5BDA-5216-428B-8610-A553A0FFA575}"/>
    <cellStyle name="Comma 437 3 2" xfId="7976" xr:uid="{11E6099C-1DB9-4F82-947C-B8AD31E5F669}"/>
    <cellStyle name="Comma 437 3 2 2" xfId="18328" xr:uid="{D4B46F94-5C53-452C-9592-9ABD357DA74D}"/>
    <cellStyle name="Comma 437 3 3" xfId="13153" xr:uid="{4D30AADA-75A0-412C-83E6-3B8D6B5DEE7A}"/>
    <cellStyle name="Comma 437 4" xfId="4869" xr:uid="{3A2631D5-5D76-4C78-9CFA-45777634BC4B}"/>
    <cellStyle name="Comma 437 4 2" xfId="10045" xr:uid="{E465BE2E-D3AE-4DD0-9268-51536EACF38C}"/>
    <cellStyle name="Comma 437 4 2 2" xfId="20397" xr:uid="{0AD8B5A8-EC91-4DA0-86FC-FD9D0EF4AEA2}"/>
    <cellStyle name="Comma 437 4 3" xfId="15221" xr:uid="{DF196D94-EBD0-4EED-8975-690960A32A9F}"/>
    <cellStyle name="Comma 437 5" xfId="5917" xr:uid="{2354C816-7873-4437-A9FE-ADA6BF40EC10}"/>
    <cellStyle name="Comma 437 5 2" xfId="16269" xr:uid="{E8F3016A-4F54-41FB-9826-984417BA0074}"/>
    <cellStyle name="Comma 437 6" xfId="11095" xr:uid="{BE4CA06A-92E0-4AE8-8C68-A6E5C9FA8DED}"/>
    <cellStyle name="Comma 438" xfId="678" xr:uid="{7D1B65FB-5C25-4C1A-B0B6-0C558C1512E6}"/>
    <cellStyle name="Comma 438 2" xfId="1716" xr:uid="{69FAC105-FAFB-4EBE-83C8-CFC9F85B1F86}"/>
    <cellStyle name="Comma 438 2 2" xfId="3774" xr:uid="{BFE21B2B-CC9D-47B0-9201-6361C0BF7ED6}"/>
    <cellStyle name="Comma 438 2 2 2" xfId="9007" xr:uid="{74507DB3-6C84-4C86-A7C8-A5272ACFFCF2}"/>
    <cellStyle name="Comma 438 2 2 2 2" xfId="19359" xr:uid="{157E1389-37C2-4E4B-9529-529F057E8223}"/>
    <cellStyle name="Comma 438 2 2 3" xfId="14184" xr:uid="{4A5A89E0-26B1-4A34-AEE0-D535213F3CBA}"/>
    <cellStyle name="Comma 438 2 3" xfId="6949" xr:uid="{6435D7A8-4AC3-4858-9C07-AC307BF79CD0}"/>
    <cellStyle name="Comma 438 2 3 2" xfId="17301" xr:uid="{9F7A4A9F-BE30-44A4-A4A9-4DB1CB08FCD7}"/>
    <cellStyle name="Comma 438 2 4" xfId="12126" xr:uid="{54128628-0752-45F0-9B53-6F33A8F2A3DA}"/>
    <cellStyle name="Comma 438 3" xfId="2744" xr:uid="{2C8522CF-C3F8-4C8A-9011-8FE92FE9ECDF}"/>
    <cellStyle name="Comma 438 3 2" xfId="7977" xr:uid="{AB028F7D-D204-418B-8F5B-D729E9951F73}"/>
    <cellStyle name="Comma 438 3 2 2" xfId="18329" xr:uid="{3DA6C796-B702-4C30-B51B-2EB41AF7F691}"/>
    <cellStyle name="Comma 438 3 3" xfId="13154" xr:uid="{1603CB77-C8EC-4E6E-88D6-76DBB62177BB}"/>
    <cellStyle name="Comma 438 4" xfId="4870" xr:uid="{6F2FB522-7B71-49C5-91D7-B3D108FA8A97}"/>
    <cellStyle name="Comma 438 4 2" xfId="10046" xr:uid="{60621BB3-4F09-4C2D-ABB4-A136A2005ECC}"/>
    <cellStyle name="Comma 438 4 2 2" xfId="20398" xr:uid="{975F5B51-5968-4CF8-A152-EED9492C4643}"/>
    <cellStyle name="Comma 438 4 3" xfId="15222" xr:uid="{E784BB8F-73D5-44DB-9B35-731B95F52CC8}"/>
    <cellStyle name="Comma 438 5" xfId="5918" xr:uid="{0AF70116-0033-430A-B224-2CE6623E754E}"/>
    <cellStyle name="Comma 438 5 2" xfId="16270" xr:uid="{2F7399B5-E71B-400D-AEC3-02AF1DE88EF1}"/>
    <cellStyle name="Comma 438 6" xfId="11096" xr:uid="{93206945-27FC-4FFA-8AC9-2DF4E9C3CCD8}"/>
    <cellStyle name="Comma 439" xfId="679" xr:uid="{0F20D034-58A9-46E5-A61A-832E5353749C}"/>
    <cellStyle name="Comma 439 2" xfId="1717" xr:uid="{85D00CE2-C7D2-4072-A50B-21C1C0F15D55}"/>
    <cellStyle name="Comma 439 2 2" xfId="3775" xr:uid="{24057669-2332-4D77-858A-D0A5E91A0E29}"/>
    <cellStyle name="Comma 439 2 2 2" xfId="9008" xr:uid="{AABD0727-2E23-46BE-85B4-6435A22E61C5}"/>
    <cellStyle name="Comma 439 2 2 2 2" xfId="19360" xr:uid="{D61CB4FF-636D-4799-9F41-B8F19895B73F}"/>
    <cellStyle name="Comma 439 2 2 3" xfId="14185" xr:uid="{B5F25D01-23DB-41B9-9521-333F6F853E3F}"/>
    <cellStyle name="Comma 439 2 3" xfId="6950" xr:uid="{39CF5EBF-0BCF-4D72-9C96-E086E3B8F029}"/>
    <cellStyle name="Comma 439 2 3 2" xfId="17302" xr:uid="{FE6A9A54-2BD3-490D-8B32-24EB56B6D60A}"/>
    <cellStyle name="Comma 439 2 4" xfId="12127" xr:uid="{5D4C2383-2180-4F03-AF4A-A33266D42582}"/>
    <cellStyle name="Comma 439 3" xfId="2745" xr:uid="{587E9839-4DE5-420C-9441-9DAF68F67501}"/>
    <cellStyle name="Comma 439 3 2" xfId="7978" xr:uid="{5D0C7234-B92A-47DA-9B84-8103613E17E4}"/>
    <cellStyle name="Comma 439 3 2 2" xfId="18330" xr:uid="{B7FE98EF-1105-479B-A486-70058B598F50}"/>
    <cellStyle name="Comma 439 3 3" xfId="13155" xr:uid="{4C88A935-F164-4407-BC60-6A31371A4566}"/>
    <cellStyle name="Comma 439 4" xfId="4871" xr:uid="{2C258833-25C6-41FE-A567-F19609C37BD3}"/>
    <cellStyle name="Comma 439 4 2" xfId="10047" xr:uid="{A6834BC9-99DB-46DC-A0E6-4070689F6BE5}"/>
    <cellStyle name="Comma 439 4 2 2" xfId="20399" xr:uid="{B2764E08-4C60-4454-9F8E-F813C6521303}"/>
    <cellStyle name="Comma 439 4 3" xfId="15223" xr:uid="{8601584F-F4BD-4CE6-86D5-95EAE88BB5C3}"/>
    <cellStyle name="Comma 439 5" xfId="5919" xr:uid="{15B30441-AF64-4B98-A5C6-2B61D038E420}"/>
    <cellStyle name="Comma 439 5 2" xfId="16271" xr:uid="{CC36949D-1083-4CC8-B2ED-BD44116AA32A}"/>
    <cellStyle name="Comma 439 6" xfId="11097" xr:uid="{BB682B0D-FA5F-4D11-AE45-135E486F69EE}"/>
    <cellStyle name="Comma 44" xfId="244" xr:uid="{EF182962-4AAC-44E4-8D35-26E592CC6073}"/>
    <cellStyle name="Comma 44 2" xfId="1322" xr:uid="{1116DAB1-865B-4CA5-A920-2AE258B143F7}"/>
    <cellStyle name="Comma 44 2 2" xfId="3380" xr:uid="{FA3AB767-3379-44BB-B46C-D8F042C5F7F9}"/>
    <cellStyle name="Comma 44 2 2 2" xfId="8613" xr:uid="{0D20ECB8-0C24-40C5-ABFD-137B57B65113}"/>
    <cellStyle name="Comma 44 2 2 2 2" xfId="18965" xr:uid="{BD04CC1F-D38A-4B04-8FAF-64929C9FF83D}"/>
    <cellStyle name="Comma 44 2 2 3" xfId="13790" xr:uid="{5E3C9798-FDF4-4537-91A2-BBB7C4BE9ABD}"/>
    <cellStyle name="Comma 44 2 3" xfId="6555" xr:uid="{BFDC94D6-DDD1-4E93-9415-3C4A1B33FA31}"/>
    <cellStyle name="Comma 44 2 3 2" xfId="16907" xr:uid="{19C971CA-F207-4D50-851C-074E3FA6C1F4}"/>
    <cellStyle name="Comma 44 2 4" xfId="11732" xr:uid="{24FFDABA-0580-45EE-9E22-46581C91C282}"/>
    <cellStyle name="Comma 44 3" xfId="2350" xr:uid="{2771F357-4F08-4554-AF76-F524C69660BE}"/>
    <cellStyle name="Comma 44 3 2" xfId="7583" xr:uid="{54F2C11F-78FB-4647-BBC9-8D88AAC33608}"/>
    <cellStyle name="Comma 44 3 2 2" xfId="17935" xr:uid="{8CC53780-1A57-4A5F-9F01-658BBAAD4102}"/>
    <cellStyle name="Comma 44 3 3" xfId="12760" xr:uid="{8B052598-E570-4255-9623-C2BE52C5CC3E}"/>
    <cellStyle name="Comma 44 4" xfId="4476" xr:uid="{F920926D-2432-40CA-80C8-201C2ECC4FA4}"/>
    <cellStyle name="Comma 44 4 2" xfId="9652" xr:uid="{6D73752D-7C98-4F76-B010-BD245146871E}"/>
    <cellStyle name="Comma 44 4 2 2" xfId="20004" xr:uid="{799F876C-AC70-46F7-A5C6-B6FED9DC774E}"/>
    <cellStyle name="Comma 44 4 3" xfId="14828" xr:uid="{8D3E390B-F2C6-43D3-A79F-A4628669ED95}"/>
    <cellStyle name="Comma 44 5" xfId="5524" xr:uid="{A386D7AC-A790-439B-84AA-F04F473BE325}"/>
    <cellStyle name="Comma 44 5 2" xfId="15876" xr:uid="{ACBE8504-F2D2-4B8F-A0A8-A36E855AF701}"/>
    <cellStyle name="Comma 44 6" xfId="10702" xr:uid="{328F858F-474C-4E09-BA98-923D1C3C89AE}"/>
    <cellStyle name="Comma 440" xfId="680" xr:uid="{0E7FC8A2-7556-4E69-8733-3002640B92D8}"/>
    <cellStyle name="Comma 440 2" xfId="1718" xr:uid="{8B02E80F-A7D6-4845-A980-BCE67356184D}"/>
    <cellStyle name="Comma 440 2 2" xfId="3776" xr:uid="{2C145C8F-0AEB-499F-9214-D21E50EF3993}"/>
    <cellStyle name="Comma 440 2 2 2" xfId="9009" xr:uid="{B9E64118-A814-4459-9D6F-5B4A9F18B66E}"/>
    <cellStyle name="Comma 440 2 2 2 2" xfId="19361" xr:uid="{4E9E6EAF-8E55-4896-9F84-465580C02F1D}"/>
    <cellStyle name="Comma 440 2 2 3" xfId="14186" xr:uid="{D72DFEFA-7F4D-42EE-8932-087A7800DD38}"/>
    <cellStyle name="Comma 440 2 3" xfId="6951" xr:uid="{04DC47C6-036E-4BAC-BA78-3821170E62D4}"/>
    <cellStyle name="Comma 440 2 3 2" xfId="17303" xr:uid="{2A79F4DE-902A-4413-AF1E-AAD5891B4CC0}"/>
    <cellStyle name="Comma 440 2 4" xfId="12128" xr:uid="{990A3C6B-E551-446E-B3F6-34177C35F3A1}"/>
    <cellStyle name="Comma 440 3" xfId="2746" xr:uid="{E43B55D7-1196-4ADD-B1EC-0C4F784F9C16}"/>
    <cellStyle name="Comma 440 3 2" xfId="7979" xr:uid="{44B90906-91C4-4521-AEB0-D5B96FCBAC15}"/>
    <cellStyle name="Comma 440 3 2 2" xfId="18331" xr:uid="{0CE27326-8334-47A0-A213-1AA5DC42AC9A}"/>
    <cellStyle name="Comma 440 3 3" xfId="13156" xr:uid="{C3CE0D08-4914-4CF3-AB3F-1FE7E45ADB02}"/>
    <cellStyle name="Comma 440 4" xfId="4872" xr:uid="{5CDECDE7-17D9-4314-B3AB-0F8B15800574}"/>
    <cellStyle name="Comma 440 4 2" xfId="10048" xr:uid="{A574547E-8E48-487E-9883-01BBEBE82059}"/>
    <cellStyle name="Comma 440 4 2 2" xfId="20400" xr:uid="{C3FB2241-8C57-4A6E-8B0F-87C22B8E907E}"/>
    <cellStyle name="Comma 440 4 3" xfId="15224" xr:uid="{AFF79D6C-B956-498E-9845-66E0A8993AF8}"/>
    <cellStyle name="Comma 440 5" xfId="5920" xr:uid="{8ABEA662-4D98-49D7-AA77-567BEBD45FDE}"/>
    <cellStyle name="Comma 440 5 2" xfId="16272" xr:uid="{80152382-B2E1-4B7F-9044-EADB2FEC0584}"/>
    <cellStyle name="Comma 440 6" xfId="11098" xr:uid="{9B5CE168-FB3E-4D3D-8A63-25E7B3CF0DD9}"/>
    <cellStyle name="Comma 441" xfId="681" xr:uid="{15BC2F4D-8304-4D2B-99A6-CFD10F5EC193}"/>
    <cellStyle name="Comma 441 2" xfId="1719" xr:uid="{BA4EFE4E-7B6D-4884-AB2C-9706CDB0A005}"/>
    <cellStyle name="Comma 441 2 2" xfId="3777" xr:uid="{FD1C3529-8E3B-4779-9173-35DF90E1B95B}"/>
    <cellStyle name="Comma 441 2 2 2" xfId="9010" xr:uid="{AC56ECD6-0775-444F-9810-F1421E90C6BC}"/>
    <cellStyle name="Comma 441 2 2 2 2" xfId="19362" xr:uid="{558E2B23-68BC-4950-8ED0-1B8BFB5B649D}"/>
    <cellStyle name="Comma 441 2 2 3" xfId="14187" xr:uid="{E7B9B0A8-499B-46CA-9120-7403E19A55FC}"/>
    <cellStyle name="Comma 441 2 3" xfId="6952" xr:uid="{F0B70226-48AE-45EF-858E-A4CEA931E8CA}"/>
    <cellStyle name="Comma 441 2 3 2" xfId="17304" xr:uid="{0156C063-680A-4216-80BC-C75A49DB8DAF}"/>
    <cellStyle name="Comma 441 2 4" xfId="12129" xr:uid="{3DCFB974-7650-49FC-847E-D76257D3A1DB}"/>
    <cellStyle name="Comma 441 3" xfId="2747" xr:uid="{02AD324B-E5B8-4B5B-8733-9F363BA87244}"/>
    <cellStyle name="Comma 441 3 2" xfId="7980" xr:uid="{69D740C3-48DE-4A38-9D06-77D25F06A9FA}"/>
    <cellStyle name="Comma 441 3 2 2" xfId="18332" xr:uid="{DABDD4F4-2C15-4190-A4D9-4E88628A029F}"/>
    <cellStyle name="Comma 441 3 3" xfId="13157" xr:uid="{07362B71-B068-489B-9F31-915ACC2100F9}"/>
    <cellStyle name="Comma 441 4" xfId="4873" xr:uid="{5A22DF40-D337-4F8C-A7FA-73070F914113}"/>
    <cellStyle name="Comma 441 4 2" xfId="10049" xr:uid="{1E7D1ED4-8C38-4E05-87DC-35C37132343F}"/>
    <cellStyle name="Comma 441 4 2 2" xfId="20401" xr:uid="{64E6095F-CFF8-4CBE-AA66-A63157FCA8A2}"/>
    <cellStyle name="Comma 441 4 3" xfId="15225" xr:uid="{EA3694E7-590A-43D2-A692-92B52E177B08}"/>
    <cellStyle name="Comma 441 5" xfId="5921" xr:uid="{80467732-105B-4612-9181-352CFF91D922}"/>
    <cellStyle name="Comma 441 5 2" xfId="16273" xr:uid="{6CC0BE00-AEF5-4258-BBCB-8F49086BCA01}"/>
    <cellStyle name="Comma 441 6" xfId="11099" xr:uid="{3684CFC1-346E-46A7-9A0D-9E52E9649AED}"/>
    <cellStyle name="Comma 442" xfId="682" xr:uid="{B4BE88C6-DE7A-4991-9B51-7246506F4351}"/>
    <cellStyle name="Comma 442 2" xfId="1720" xr:uid="{9146CA51-BE34-4465-856E-34BBF8526AF0}"/>
    <cellStyle name="Comma 442 2 2" xfId="3778" xr:uid="{B03488D2-8548-4666-9AD7-44CFCCD61AB7}"/>
    <cellStyle name="Comma 442 2 2 2" xfId="9011" xr:uid="{7C0367B7-9DE9-478A-928B-3347C01A3953}"/>
    <cellStyle name="Comma 442 2 2 2 2" xfId="19363" xr:uid="{697F6C4A-9C8F-4EBC-ADFD-6247685C900C}"/>
    <cellStyle name="Comma 442 2 2 3" xfId="14188" xr:uid="{3270916B-F8AC-496B-B8B0-48986B040C00}"/>
    <cellStyle name="Comma 442 2 3" xfId="6953" xr:uid="{BE17FE00-28AC-464C-A138-340DF9200300}"/>
    <cellStyle name="Comma 442 2 3 2" xfId="17305" xr:uid="{CAA37961-A5BE-419A-8A94-731C3ECD2276}"/>
    <cellStyle name="Comma 442 2 4" xfId="12130" xr:uid="{5D5F7AD1-9C11-45D6-9D2E-22D5681FEC14}"/>
    <cellStyle name="Comma 442 3" xfId="2748" xr:uid="{7E3DB75A-ACF6-4519-A59D-49DECCDC100A}"/>
    <cellStyle name="Comma 442 3 2" xfId="7981" xr:uid="{6FD443E2-C6FD-4BCD-BA9E-5876D0CDA414}"/>
    <cellStyle name="Comma 442 3 2 2" xfId="18333" xr:uid="{63A8E63D-85B6-42C6-9FC5-F3CC8B764C1D}"/>
    <cellStyle name="Comma 442 3 3" xfId="13158" xr:uid="{FB7882AA-41C7-4F38-A51E-CCE4F478A92C}"/>
    <cellStyle name="Comma 442 4" xfId="4874" xr:uid="{158E53A6-A2A9-4C10-9A89-F5A4D1B8E085}"/>
    <cellStyle name="Comma 442 4 2" xfId="10050" xr:uid="{42407E96-BA84-4409-B7F3-4A01D4F4167B}"/>
    <cellStyle name="Comma 442 4 2 2" xfId="20402" xr:uid="{9571474F-078C-46C9-AC01-082FB198FC22}"/>
    <cellStyle name="Comma 442 4 3" xfId="15226" xr:uid="{CB04A819-77FF-4924-ADFC-77688B8C7C81}"/>
    <cellStyle name="Comma 442 5" xfId="5922" xr:uid="{855CE3DC-78BD-47F8-BC61-9E4ECB74DC16}"/>
    <cellStyle name="Comma 442 5 2" xfId="16274" xr:uid="{A9A69402-3DA3-48AF-AB56-A9687B803E57}"/>
    <cellStyle name="Comma 442 6" xfId="11100" xr:uid="{E3A6FC27-48EC-4BDE-9D2F-C1BB2E9E6FBC}"/>
    <cellStyle name="Comma 443" xfId="683" xr:uid="{06F34DB5-C7BE-4ECF-9631-690CC97ABA79}"/>
    <cellStyle name="Comma 443 2" xfId="1721" xr:uid="{DB636032-02BE-4F3B-8CD5-6001484FCB11}"/>
    <cellStyle name="Comma 443 2 2" xfId="3779" xr:uid="{EE09F3F8-88E2-4B12-A49B-A3E43BFAF73F}"/>
    <cellStyle name="Comma 443 2 2 2" xfId="9012" xr:uid="{2C5987D0-A748-4B56-9369-7C0D76FFE714}"/>
    <cellStyle name="Comma 443 2 2 2 2" xfId="19364" xr:uid="{F8D1151D-5EBE-4CFF-9CF2-501BB821A263}"/>
    <cellStyle name="Comma 443 2 2 3" xfId="14189" xr:uid="{14D46EDB-A4DD-49E4-88F4-33AFB6690609}"/>
    <cellStyle name="Comma 443 2 3" xfId="6954" xr:uid="{48632A18-7FEE-433B-81DB-13F625EEC697}"/>
    <cellStyle name="Comma 443 2 3 2" xfId="17306" xr:uid="{619E99B4-47C9-4DB6-B0AE-92E276D6DD08}"/>
    <cellStyle name="Comma 443 2 4" xfId="12131" xr:uid="{A136661B-B60F-484B-8CE2-1E86B60C44F6}"/>
    <cellStyle name="Comma 443 3" xfId="2749" xr:uid="{A4958CC4-A4A7-44D7-8CF1-55918F68A72A}"/>
    <cellStyle name="Comma 443 3 2" xfId="7982" xr:uid="{E6F0190C-1063-45D5-BF7D-5BA0F79484FE}"/>
    <cellStyle name="Comma 443 3 2 2" xfId="18334" xr:uid="{26796110-A13A-4EA6-AA1F-42CD168490E3}"/>
    <cellStyle name="Comma 443 3 3" xfId="13159" xr:uid="{7BF4375C-383C-4B02-A235-420FB099C920}"/>
    <cellStyle name="Comma 443 4" xfId="4875" xr:uid="{BC2751C8-84ED-4009-A810-08CB6DC46E49}"/>
    <cellStyle name="Comma 443 4 2" xfId="10051" xr:uid="{D3D837EE-372D-4DCE-AC84-98644F90A4ED}"/>
    <cellStyle name="Comma 443 4 2 2" xfId="20403" xr:uid="{6708FA56-332A-4B67-A8B1-A6A8BEF82402}"/>
    <cellStyle name="Comma 443 4 3" xfId="15227" xr:uid="{C765CEDF-BAC1-4C94-A02E-8889E52F3018}"/>
    <cellStyle name="Comma 443 5" xfId="5923" xr:uid="{2D084084-65CB-4FEB-A29B-9FD947E80AD3}"/>
    <cellStyle name="Comma 443 5 2" xfId="16275" xr:uid="{CA78879D-3E8F-4063-BA96-964A59C9A1D9}"/>
    <cellStyle name="Comma 443 6" xfId="11101" xr:uid="{6F2BFF87-D73F-468A-B2DE-68C960819769}"/>
    <cellStyle name="Comma 444" xfId="684" xr:uid="{6A5BB133-AF60-44E0-B54D-B311E6CBCDAE}"/>
    <cellStyle name="Comma 444 2" xfId="1722" xr:uid="{C3AF2D1C-021F-4A55-97F6-7DF12A2C903C}"/>
    <cellStyle name="Comma 444 2 2" xfId="3780" xr:uid="{31C8222E-A844-469A-9FC0-3521C0B2ED5F}"/>
    <cellStyle name="Comma 444 2 2 2" xfId="9013" xr:uid="{9607FAB4-E42D-41DF-B9A8-67C0F617965B}"/>
    <cellStyle name="Comma 444 2 2 2 2" xfId="19365" xr:uid="{B39E9C40-4A3E-440A-80DE-23ACF5DDB4D8}"/>
    <cellStyle name="Comma 444 2 2 3" xfId="14190" xr:uid="{539ABF86-971E-4153-B2EC-E7743D40FE9A}"/>
    <cellStyle name="Comma 444 2 3" xfId="6955" xr:uid="{E55BFEBD-6E61-4845-8245-AF69DCCBCFAF}"/>
    <cellStyle name="Comma 444 2 3 2" xfId="17307" xr:uid="{CECFD85A-C574-468E-B768-F4066BDCCD50}"/>
    <cellStyle name="Comma 444 2 4" xfId="12132" xr:uid="{F25B07DE-013B-4C74-946B-EC1808838731}"/>
    <cellStyle name="Comma 444 3" xfId="2750" xr:uid="{289B201A-291F-4CB3-887C-1DDC53F166ED}"/>
    <cellStyle name="Comma 444 3 2" xfId="7983" xr:uid="{280FBF66-6EBC-4A30-9810-6EAF3AE8CACD}"/>
    <cellStyle name="Comma 444 3 2 2" xfId="18335" xr:uid="{A7DE14F5-46BF-44BB-A7A5-83EBA58BED48}"/>
    <cellStyle name="Comma 444 3 3" xfId="13160" xr:uid="{8EDC3E33-46DD-414D-9EA3-EC34F0B5CBDF}"/>
    <cellStyle name="Comma 444 4" xfId="4876" xr:uid="{B22E8933-8CE9-476D-AB2E-F0931D0171AB}"/>
    <cellStyle name="Comma 444 4 2" xfId="10052" xr:uid="{7E50152E-965B-4533-B277-F4D392E5CFA1}"/>
    <cellStyle name="Comma 444 4 2 2" xfId="20404" xr:uid="{FF50F268-6BD2-4D91-A939-8D31BF2B8BB5}"/>
    <cellStyle name="Comma 444 4 3" xfId="15228" xr:uid="{1C421EE1-56FC-4FBA-A8D9-36209D35280D}"/>
    <cellStyle name="Comma 444 5" xfId="5924" xr:uid="{16205947-F66B-4FE1-9B47-A53AB1C68A70}"/>
    <cellStyle name="Comma 444 5 2" xfId="16276" xr:uid="{0693EB4F-DB36-4F24-9FC3-5F9EA74C5175}"/>
    <cellStyle name="Comma 444 6" xfId="11102" xr:uid="{B7BE6A5C-B17F-4808-B6B3-B0C053010192}"/>
    <cellStyle name="Comma 445" xfId="685" xr:uid="{F4170202-FCAA-40B3-9179-7A8048388A00}"/>
    <cellStyle name="Comma 445 2" xfId="1723" xr:uid="{A27A41AB-339D-4B45-9CC6-EB56D1003BE4}"/>
    <cellStyle name="Comma 445 2 2" xfId="3781" xr:uid="{3BAF3240-9BD6-452C-BE5A-94B56A648A76}"/>
    <cellStyle name="Comma 445 2 2 2" xfId="9014" xr:uid="{577BB8D1-984D-4059-92C2-186FD226348F}"/>
    <cellStyle name="Comma 445 2 2 2 2" xfId="19366" xr:uid="{42A0EB73-9221-4788-B307-3A541D251B53}"/>
    <cellStyle name="Comma 445 2 2 3" xfId="14191" xr:uid="{8DA2FDC7-415F-4C29-9BB0-3020EA1AED69}"/>
    <cellStyle name="Comma 445 2 3" xfId="6956" xr:uid="{7F7071BB-19EF-4C3F-A492-84CBFC5400D2}"/>
    <cellStyle name="Comma 445 2 3 2" xfId="17308" xr:uid="{B68B1127-243F-4E43-A468-8C59A36E54AB}"/>
    <cellStyle name="Comma 445 2 4" xfId="12133" xr:uid="{0DF06C18-658E-4EBD-9838-2959F4A08ACC}"/>
    <cellStyle name="Comma 445 3" xfId="2751" xr:uid="{A0D30CA7-CA55-47E4-8057-57D87CFF4EDF}"/>
    <cellStyle name="Comma 445 3 2" xfId="7984" xr:uid="{7B9A52C0-1C81-4EEF-807E-A9B0A2D35DC5}"/>
    <cellStyle name="Comma 445 3 2 2" xfId="18336" xr:uid="{A80F1F8D-8E92-4926-A34F-F8EC4A716268}"/>
    <cellStyle name="Comma 445 3 3" xfId="13161" xr:uid="{B03D90DA-7D7D-4B20-9319-2E667EB62576}"/>
    <cellStyle name="Comma 445 4" xfId="4877" xr:uid="{E7320505-F3D5-4278-997F-05EE4226B764}"/>
    <cellStyle name="Comma 445 4 2" xfId="10053" xr:uid="{09CC69A4-F6C0-407E-A437-F9A92C534662}"/>
    <cellStyle name="Comma 445 4 2 2" xfId="20405" xr:uid="{B808736F-5A76-44D1-8F88-64B040832BC6}"/>
    <cellStyle name="Comma 445 4 3" xfId="15229" xr:uid="{04BFB1E5-5392-4FA7-9BD9-C9B74F148488}"/>
    <cellStyle name="Comma 445 5" xfId="5925" xr:uid="{428EB939-A29A-4DED-AC13-1A7B77C41A1E}"/>
    <cellStyle name="Comma 445 5 2" xfId="16277" xr:uid="{5002AFF4-6903-4797-85D0-DD49646A1804}"/>
    <cellStyle name="Comma 445 6" xfId="11103" xr:uid="{457DB3D9-2E35-4403-85C9-AF3A98D03471}"/>
    <cellStyle name="Comma 446" xfId="686" xr:uid="{C783BEE1-18F1-464A-9E97-B038DCE44EEF}"/>
    <cellStyle name="Comma 446 2" xfId="1724" xr:uid="{1C45ACE8-A74D-4DDA-B218-E955C7C81C30}"/>
    <cellStyle name="Comma 446 2 2" xfId="3782" xr:uid="{A0CA424C-FB65-474A-B144-C6AB49C9ED72}"/>
    <cellStyle name="Comma 446 2 2 2" xfId="9015" xr:uid="{0D88C219-424C-498A-9356-06640A5A4D40}"/>
    <cellStyle name="Comma 446 2 2 2 2" xfId="19367" xr:uid="{6E3ABBCA-A652-42A3-9A1D-AF5740BD9D30}"/>
    <cellStyle name="Comma 446 2 2 3" xfId="14192" xr:uid="{7693B95A-7E71-49C0-B3F2-E12FF7AEE858}"/>
    <cellStyle name="Comma 446 2 3" xfId="6957" xr:uid="{11FEF574-139B-4A5D-B06A-5CE8D3E10D97}"/>
    <cellStyle name="Comma 446 2 3 2" xfId="17309" xr:uid="{24BD5FBB-7AD3-46E1-A056-88D36D3049E0}"/>
    <cellStyle name="Comma 446 2 4" xfId="12134" xr:uid="{72338D7D-5AEE-454F-8353-9CAB8D7A45E1}"/>
    <cellStyle name="Comma 446 3" xfId="2752" xr:uid="{9D10358B-2F63-49BA-8BAB-0F17BDCA2472}"/>
    <cellStyle name="Comma 446 3 2" xfId="7985" xr:uid="{E4FA29BA-1346-4BD0-86E1-ADE01CC878E6}"/>
    <cellStyle name="Comma 446 3 2 2" xfId="18337" xr:uid="{DBDF0FAC-923E-48BB-A6C2-01A44739A80D}"/>
    <cellStyle name="Comma 446 3 3" xfId="13162" xr:uid="{8D3DB6F8-10D0-49C5-BF70-EA9CD3CB5FC2}"/>
    <cellStyle name="Comma 446 4" xfId="4878" xr:uid="{69FAE03A-0263-4C4D-9C63-A073791CCA15}"/>
    <cellStyle name="Comma 446 4 2" xfId="10054" xr:uid="{BB9940DA-CEE3-41CC-A101-E1A700CCD21B}"/>
    <cellStyle name="Comma 446 4 2 2" xfId="20406" xr:uid="{4FB7A5DF-F512-4BBB-BEF7-9D75A50A7F98}"/>
    <cellStyle name="Comma 446 4 3" xfId="15230" xr:uid="{77AF8324-C8ED-42BB-AF75-A3EAC3CB225F}"/>
    <cellStyle name="Comma 446 5" xfId="5926" xr:uid="{4BA7AE5D-2EF6-4D56-B771-9FE4C4B7F586}"/>
    <cellStyle name="Comma 446 5 2" xfId="16278" xr:uid="{1E2941D2-19B9-4076-AEBB-2E084E245C7C}"/>
    <cellStyle name="Comma 446 6" xfId="11104" xr:uid="{1B38614E-5131-434C-9501-65CD78696BE8}"/>
    <cellStyle name="Comma 447" xfId="687" xr:uid="{E9A33C43-CCFE-4196-8C28-C85604557FD4}"/>
    <cellStyle name="Comma 447 2" xfId="1725" xr:uid="{7F3F5A0E-20CA-4ED8-9A84-6C74DB47E2CE}"/>
    <cellStyle name="Comma 447 2 2" xfId="3783" xr:uid="{8201DB1C-72C2-48F0-AE7C-8E74E16988B5}"/>
    <cellStyle name="Comma 447 2 2 2" xfId="9016" xr:uid="{E10981CE-AC5B-4D13-833E-5D0C008F6760}"/>
    <cellStyle name="Comma 447 2 2 2 2" xfId="19368" xr:uid="{3B1AB482-F03F-4F35-B1B3-A36F829FC7AE}"/>
    <cellStyle name="Comma 447 2 2 3" xfId="14193" xr:uid="{5C461AD6-4CDE-4D34-9D12-F268816A4B9B}"/>
    <cellStyle name="Comma 447 2 3" xfId="6958" xr:uid="{E0AD2756-79D0-4B84-B142-6D72DE2507B6}"/>
    <cellStyle name="Comma 447 2 3 2" xfId="17310" xr:uid="{DC84B1AF-A7BE-4680-9417-B9DC6E9BD859}"/>
    <cellStyle name="Comma 447 2 4" xfId="12135" xr:uid="{484B1931-757A-4E6D-9EC6-2992E877FCF0}"/>
    <cellStyle name="Comma 447 3" xfId="2753" xr:uid="{B33DD138-3D3C-4237-8830-E67037EAFD5C}"/>
    <cellStyle name="Comma 447 3 2" xfId="7986" xr:uid="{FB3F6959-95E2-4BF6-8764-B9730B301508}"/>
    <cellStyle name="Comma 447 3 2 2" xfId="18338" xr:uid="{21395647-B3CC-41EE-A931-9F07D7A5A544}"/>
    <cellStyle name="Comma 447 3 3" xfId="13163" xr:uid="{B1115AFC-20D1-4162-B669-1FC89AD7E069}"/>
    <cellStyle name="Comma 447 4" xfId="4879" xr:uid="{09E1401F-2CF0-4978-AB15-DDDB324F791A}"/>
    <cellStyle name="Comma 447 4 2" xfId="10055" xr:uid="{57D5CB21-6B14-4D29-8E69-AEB0DC6C0C23}"/>
    <cellStyle name="Comma 447 4 2 2" xfId="20407" xr:uid="{78F95AD5-CB84-4497-9942-35559BAE37C6}"/>
    <cellStyle name="Comma 447 4 3" xfId="15231" xr:uid="{7EE1B78C-F00E-4523-AA5A-EA080A0E9BA9}"/>
    <cellStyle name="Comma 447 5" xfId="5927" xr:uid="{9657A0DF-07A3-4AA4-A17A-0E235ED2B182}"/>
    <cellStyle name="Comma 447 5 2" xfId="16279" xr:uid="{FA05C0CF-3A6C-4FD0-A8F6-AC9DAA0E6116}"/>
    <cellStyle name="Comma 447 6" xfId="11105" xr:uid="{25F135EE-6C9E-42D7-928D-17801CB41721}"/>
    <cellStyle name="Comma 448" xfId="688" xr:uid="{E4388233-48EC-4097-93E1-CFF1E4A40F9C}"/>
    <cellStyle name="Comma 448 2" xfId="1726" xr:uid="{92283D0B-608B-4A4A-874F-2D248D7F6668}"/>
    <cellStyle name="Comma 448 2 2" xfId="3784" xr:uid="{87CABCAA-77E6-477F-ABEF-10C01026D288}"/>
    <cellStyle name="Comma 448 2 2 2" xfId="9017" xr:uid="{FFE82C67-CD93-4FE2-BAFC-DA89638CE79E}"/>
    <cellStyle name="Comma 448 2 2 2 2" xfId="19369" xr:uid="{F421D879-B013-4C4D-B204-CDC8776B3EEE}"/>
    <cellStyle name="Comma 448 2 2 3" xfId="14194" xr:uid="{F507A7B9-C769-4848-9A9A-9BE7E43AE16A}"/>
    <cellStyle name="Comma 448 2 3" xfId="6959" xr:uid="{EB29F48E-6C00-4D95-98FF-79EF2DAA157B}"/>
    <cellStyle name="Comma 448 2 3 2" xfId="17311" xr:uid="{91AFDD7F-748F-467F-B9D2-482096476BE7}"/>
    <cellStyle name="Comma 448 2 4" xfId="12136" xr:uid="{3FF12B1C-4C9C-4DA1-A082-B532D40707A5}"/>
    <cellStyle name="Comma 448 3" xfId="2754" xr:uid="{4AC60A81-F08C-4F8B-AED1-FA5C753CCE83}"/>
    <cellStyle name="Comma 448 3 2" xfId="7987" xr:uid="{08D8BB8A-45B2-4BC9-AF0B-E5AF7D03C1AF}"/>
    <cellStyle name="Comma 448 3 2 2" xfId="18339" xr:uid="{90A12743-B688-4D9E-965C-DFE3A012A7B6}"/>
    <cellStyle name="Comma 448 3 3" xfId="13164" xr:uid="{5202A6F6-226A-4AA7-90F4-B7413A1C1CF6}"/>
    <cellStyle name="Comma 448 4" xfId="4880" xr:uid="{816AC87B-13EF-4F97-9374-A25738EB5967}"/>
    <cellStyle name="Comma 448 4 2" xfId="10056" xr:uid="{7A5C35C9-A60E-4112-BBC4-BB186DB3B5FA}"/>
    <cellStyle name="Comma 448 4 2 2" xfId="20408" xr:uid="{0A97E116-C41C-47F6-B022-CCCC2801B608}"/>
    <cellStyle name="Comma 448 4 3" xfId="15232" xr:uid="{C445B122-46E0-4EB6-BF04-F131EB58E47D}"/>
    <cellStyle name="Comma 448 5" xfId="5928" xr:uid="{4D93E3CC-4004-476D-9467-CBE5278C2640}"/>
    <cellStyle name="Comma 448 5 2" xfId="16280" xr:uid="{A8948AED-9ABC-4CCF-BB8A-77D4CBCF4DBE}"/>
    <cellStyle name="Comma 448 6" xfId="11106" xr:uid="{7391F4AD-E89A-42A6-BB96-9DC2DE39507E}"/>
    <cellStyle name="Comma 449" xfId="689" xr:uid="{8C99AEA2-AB21-452F-BA31-D5E4009B859A}"/>
    <cellStyle name="Comma 449 2" xfId="1727" xr:uid="{631F02B3-3A2C-4AB0-9AB3-5B89FE173861}"/>
    <cellStyle name="Comma 449 2 2" xfId="3785" xr:uid="{77DD1F23-7DE5-46D8-ABE4-E5C46D48AA87}"/>
    <cellStyle name="Comma 449 2 2 2" xfId="9018" xr:uid="{36DBAB3C-8C5C-4E99-90B8-1583EE617D48}"/>
    <cellStyle name="Comma 449 2 2 2 2" xfId="19370" xr:uid="{49328B9B-1D69-41AE-9837-9437D81A0209}"/>
    <cellStyle name="Comma 449 2 2 3" xfId="14195" xr:uid="{F72CBE12-5D9F-458F-AAF7-0CD778188D73}"/>
    <cellStyle name="Comma 449 2 3" xfId="6960" xr:uid="{3EF8C2F4-F44D-43BF-A478-AFC4DAB09AD4}"/>
    <cellStyle name="Comma 449 2 3 2" xfId="17312" xr:uid="{6BF80FBC-3912-47C1-85C6-7D3FE8A7D84E}"/>
    <cellStyle name="Comma 449 2 4" xfId="12137" xr:uid="{1F9424DC-9285-4E59-88AE-A6321D765E34}"/>
    <cellStyle name="Comma 449 3" xfId="2755" xr:uid="{9435B60E-DCA8-4009-BBA2-3E311DED0EEA}"/>
    <cellStyle name="Comma 449 3 2" xfId="7988" xr:uid="{8581DA25-695E-4155-8DF0-C2FF3162F2F5}"/>
    <cellStyle name="Comma 449 3 2 2" xfId="18340" xr:uid="{C42D3C68-F9ED-464C-8B2F-797BDBC0AC04}"/>
    <cellStyle name="Comma 449 3 3" xfId="13165" xr:uid="{065E3FB7-0E19-4750-8819-E5F798695175}"/>
    <cellStyle name="Comma 449 4" xfId="4881" xr:uid="{EAEE59B3-6DB0-4F56-A14C-8F03F121D6B9}"/>
    <cellStyle name="Comma 449 4 2" xfId="10057" xr:uid="{5285AFEB-B638-439E-B27B-0AF90241BB93}"/>
    <cellStyle name="Comma 449 4 2 2" xfId="20409" xr:uid="{20B83854-A76A-4D6D-B222-23CD4FD56BFB}"/>
    <cellStyle name="Comma 449 4 3" xfId="15233" xr:uid="{492F6D24-5BC6-4B6B-8C53-7CF9D9EC7DF3}"/>
    <cellStyle name="Comma 449 5" xfId="5929" xr:uid="{93B5EFD3-6FA7-44F4-979D-06BE4E194E37}"/>
    <cellStyle name="Comma 449 5 2" xfId="16281" xr:uid="{E3B206F4-AD59-448F-B35B-31FE27527036}"/>
    <cellStyle name="Comma 449 6" xfId="11107" xr:uid="{1E4FB143-2207-4E25-B4C6-2F2E8CE27589}"/>
    <cellStyle name="Comma 45" xfId="245" xr:uid="{1DCF83E2-6542-48ED-A27F-3A709186CE8A}"/>
    <cellStyle name="Comma 45 2" xfId="1323" xr:uid="{49D3FD90-B6BA-4C38-A204-2467B07EAC81}"/>
    <cellStyle name="Comma 45 2 2" xfId="3381" xr:uid="{A2CFC0F6-0AE5-4AED-BE8D-122F10339D37}"/>
    <cellStyle name="Comma 45 2 2 2" xfId="8614" xr:uid="{D3BE26F7-0EBF-4722-B012-8837B314E296}"/>
    <cellStyle name="Comma 45 2 2 2 2" xfId="18966" xr:uid="{B23FA728-F607-4AA0-8EAF-6813759A27A0}"/>
    <cellStyle name="Comma 45 2 2 3" xfId="13791" xr:uid="{6653ECF3-272B-4880-892A-52D3B1FE67A2}"/>
    <cellStyle name="Comma 45 2 3" xfId="6556" xr:uid="{B8B8B228-472F-48BA-BF5D-D12DA5D48BE7}"/>
    <cellStyle name="Comma 45 2 3 2" xfId="16908" xr:uid="{34EFF6BD-D6B7-4C0A-B48D-0E8F4DC92F14}"/>
    <cellStyle name="Comma 45 2 4" xfId="11733" xr:uid="{684FD190-15B5-4281-85AC-EE83233F276F}"/>
    <cellStyle name="Comma 45 3" xfId="2351" xr:uid="{BF13FAC6-E65C-40D5-84E1-CD939504B452}"/>
    <cellStyle name="Comma 45 3 2" xfId="7584" xr:uid="{2BC4A8FE-DE0F-4EF2-A5F0-0A7139DC7BEA}"/>
    <cellStyle name="Comma 45 3 2 2" xfId="17936" xr:uid="{11CB322C-F998-4ECC-B3F2-0ABE2A7E0B02}"/>
    <cellStyle name="Comma 45 3 3" xfId="12761" xr:uid="{D914BED1-26A7-485B-ADE6-27580B5588CA}"/>
    <cellStyle name="Comma 45 4" xfId="4477" xr:uid="{6F8F7D29-7D21-46C9-B610-EF5FB3F9CB4F}"/>
    <cellStyle name="Comma 45 4 2" xfId="9653" xr:uid="{C79379CD-D498-4177-9516-B9F7336CBC5D}"/>
    <cellStyle name="Comma 45 4 2 2" xfId="20005" xr:uid="{ABA25DA7-84C2-4CBA-94CA-5A2085064BA9}"/>
    <cellStyle name="Comma 45 4 3" xfId="14829" xr:uid="{9EE77D3F-E51A-4504-908A-E20DD3371E69}"/>
    <cellStyle name="Comma 45 5" xfId="5525" xr:uid="{661F5701-9D9B-467D-AECE-37240805AB21}"/>
    <cellStyle name="Comma 45 5 2" xfId="15877" xr:uid="{181B2A50-9236-41CD-A574-CEF70D4FBDC4}"/>
    <cellStyle name="Comma 45 6" xfId="10703" xr:uid="{9DA5B644-7F3C-449B-90B6-70480CEB8DA1}"/>
    <cellStyle name="Comma 450" xfId="690" xr:uid="{0CA5EEC1-84A7-47C5-80E1-4D2F80CC8F2F}"/>
    <cellStyle name="Comma 450 2" xfId="1728" xr:uid="{1C2548C9-35B1-43B9-8A7A-E4FEABA4FE9B}"/>
    <cellStyle name="Comma 450 2 2" xfId="3786" xr:uid="{1CFE91A8-1DAE-43DE-A085-AEC46A607436}"/>
    <cellStyle name="Comma 450 2 2 2" xfId="9019" xr:uid="{6DE54720-DE67-4E86-B040-739CF2390A95}"/>
    <cellStyle name="Comma 450 2 2 2 2" xfId="19371" xr:uid="{5112AA16-078D-4939-A63B-9B15314579B1}"/>
    <cellStyle name="Comma 450 2 2 3" xfId="14196" xr:uid="{56F79A14-DEDA-45A6-AF56-1ECB6ABF2FAF}"/>
    <cellStyle name="Comma 450 2 3" xfId="6961" xr:uid="{1904F26E-C665-4582-8C33-67ECEEB075E2}"/>
    <cellStyle name="Comma 450 2 3 2" xfId="17313" xr:uid="{D001BD41-1E87-4FE3-AF8E-3D29B39BA29D}"/>
    <cellStyle name="Comma 450 2 4" xfId="12138" xr:uid="{C78DF06E-8987-4947-90BB-91785983FAE5}"/>
    <cellStyle name="Comma 450 3" xfId="2756" xr:uid="{A12E672A-2537-4029-A0BE-E1A9AEDDA5EE}"/>
    <cellStyle name="Comma 450 3 2" xfId="7989" xr:uid="{98107CB0-0A82-4D1C-A523-D7C12FD79B9D}"/>
    <cellStyle name="Comma 450 3 2 2" xfId="18341" xr:uid="{27C55887-89D6-47C8-9225-9A5DD1E23707}"/>
    <cellStyle name="Comma 450 3 3" xfId="13166" xr:uid="{CCC92D9B-952D-48B9-A8A5-4C96ABD27E53}"/>
    <cellStyle name="Comma 450 4" xfId="4882" xr:uid="{A5CB7551-45FB-474E-ACE8-C0418274FB66}"/>
    <cellStyle name="Comma 450 4 2" xfId="10058" xr:uid="{5C2DD2B0-B938-4AFD-B041-D2D6DF47390A}"/>
    <cellStyle name="Comma 450 4 2 2" xfId="20410" xr:uid="{7FD187AD-6C8E-4962-BF4E-337AC20B3D05}"/>
    <cellStyle name="Comma 450 4 3" xfId="15234" xr:uid="{B8BBFBC6-0F91-452E-AA1E-E85FECD83C30}"/>
    <cellStyle name="Comma 450 5" xfId="5930" xr:uid="{3B897EC3-10EA-456C-A6BA-17F8EE9ED01C}"/>
    <cellStyle name="Comma 450 5 2" xfId="16282" xr:uid="{8BA18C22-4749-4E7E-96EF-1B2C37ABB9AE}"/>
    <cellStyle name="Comma 450 6" xfId="11108" xr:uid="{88F9762B-25E1-40E2-8D7C-DA76F3272BB9}"/>
    <cellStyle name="Comma 451" xfId="691" xr:uid="{B64FC462-5F00-4ADA-8988-DB5284F6CE99}"/>
    <cellStyle name="Comma 451 2" xfId="1729" xr:uid="{5EE87D94-695F-4D10-B2FC-6535D41B829C}"/>
    <cellStyle name="Comma 451 2 2" xfId="3787" xr:uid="{6FF92401-82C0-4332-B089-4B2DC0AAE994}"/>
    <cellStyle name="Comma 451 2 2 2" xfId="9020" xr:uid="{F6E019EB-6704-4A3D-A0C0-01D0833E538A}"/>
    <cellStyle name="Comma 451 2 2 2 2" xfId="19372" xr:uid="{1346239D-D7B8-47C8-8C5B-17ECE849C5CD}"/>
    <cellStyle name="Comma 451 2 2 3" xfId="14197" xr:uid="{F200879D-1DC2-4BCD-B005-14231EA00520}"/>
    <cellStyle name="Comma 451 2 3" xfId="6962" xr:uid="{25419F01-112C-4CC1-8503-5403ACECCF50}"/>
    <cellStyle name="Comma 451 2 3 2" xfId="17314" xr:uid="{738D5558-FE92-4F19-8F96-644C3463709E}"/>
    <cellStyle name="Comma 451 2 4" xfId="12139" xr:uid="{C370C055-F688-4CEB-9F31-0C87FC7BC96C}"/>
    <cellStyle name="Comma 451 3" xfId="2757" xr:uid="{BB763298-86F9-41C7-8454-2EA4D15FAED4}"/>
    <cellStyle name="Comma 451 3 2" xfId="7990" xr:uid="{D6715B3A-21FA-4A9F-A8EC-DC2EFFF0CD89}"/>
    <cellStyle name="Comma 451 3 2 2" xfId="18342" xr:uid="{DFA75047-922A-40D2-AB0A-16026A641E09}"/>
    <cellStyle name="Comma 451 3 3" xfId="13167" xr:uid="{C38C1282-BD50-48DE-BCF8-1FD657EDD9D4}"/>
    <cellStyle name="Comma 451 4" xfId="4883" xr:uid="{12F2FDDE-6508-4B33-AA4E-6D246EC72665}"/>
    <cellStyle name="Comma 451 4 2" xfId="10059" xr:uid="{E5E19E5A-24C6-42CF-8E99-F62E06798107}"/>
    <cellStyle name="Comma 451 4 2 2" xfId="20411" xr:uid="{338E43F4-0FAC-4E5C-93E8-5C36714640F1}"/>
    <cellStyle name="Comma 451 4 3" xfId="15235" xr:uid="{5F390EC5-3A7A-4034-89FC-5F2D27F427C6}"/>
    <cellStyle name="Comma 451 5" xfId="5931" xr:uid="{5E2F7D54-03E7-4470-ACDE-357E3B7AF0B4}"/>
    <cellStyle name="Comma 451 5 2" xfId="16283" xr:uid="{AA1B40EF-82D2-4B88-A13D-9DA60F42EC10}"/>
    <cellStyle name="Comma 451 6" xfId="11109" xr:uid="{732F3B38-C86D-4EA8-B10D-7C9E19E778C3}"/>
    <cellStyle name="Comma 452" xfId="692" xr:uid="{8DCA9339-1A6D-45FD-88A6-E3EEBB48B6B6}"/>
    <cellStyle name="Comma 452 2" xfId="1730" xr:uid="{837A3E24-F1B1-47A7-8F58-1894F343506A}"/>
    <cellStyle name="Comma 452 2 2" xfId="3788" xr:uid="{17E539CE-209E-4702-88FC-F1DD21876BA9}"/>
    <cellStyle name="Comma 452 2 2 2" xfId="9021" xr:uid="{4790C419-5870-42B6-B911-9AF74F20D4A6}"/>
    <cellStyle name="Comma 452 2 2 2 2" xfId="19373" xr:uid="{17805610-C92A-4495-8216-62254C3980A8}"/>
    <cellStyle name="Comma 452 2 2 3" xfId="14198" xr:uid="{7BF413EB-0B09-4AFE-9EE7-4C96D65B211D}"/>
    <cellStyle name="Comma 452 2 3" xfId="6963" xr:uid="{B8FF64E7-B214-4D56-B947-17D6F56F1429}"/>
    <cellStyle name="Comma 452 2 3 2" xfId="17315" xr:uid="{047163D6-7CB7-4BF5-BD0A-C53E6DB629E3}"/>
    <cellStyle name="Comma 452 2 4" xfId="12140" xr:uid="{C002019F-9811-4FAD-8E13-0D0532669AD1}"/>
    <cellStyle name="Comma 452 3" xfId="2758" xr:uid="{320D414B-7D08-429F-9B5D-4E0C37359D26}"/>
    <cellStyle name="Comma 452 3 2" xfId="7991" xr:uid="{3A267620-6B6E-437F-B6D8-46D2DF7D26E8}"/>
    <cellStyle name="Comma 452 3 2 2" xfId="18343" xr:uid="{6A66F5D5-0E91-46C5-B7A0-15C8FC719D65}"/>
    <cellStyle name="Comma 452 3 3" xfId="13168" xr:uid="{85931BE9-827D-4F98-A714-B59A3F8638BA}"/>
    <cellStyle name="Comma 452 4" xfId="4884" xr:uid="{06613347-4983-41D9-B24B-22D1A8B85589}"/>
    <cellStyle name="Comma 452 4 2" xfId="10060" xr:uid="{C92FC753-C63C-487F-8B53-713431A5429E}"/>
    <cellStyle name="Comma 452 4 2 2" xfId="20412" xr:uid="{A7635D72-768F-4ABB-987E-FD2A9F70AF1D}"/>
    <cellStyle name="Comma 452 4 3" xfId="15236" xr:uid="{9EFAC9AB-9368-4D84-86B1-55F464E3D25C}"/>
    <cellStyle name="Comma 452 5" xfId="5932" xr:uid="{A7526367-9376-40F1-B966-CA4C15FE735F}"/>
    <cellStyle name="Comma 452 5 2" xfId="16284" xr:uid="{F6357939-015F-4278-98E9-BCAE07BE32C4}"/>
    <cellStyle name="Comma 452 6" xfId="11110" xr:uid="{E02B659A-E91A-4DF2-A808-8BDEF6080EFB}"/>
    <cellStyle name="Comma 453" xfId="693" xr:uid="{1FAC5E79-CC39-45CA-87B7-6604EFB819CF}"/>
    <cellStyle name="Comma 453 2" xfId="1731" xr:uid="{71E7F260-D0E7-4612-8F54-E111CAA7CA2D}"/>
    <cellStyle name="Comma 453 2 2" xfId="3789" xr:uid="{A1563A85-DD2C-4664-85B4-814F25A684DB}"/>
    <cellStyle name="Comma 453 2 2 2" xfId="9022" xr:uid="{8574E380-D613-4008-A02C-1690552E542F}"/>
    <cellStyle name="Comma 453 2 2 2 2" xfId="19374" xr:uid="{961DF74E-6075-47E2-A268-D087E0080B5F}"/>
    <cellStyle name="Comma 453 2 2 3" xfId="14199" xr:uid="{D37D1946-FAD0-491B-A22B-495E5378D1C0}"/>
    <cellStyle name="Comma 453 2 3" xfId="6964" xr:uid="{92D9B363-AF70-4D9C-9828-F4F304AD8D88}"/>
    <cellStyle name="Comma 453 2 3 2" xfId="17316" xr:uid="{F4E93F3A-C53D-41B5-BB80-2E3F7E771EE8}"/>
    <cellStyle name="Comma 453 2 4" xfId="12141" xr:uid="{CA114C12-1047-4B3F-ACAA-023D60496D27}"/>
    <cellStyle name="Comma 453 3" xfId="2759" xr:uid="{FE2D75D0-8A87-4E68-9CB5-10AA10E0532F}"/>
    <cellStyle name="Comma 453 3 2" xfId="7992" xr:uid="{9B097F64-DF32-40D7-BA20-1941D63E860B}"/>
    <cellStyle name="Comma 453 3 2 2" xfId="18344" xr:uid="{703715BE-8DF6-480B-91BC-AA513F61F296}"/>
    <cellStyle name="Comma 453 3 3" xfId="13169" xr:uid="{64A2B4BA-5EF7-4932-835B-7B02573ABB94}"/>
    <cellStyle name="Comma 453 4" xfId="4885" xr:uid="{9AF9C270-318E-4BF8-8FC8-BD91D2B04D42}"/>
    <cellStyle name="Comma 453 4 2" xfId="10061" xr:uid="{BC58624F-D554-450D-A4B4-711D770BC0FC}"/>
    <cellStyle name="Comma 453 4 2 2" xfId="20413" xr:uid="{8C448BC0-3AA4-482D-A555-E3620F980AAB}"/>
    <cellStyle name="Comma 453 4 3" xfId="15237" xr:uid="{88088B71-F527-481D-BC1D-AD2BC00A030F}"/>
    <cellStyle name="Comma 453 5" xfId="5933" xr:uid="{03F237FA-F6EA-4DEB-8C02-72CD5415233F}"/>
    <cellStyle name="Comma 453 5 2" xfId="16285" xr:uid="{36050EBB-BAF6-4D9C-8B5E-A1D470A2E065}"/>
    <cellStyle name="Comma 453 6" xfId="11111" xr:uid="{A3222FF0-B083-4096-812F-8507564FF441}"/>
    <cellStyle name="Comma 454" xfId="694" xr:uid="{D80345AA-A9CA-4BC1-A641-D71F6943FBAD}"/>
    <cellStyle name="Comma 454 2" xfId="1732" xr:uid="{4A252477-04B0-4B35-A484-5C0C69A7C8D1}"/>
    <cellStyle name="Comma 454 2 2" xfId="3790" xr:uid="{2E67D660-FD52-4B8A-9E84-B3FECEA4BE75}"/>
    <cellStyle name="Comma 454 2 2 2" xfId="9023" xr:uid="{1C479E37-FB40-40D6-9E7F-369F00C8D7CB}"/>
    <cellStyle name="Comma 454 2 2 2 2" xfId="19375" xr:uid="{C0F566EF-9A3F-4B88-9C98-70B42B4789F9}"/>
    <cellStyle name="Comma 454 2 2 3" xfId="14200" xr:uid="{04A16D0A-1DC5-4937-BB97-B732E7227AF5}"/>
    <cellStyle name="Comma 454 2 3" xfId="6965" xr:uid="{8DBFCBFF-1658-41B9-96C7-A13BA0A06570}"/>
    <cellStyle name="Comma 454 2 3 2" xfId="17317" xr:uid="{DE62B880-1EAC-4A25-BDB7-9511886F43E5}"/>
    <cellStyle name="Comma 454 2 4" xfId="12142" xr:uid="{78EF530F-9521-4F50-B9EA-E77D34F4FFB4}"/>
    <cellStyle name="Comma 454 3" xfId="2760" xr:uid="{290BDCB3-5EC5-4FBF-A292-CDE3EED4FB04}"/>
    <cellStyle name="Comma 454 3 2" xfId="7993" xr:uid="{373DE840-FA1C-4B0A-B9DE-2E7A23EFE1B1}"/>
    <cellStyle name="Comma 454 3 2 2" xfId="18345" xr:uid="{894DF891-7006-424F-BDB7-8E0E5146D8D1}"/>
    <cellStyle name="Comma 454 3 3" xfId="13170" xr:uid="{FCED5701-269C-412A-BCC1-EAD63732DE40}"/>
    <cellStyle name="Comma 454 4" xfId="4886" xr:uid="{E9AC520D-7660-46FC-927C-0BFA9B332480}"/>
    <cellStyle name="Comma 454 4 2" xfId="10062" xr:uid="{7B84C999-3E4D-468F-9CC5-A9D5D553A338}"/>
    <cellStyle name="Comma 454 4 2 2" xfId="20414" xr:uid="{F28E3676-2D8D-4E5F-92E1-4CD1DE02FACD}"/>
    <cellStyle name="Comma 454 4 3" xfId="15238" xr:uid="{75B12401-2A20-4CFD-961B-2D8ECFDC4BC2}"/>
    <cellStyle name="Comma 454 5" xfId="5934" xr:uid="{74A9D540-2F56-40CE-8326-F79182982D76}"/>
    <cellStyle name="Comma 454 5 2" xfId="16286" xr:uid="{7B98BA58-A031-42D7-8777-150C3F7BBA36}"/>
    <cellStyle name="Comma 454 6" xfId="11112" xr:uid="{37246B06-B4AB-4306-9690-96ECE554507C}"/>
    <cellStyle name="Comma 455" xfId="695" xr:uid="{EE6F83CD-8B84-40F2-9DF9-0EF1680BA097}"/>
    <cellStyle name="Comma 455 2" xfId="1733" xr:uid="{43778280-9C3E-4B1A-AC09-A704258C38AC}"/>
    <cellStyle name="Comma 455 2 2" xfId="3791" xr:uid="{500B2646-20F1-4454-8F55-2BF95930E8C9}"/>
    <cellStyle name="Comma 455 2 2 2" xfId="9024" xr:uid="{0EA36812-D481-46C1-8BD8-7FBBC2B6E1D2}"/>
    <cellStyle name="Comma 455 2 2 2 2" xfId="19376" xr:uid="{43148FD3-2077-4935-AE2F-AE18B2F45F12}"/>
    <cellStyle name="Comma 455 2 2 3" xfId="14201" xr:uid="{BD9F0DBB-2254-44AE-87E6-B59E3AE687C1}"/>
    <cellStyle name="Comma 455 2 3" xfId="6966" xr:uid="{DDB48F55-B7E7-44FE-86B1-00F48BF5E305}"/>
    <cellStyle name="Comma 455 2 3 2" xfId="17318" xr:uid="{427C5612-774F-406B-83F5-5BE2298C7C2F}"/>
    <cellStyle name="Comma 455 2 4" xfId="12143" xr:uid="{1C47C85C-0717-49EF-A400-8FB988849324}"/>
    <cellStyle name="Comma 455 3" xfId="2761" xr:uid="{61D742E7-3A82-49B7-8EA3-E0C1C3A34573}"/>
    <cellStyle name="Comma 455 3 2" xfId="7994" xr:uid="{9B9B51CC-B5AF-4956-BFB1-F483B2F69EFC}"/>
    <cellStyle name="Comma 455 3 2 2" xfId="18346" xr:uid="{44BE0CA5-E09D-4A18-8F4D-1CD0A8A5BAB8}"/>
    <cellStyle name="Comma 455 3 3" xfId="13171" xr:uid="{1A4A0F28-378C-49A1-99AB-376FEB16FC38}"/>
    <cellStyle name="Comma 455 4" xfId="4887" xr:uid="{4A2E1285-44D0-45FD-B3B6-E421FC735D4F}"/>
    <cellStyle name="Comma 455 4 2" xfId="10063" xr:uid="{9BD2CA60-4464-43F8-B899-57473F7E21A3}"/>
    <cellStyle name="Comma 455 4 2 2" xfId="20415" xr:uid="{AB1FD3B8-5475-41EF-B351-127C9E5A81F4}"/>
    <cellStyle name="Comma 455 4 3" xfId="15239" xr:uid="{69B7463E-7F6B-4B9B-BAD6-54E68BFEBC21}"/>
    <cellStyle name="Comma 455 5" xfId="5935" xr:uid="{25590FC1-1A82-4D8A-96CA-14D5F06A63A9}"/>
    <cellStyle name="Comma 455 5 2" xfId="16287" xr:uid="{6C191EF2-D090-4D12-9844-2AAD020A91F7}"/>
    <cellStyle name="Comma 455 6" xfId="11113" xr:uid="{5A9C6114-2A34-4B4A-A8DF-2B44BDC578B4}"/>
    <cellStyle name="Comma 456" xfId="696" xr:uid="{077E7F96-A4DD-4148-951D-43DA3EBD49AC}"/>
    <cellStyle name="Comma 456 2" xfId="1734" xr:uid="{A48CAD8E-B832-4ADA-B184-458AD6DAE9F0}"/>
    <cellStyle name="Comma 456 2 2" xfId="3792" xr:uid="{1E877F23-5E22-4D96-A229-C78943E1AA90}"/>
    <cellStyle name="Comma 456 2 2 2" xfId="9025" xr:uid="{5A6D027B-FD8C-45E3-B001-4671B8BC2DBA}"/>
    <cellStyle name="Comma 456 2 2 2 2" xfId="19377" xr:uid="{ECF7993A-30FC-48F0-A036-F0E4BA95D9B1}"/>
    <cellStyle name="Comma 456 2 2 3" xfId="14202" xr:uid="{34ED47C8-7E4E-47A3-8AFA-4521AA42522A}"/>
    <cellStyle name="Comma 456 2 3" xfId="6967" xr:uid="{D61E42B9-77FB-4BB7-8249-2B639121F928}"/>
    <cellStyle name="Comma 456 2 3 2" xfId="17319" xr:uid="{6518ABBC-692E-4463-A6A9-E6193F4550C4}"/>
    <cellStyle name="Comma 456 2 4" xfId="12144" xr:uid="{89BA3E98-D82C-433B-8689-78A168FF941A}"/>
    <cellStyle name="Comma 456 3" xfId="2762" xr:uid="{BCE0EC88-ACDC-4AE0-8B61-FC72475FB958}"/>
    <cellStyle name="Comma 456 3 2" xfId="7995" xr:uid="{4D66532E-EE7C-47BC-9DDE-01CFC5AC0A2E}"/>
    <cellStyle name="Comma 456 3 2 2" xfId="18347" xr:uid="{634AB028-7303-43CB-ACE4-B4A0556CEBDE}"/>
    <cellStyle name="Comma 456 3 3" xfId="13172" xr:uid="{024248E0-4B8F-4C9A-93AD-AC1C0D2AC162}"/>
    <cellStyle name="Comma 456 4" xfId="4888" xr:uid="{408B726B-C9B3-42CA-BA7B-A55538A821A4}"/>
    <cellStyle name="Comma 456 4 2" xfId="10064" xr:uid="{41586DF9-5428-4AC6-8EAD-C6846E931A7B}"/>
    <cellStyle name="Comma 456 4 2 2" xfId="20416" xr:uid="{9EB585AC-229B-4E28-B25A-0093C7DF23BD}"/>
    <cellStyle name="Comma 456 4 3" xfId="15240" xr:uid="{6537C170-9846-4405-9246-1F49947F2F75}"/>
    <cellStyle name="Comma 456 5" xfId="5936" xr:uid="{3E297FA5-7653-4D62-8CF1-403E80385698}"/>
    <cellStyle name="Comma 456 5 2" xfId="16288" xr:uid="{F7354759-BDAB-48EC-809B-A7A2E2B12165}"/>
    <cellStyle name="Comma 456 6" xfId="11114" xr:uid="{DFF10945-FD44-44D5-B9E3-C6B84057D989}"/>
    <cellStyle name="Comma 457" xfId="697" xr:uid="{F046B432-CE6D-436E-B9D7-92217FB62ABC}"/>
    <cellStyle name="Comma 457 2" xfId="1735" xr:uid="{029B9E41-0EB4-4AE0-8BE6-E866F87DF44F}"/>
    <cellStyle name="Comma 457 2 2" xfId="3793" xr:uid="{2C9FFA33-9241-4E56-B777-73B07B55C503}"/>
    <cellStyle name="Comma 457 2 2 2" xfId="9026" xr:uid="{B75F26ED-A70D-41FA-AB9B-992905AB696C}"/>
    <cellStyle name="Comma 457 2 2 2 2" xfId="19378" xr:uid="{A8EF8E42-4D46-4676-A7D6-F9D489043E51}"/>
    <cellStyle name="Comma 457 2 2 3" xfId="14203" xr:uid="{0D865D06-EFDC-4DAC-860F-1DFDBB498D13}"/>
    <cellStyle name="Comma 457 2 3" xfId="6968" xr:uid="{1A8B924D-7395-4B74-84FE-6CCF967AEDDC}"/>
    <cellStyle name="Comma 457 2 3 2" xfId="17320" xr:uid="{AA86155F-4627-4C43-9F39-FF4FC070341F}"/>
    <cellStyle name="Comma 457 2 4" xfId="12145" xr:uid="{D4890545-1A6A-4DD9-A36E-E4F56C6D2B81}"/>
    <cellStyle name="Comma 457 3" xfId="2763" xr:uid="{925696C2-AC56-4D3A-8F3A-57F5CA7634FB}"/>
    <cellStyle name="Comma 457 3 2" xfId="7996" xr:uid="{418C0BA9-CF15-4752-A9BD-968E000904A3}"/>
    <cellStyle name="Comma 457 3 2 2" xfId="18348" xr:uid="{0F96B758-B9C7-422C-962F-02E5348E1B16}"/>
    <cellStyle name="Comma 457 3 3" xfId="13173" xr:uid="{37FC193C-E66F-4E7C-AB97-DF63F4C6525B}"/>
    <cellStyle name="Comma 457 4" xfId="4889" xr:uid="{10D7CF99-4B2F-4F5D-B38A-A99718ECE49C}"/>
    <cellStyle name="Comma 457 4 2" xfId="10065" xr:uid="{C8ED678C-436F-4E1C-8F73-A99BFE4F69FF}"/>
    <cellStyle name="Comma 457 4 2 2" xfId="20417" xr:uid="{1C8D86F1-1874-4499-BF23-72DC31D2D618}"/>
    <cellStyle name="Comma 457 4 3" xfId="15241" xr:uid="{51841D0A-3501-41FE-B892-15AFB96B4411}"/>
    <cellStyle name="Comma 457 5" xfId="5937" xr:uid="{5F8EBB09-AC61-43BC-9F4B-3FA9A35A2492}"/>
    <cellStyle name="Comma 457 5 2" xfId="16289" xr:uid="{F701BD06-7AFC-4672-8DBE-D57B2D40BACC}"/>
    <cellStyle name="Comma 457 6" xfId="11115" xr:uid="{C2DF1AAF-1B76-4FC7-9AA0-A99277CC49FF}"/>
    <cellStyle name="Comma 458" xfId="698" xr:uid="{0A3975D3-91D9-4127-BA8D-5968A7A49017}"/>
    <cellStyle name="Comma 458 2" xfId="1736" xr:uid="{B34CEF9F-FD7B-410D-B81D-E086DFFDE0A5}"/>
    <cellStyle name="Comma 458 2 2" xfId="3794" xr:uid="{F999D447-A2E9-413D-BF09-5B617AE362EC}"/>
    <cellStyle name="Comma 458 2 2 2" xfId="9027" xr:uid="{7B6CD4DA-A2EA-425B-B47D-FDC5CC4576ED}"/>
    <cellStyle name="Comma 458 2 2 2 2" xfId="19379" xr:uid="{5AD2B3E8-3172-4997-8E38-DB0221B8369D}"/>
    <cellStyle name="Comma 458 2 2 3" xfId="14204" xr:uid="{1A35A5F7-0D47-478F-8412-5B084CA16267}"/>
    <cellStyle name="Comma 458 2 3" xfId="6969" xr:uid="{DC8BAD76-B649-4C52-90BE-30AA5915A329}"/>
    <cellStyle name="Comma 458 2 3 2" xfId="17321" xr:uid="{ECA5DF5C-FE8F-4D49-B139-851E28BB3375}"/>
    <cellStyle name="Comma 458 2 4" xfId="12146" xr:uid="{DC298516-C89E-41F5-9433-731FD360030F}"/>
    <cellStyle name="Comma 458 3" xfId="2764" xr:uid="{67EC6E9E-A5AA-4C89-B824-1CF8CF1BBEDC}"/>
    <cellStyle name="Comma 458 3 2" xfId="7997" xr:uid="{625A8CCD-6968-489C-9A26-4F725F4DBA5E}"/>
    <cellStyle name="Comma 458 3 2 2" xfId="18349" xr:uid="{9BE2FB82-5630-428D-A907-33822C1F80FF}"/>
    <cellStyle name="Comma 458 3 3" xfId="13174" xr:uid="{4DE3843F-CB89-45AA-B2F1-B73F967DC235}"/>
    <cellStyle name="Comma 458 4" xfId="4890" xr:uid="{9CF892CB-112B-4C4E-9923-CF6D150B782B}"/>
    <cellStyle name="Comma 458 4 2" xfId="10066" xr:uid="{6D6361A3-4A84-45CA-8165-2B03FFC53C33}"/>
    <cellStyle name="Comma 458 4 2 2" xfId="20418" xr:uid="{F2B076F5-5B54-4F24-8C7E-398B2991C813}"/>
    <cellStyle name="Comma 458 4 3" xfId="15242" xr:uid="{A2805373-F04F-4798-869F-AB04EA19B450}"/>
    <cellStyle name="Comma 458 5" xfId="5938" xr:uid="{554086F8-3260-4906-8F62-DA0769BBA1C8}"/>
    <cellStyle name="Comma 458 5 2" xfId="16290" xr:uid="{2A39F90D-8CD3-444A-97C9-DF5065192137}"/>
    <cellStyle name="Comma 458 6" xfId="11116" xr:uid="{C8E4E2D6-8B84-42FA-AD0C-B156408CE927}"/>
    <cellStyle name="Comma 459" xfId="699" xr:uid="{A1AEBFFE-E4DB-4450-B47A-64131E0AB43C}"/>
    <cellStyle name="Comma 459 2" xfId="1737" xr:uid="{E1A13EEB-6EEE-4D74-B6B5-209610090EFC}"/>
    <cellStyle name="Comma 459 2 2" xfId="3795" xr:uid="{3F65E5A7-AB40-4AD3-A0DF-FDD052440E0F}"/>
    <cellStyle name="Comma 459 2 2 2" xfId="9028" xr:uid="{66F88F64-CD4B-4421-9488-4C80615D5956}"/>
    <cellStyle name="Comma 459 2 2 2 2" xfId="19380" xr:uid="{1743577C-5C35-40F5-A09B-C16EEE41C5B7}"/>
    <cellStyle name="Comma 459 2 2 3" xfId="14205" xr:uid="{DEA19D9E-8516-4716-87DF-8E7FBD358839}"/>
    <cellStyle name="Comma 459 2 3" xfId="6970" xr:uid="{4659D9D6-0ED6-41EB-B23B-45FBC9B35703}"/>
    <cellStyle name="Comma 459 2 3 2" xfId="17322" xr:uid="{071E1F7E-56DA-4E1B-8C3F-DD7EE00AEBB0}"/>
    <cellStyle name="Comma 459 2 4" xfId="12147" xr:uid="{A8D2C599-4161-4874-9653-76215668AC94}"/>
    <cellStyle name="Comma 459 3" xfId="2765" xr:uid="{D19243F2-261B-481D-B39D-77DE12FC4969}"/>
    <cellStyle name="Comma 459 3 2" xfId="7998" xr:uid="{36C4D945-836E-4444-918F-E5C27E3B77EB}"/>
    <cellStyle name="Comma 459 3 2 2" xfId="18350" xr:uid="{7D145A8F-E1C7-44F9-A128-C01A1E908B7B}"/>
    <cellStyle name="Comma 459 3 3" xfId="13175" xr:uid="{76CCBCDC-2913-4250-9ED0-DF5CDAA20212}"/>
    <cellStyle name="Comma 459 4" xfId="4891" xr:uid="{31EA6D3A-B4E8-4D9E-AC39-CCAC3931F614}"/>
    <cellStyle name="Comma 459 4 2" xfId="10067" xr:uid="{89E99E35-FD57-441E-9055-1E3C9F0AC40C}"/>
    <cellStyle name="Comma 459 4 2 2" xfId="20419" xr:uid="{00319D3F-B702-4C83-8349-9AA885AD9F9A}"/>
    <cellStyle name="Comma 459 4 3" xfId="15243" xr:uid="{8613E769-4017-40B0-BB3D-5980B82484BE}"/>
    <cellStyle name="Comma 459 5" xfId="5939" xr:uid="{865960CA-557F-4278-AEDB-C0951A79850D}"/>
    <cellStyle name="Comma 459 5 2" xfId="16291" xr:uid="{C4EF8CC2-287A-413D-8233-E9367F3025FE}"/>
    <cellStyle name="Comma 459 6" xfId="11117" xr:uid="{EBD92438-169B-418F-A0BE-58A26E582B93}"/>
    <cellStyle name="Comma 46" xfId="246" xr:uid="{5CF23571-ED63-4AD2-8628-3DAB79978111}"/>
    <cellStyle name="Comma 46 2" xfId="1324" xr:uid="{DE34FFB8-9C9D-404E-B2B5-89248CD39F31}"/>
    <cellStyle name="Comma 46 2 2" xfId="3382" xr:uid="{EF07D500-D7BD-411C-B0CD-A881F9219159}"/>
    <cellStyle name="Comma 46 2 2 2" xfId="8615" xr:uid="{91F1705C-E62A-4F4A-A252-41C100C68FB1}"/>
    <cellStyle name="Comma 46 2 2 2 2" xfId="18967" xr:uid="{8A48E2DA-EA12-4372-A466-9EA8906D4477}"/>
    <cellStyle name="Comma 46 2 2 3" xfId="13792" xr:uid="{C0F861AA-9B51-4580-B317-17EFFBF5C8A1}"/>
    <cellStyle name="Comma 46 2 3" xfId="6557" xr:uid="{B4EDA0A7-1A7A-44C6-BDAD-2E4F374B0A08}"/>
    <cellStyle name="Comma 46 2 3 2" xfId="16909" xr:uid="{B4CFEBE1-7310-4D4A-A71B-F42B859CDB60}"/>
    <cellStyle name="Comma 46 2 4" xfId="11734" xr:uid="{C5FADC62-9484-42FE-A2CD-457459644FC8}"/>
    <cellStyle name="Comma 46 3" xfId="2352" xr:uid="{FD7DB33D-51D8-4D9B-A224-DE8BF7180761}"/>
    <cellStyle name="Comma 46 3 2" xfId="7585" xr:uid="{184EA1A4-3BD7-46B9-9A85-804D27BD0008}"/>
    <cellStyle name="Comma 46 3 2 2" xfId="17937" xr:uid="{C8DFF733-6263-4AAF-B80F-308F03591C7F}"/>
    <cellStyle name="Comma 46 3 3" xfId="12762" xr:uid="{D0AAA7AD-D973-497C-B6A4-779AC3EBEB86}"/>
    <cellStyle name="Comma 46 4" xfId="4478" xr:uid="{5BC89529-7E82-41E6-96BF-77B6F40B58F9}"/>
    <cellStyle name="Comma 46 4 2" xfId="9654" xr:uid="{D7C7DA91-A28E-4FE3-88DE-E92CEEB44C67}"/>
    <cellStyle name="Comma 46 4 2 2" xfId="20006" xr:uid="{CAE83A66-859A-4A15-BE92-EBC861FF00DC}"/>
    <cellStyle name="Comma 46 4 3" xfId="14830" xr:uid="{4BEF4C9D-5DC7-4791-9561-4C2FCEC1BDAB}"/>
    <cellStyle name="Comma 46 5" xfId="5526" xr:uid="{41ED443C-C433-49E1-A9AA-5C39D0D18136}"/>
    <cellStyle name="Comma 46 5 2" xfId="15878" xr:uid="{48F085A8-C523-4980-B3E3-C9593B06FF5B}"/>
    <cellStyle name="Comma 46 6" xfId="10704" xr:uid="{45EDFF7C-F983-4C29-AC51-6842B7CC356B}"/>
    <cellStyle name="Comma 460" xfId="700" xr:uid="{E0A63372-020A-4F8B-8214-F96FED86AF34}"/>
    <cellStyle name="Comma 460 2" xfId="1738" xr:uid="{802785CB-EB63-4E56-B931-3F00BC9CAC2E}"/>
    <cellStyle name="Comma 460 2 2" xfId="3796" xr:uid="{4DBBA11A-54BB-4923-9014-9611DD025F8F}"/>
    <cellStyle name="Comma 460 2 2 2" xfId="9029" xr:uid="{2F7DCC95-1273-41B2-921A-B8E2E4EAB53E}"/>
    <cellStyle name="Comma 460 2 2 2 2" xfId="19381" xr:uid="{86414616-5546-4A07-98A2-3D6E61092182}"/>
    <cellStyle name="Comma 460 2 2 3" xfId="14206" xr:uid="{BBBD07BE-8A1D-4253-988C-A3697CB5AC1E}"/>
    <cellStyle name="Comma 460 2 3" xfId="6971" xr:uid="{A6616B7C-6E48-4C44-B363-01BA12043BD0}"/>
    <cellStyle name="Comma 460 2 3 2" xfId="17323" xr:uid="{9DA6FBE6-CBFF-4565-937B-013A95CEDC6D}"/>
    <cellStyle name="Comma 460 2 4" xfId="12148" xr:uid="{04C4A0D9-EAFF-43EF-BE4E-7F21E2232093}"/>
    <cellStyle name="Comma 460 3" xfId="2766" xr:uid="{3BAFB7F3-5233-4DC6-9DAD-594801B7C488}"/>
    <cellStyle name="Comma 460 3 2" xfId="7999" xr:uid="{698C6EF2-A9F9-4EB3-A474-9B8208A94420}"/>
    <cellStyle name="Comma 460 3 2 2" xfId="18351" xr:uid="{2ACC0A85-6568-4E69-94FB-E0AA5F7536AD}"/>
    <cellStyle name="Comma 460 3 3" xfId="13176" xr:uid="{451A2BDC-41D2-4A86-9B01-E3C233F3F788}"/>
    <cellStyle name="Comma 460 4" xfId="4892" xr:uid="{CC0D3A06-2F91-49FD-8FEE-4F692D58A659}"/>
    <cellStyle name="Comma 460 4 2" xfId="10068" xr:uid="{701FCE97-CE56-40D4-B095-E6A08DEA7291}"/>
    <cellStyle name="Comma 460 4 2 2" xfId="20420" xr:uid="{E19E4C7D-301D-43F9-8ED3-E61E28E339E8}"/>
    <cellStyle name="Comma 460 4 3" xfId="15244" xr:uid="{D41556F2-4CF7-48CC-A7F7-1379AFFC850D}"/>
    <cellStyle name="Comma 460 5" xfId="5940" xr:uid="{89684CFF-45FB-4CF5-ABF9-4E23D0AC2BD5}"/>
    <cellStyle name="Comma 460 5 2" xfId="16292" xr:uid="{5472FF55-8730-4FA6-B47D-BA21E3FB7297}"/>
    <cellStyle name="Comma 460 6" xfId="11118" xr:uid="{A8C84EB3-7441-4842-9B66-BDCF30377CC3}"/>
    <cellStyle name="Comma 461" xfId="701" xr:uid="{7DEA925C-9EAB-443A-9636-FDE5BCE4F7E6}"/>
    <cellStyle name="Comma 461 2" xfId="1739" xr:uid="{D53505EB-F2E1-4B90-BA39-8E424A907C29}"/>
    <cellStyle name="Comma 461 2 2" xfId="3797" xr:uid="{423C65D7-2FAB-4CE8-81BB-F48B1B94626D}"/>
    <cellStyle name="Comma 461 2 2 2" xfId="9030" xr:uid="{50135DDF-837A-49BB-B01A-7661DA0A6F3D}"/>
    <cellStyle name="Comma 461 2 2 2 2" xfId="19382" xr:uid="{C911FC76-BE97-483E-980C-23C0B233BE1A}"/>
    <cellStyle name="Comma 461 2 2 3" xfId="14207" xr:uid="{6F054051-61F6-40DA-B219-90412D2C5B32}"/>
    <cellStyle name="Comma 461 2 3" xfId="6972" xr:uid="{37066165-1309-4156-AB20-BFCDBA668842}"/>
    <cellStyle name="Comma 461 2 3 2" xfId="17324" xr:uid="{3365F3E3-7AA6-4445-87B6-145694C0B01F}"/>
    <cellStyle name="Comma 461 2 4" xfId="12149" xr:uid="{C8F1B76A-6169-4397-97B7-AE5C17C93DF5}"/>
    <cellStyle name="Comma 461 3" xfId="2767" xr:uid="{93C0CC17-8774-48E7-B342-87D0C7DB89EB}"/>
    <cellStyle name="Comma 461 3 2" xfId="8000" xr:uid="{4F840922-66EE-4F8B-892A-74925F48DCDB}"/>
    <cellStyle name="Comma 461 3 2 2" xfId="18352" xr:uid="{2AEB9629-92C5-4B87-88CF-B93916101E53}"/>
    <cellStyle name="Comma 461 3 3" xfId="13177" xr:uid="{188F795F-FD51-484B-BDE3-124AAFF47B56}"/>
    <cellStyle name="Comma 461 4" xfId="4893" xr:uid="{60B622ED-3E86-478D-AB6B-9295443D4477}"/>
    <cellStyle name="Comma 461 4 2" xfId="10069" xr:uid="{41AA0D7B-98DB-440B-A0A1-92864E9BBD18}"/>
    <cellStyle name="Comma 461 4 2 2" xfId="20421" xr:uid="{BECDDC35-CEC9-4BD9-9EA5-18F1DC457466}"/>
    <cellStyle name="Comma 461 4 3" xfId="15245" xr:uid="{927C39D5-ECA7-41B1-BA28-CD74FD47BF64}"/>
    <cellStyle name="Comma 461 5" xfId="5941" xr:uid="{E0791337-D6B4-49BE-8844-F0A3C9CF90E2}"/>
    <cellStyle name="Comma 461 5 2" xfId="16293" xr:uid="{8D1DFDFC-99F4-4037-8D72-2634B6AE1372}"/>
    <cellStyle name="Comma 461 6" xfId="11119" xr:uid="{F1E625CC-BE1A-47AE-9423-755C8733DDC3}"/>
    <cellStyle name="Comma 462" xfId="702" xr:uid="{FCD5744E-7F73-4657-9068-0630FD302808}"/>
    <cellStyle name="Comma 462 2" xfId="1740" xr:uid="{419DA772-C2A9-4281-B0E1-DB904582A862}"/>
    <cellStyle name="Comma 462 2 2" xfId="3798" xr:uid="{04C00963-21C2-4D69-BF42-61C50200A076}"/>
    <cellStyle name="Comma 462 2 2 2" xfId="9031" xr:uid="{76913032-9F60-4FE9-B48E-E61F12F17ED6}"/>
    <cellStyle name="Comma 462 2 2 2 2" xfId="19383" xr:uid="{10C9B2FB-FF15-42ED-93BD-51E7FAF1A7EB}"/>
    <cellStyle name="Comma 462 2 2 3" xfId="14208" xr:uid="{6C6F1ABC-B7DE-4F94-A535-99491EAA9B22}"/>
    <cellStyle name="Comma 462 2 3" xfId="6973" xr:uid="{0D0122DE-44EC-4F2D-8540-00327D2C4D02}"/>
    <cellStyle name="Comma 462 2 3 2" xfId="17325" xr:uid="{DA0948A1-386B-4401-8917-0886F132D72F}"/>
    <cellStyle name="Comma 462 2 4" xfId="12150" xr:uid="{5364DBD2-EB43-4FC7-88C8-D1E9B4BF8FB7}"/>
    <cellStyle name="Comma 462 3" xfId="2768" xr:uid="{97286EC8-356F-4F60-B27B-68E527E5BE8D}"/>
    <cellStyle name="Comma 462 3 2" xfId="8001" xr:uid="{8A7646F3-4FC5-4CBA-9631-D7856B00B1B7}"/>
    <cellStyle name="Comma 462 3 2 2" xfId="18353" xr:uid="{4FC6D2BA-D105-45A1-82B8-25D66F5A4832}"/>
    <cellStyle name="Comma 462 3 3" xfId="13178" xr:uid="{38ADC119-22C8-4F51-AAD5-78FA8F265947}"/>
    <cellStyle name="Comma 462 4" xfId="4894" xr:uid="{F0035297-4E18-4FAC-B994-78B3715726F1}"/>
    <cellStyle name="Comma 462 4 2" xfId="10070" xr:uid="{E1E5B481-A407-49EC-8C55-EB24CA9660A1}"/>
    <cellStyle name="Comma 462 4 2 2" xfId="20422" xr:uid="{0A1AA39E-F059-4DE2-B46E-BE987A12129C}"/>
    <cellStyle name="Comma 462 4 3" xfId="15246" xr:uid="{9D1657DE-1FF6-47EA-897E-9A6A21A76172}"/>
    <cellStyle name="Comma 462 5" xfId="5942" xr:uid="{F52D0D79-2DA5-4DB1-AE8E-3BBFEB06CC00}"/>
    <cellStyle name="Comma 462 5 2" xfId="16294" xr:uid="{EDF12E25-2759-494E-8DB7-8C8CAFA1B1D9}"/>
    <cellStyle name="Comma 462 6" xfId="11120" xr:uid="{849282B1-27C4-44F7-A4E5-CD6CC1C25E39}"/>
    <cellStyle name="Comma 463" xfId="703" xr:uid="{E18C2E9E-76EB-4E6A-94C1-AC88C0A80F90}"/>
    <cellStyle name="Comma 463 2" xfId="1741" xr:uid="{838A0C21-E774-4A67-800F-B5F7182A0EF6}"/>
    <cellStyle name="Comma 463 2 2" xfId="3799" xr:uid="{54F90AD8-190B-413F-94AD-1A9A9CD53657}"/>
    <cellStyle name="Comma 463 2 2 2" xfId="9032" xr:uid="{4971B1F4-5D23-4C50-94CD-A922DDDDD7EF}"/>
    <cellStyle name="Comma 463 2 2 2 2" xfId="19384" xr:uid="{47CAE2A5-0FE1-410A-9B9E-6FC4C68A94D5}"/>
    <cellStyle name="Comma 463 2 2 3" xfId="14209" xr:uid="{D66CA49B-8DF2-4737-B859-C5A4A058CD7F}"/>
    <cellStyle name="Comma 463 2 3" xfId="6974" xr:uid="{FABCB466-0D1D-4BC5-96B1-A7FA5E0BF6C6}"/>
    <cellStyle name="Comma 463 2 3 2" xfId="17326" xr:uid="{9A6D0B42-9B1E-4F84-B8EC-CC4FD28BF09C}"/>
    <cellStyle name="Comma 463 2 4" xfId="12151" xr:uid="{CC549020-D5C8-4142-95D8-FC9784AC33DB}"/>
    <cellStyle name="Comma 463 3" xfId="2769" xr:uid="{F9C10ACC-4692-4B08-B59A-14E7437255DF}"/>
    <cellStyle name="Comma 463 3 2" xfId="8002" xr:uid="{C8AD898C-08DD-4D0E-B462-7DCC209D0C4B}"/>
    <cellStyle name="Comma 463 3 2 2" xfId="18354" xr:uid="{3653C811-5540-478E-AD00-EB6BD9BA9908}"/>
    <cellStyle name="Comma 463 3 3" xfId="13179" xr:uid="{757C3EC4-0E58-453D-BF7A-7C332190DC75}"/>
    <cellStyle name="Comma 463 4" xfId="4895" xr:uid="{9ADB5AFE-748B-4674-A916-336D64FBCB00}"/>
    <cellStyle name="Comma 463 4 2" xfId="10071" xr:uid="{CF4A2AE4-9871-42F9-88DA-DB5DFAC48041}"/>
    <cellStyle name="Comma 463 4 2 2" xfId="20423" xr:uid="{3D785C76-C844-429F-8BD6-F665974EF8AD}"/>
    <cellStyle name="Comma 463 4 3" xfId="15247" xr:uid="{E6978E58-37F3-4032-87E0-A9B2CAE94D6D}"/>
    <cellStyle name="Comma 463 5" xfId="5943" xr:uid="{A8105A56-1395-4382-9F09-A5291A9CECA7}"/>
    <cellStyle name="Comma 463 5 2" xfId="16295" xr:uid="{522F830E-97D4-474E-A7AA-F1F68FC0A6C6}"/>
    <cellStyle name="Comma 463 6" xfId="11121" xr:uid="{01D9A492-B19D-4051-A977-FE11D9652705}"/>
    <cellStyle name="Comma 464" xfId="704" xr:uid="{BDD2B47C-4BDE-406C-ABD1-5A822B99777A}"/>
    <cellStyle name="Comma 464 2" xfId="1742" xr:uid="{57DFAE2A-62F6-4BF5-A370-1BD4B5EBC44F}"/>
    <cellStyle name="Comma 464 2 2" xfId="3800" xr:uid="{74EDC601-C9D7-4BD2-ADCC-8AF4D1268466}"/>
    <cellStyle name="Comma 464 2 2 2" xfId="9033" xr:uid="{4A6C2E48-4A91-41BD-946E-AAD5289A0C27}"/>
    <cellStyle name="Comma 464 2 2 2 2" xfId="19385" xr:uid="{C27208D4-FB7A-45E6-9FBC-EB95CF1FCF9B}"/>
    <cellStyle name="Comma 464 2 2 3" xfId="14210" xr:uid="{70A5D1D6-BCED-4F2C-BB32-AA30CEA16B53}"/>
    <cellStyle name="Comma 464 2 3" xfId="6975" xr:uid="{DDDA8FFB-0DDD-4F93-81BE-FBC44FED5D69}"/>
    <cellStyle name="Comma 464 2 3 2" xfId="17327" xr:uid="{7F4BFA4F-C736-4752-9717-77D1D2F2F44F}"/>
    <cellStyle name="Comma 464 2 4" xfId="12152" xr:uid="{87F6D15F-8821-4FD8-A988-41EF1810D762}"/>
    <cellStyle name="Comma 464 3" xfId="2770" xr:uid="{50E274D6-D2ED-4037-B27B-C0A8056C1231}"/>
    <cellStyle name="Comma 464 3 2" xfId="8003" xr:uid="{9223D2A8-E4E9-4DD7-BCB9-114817613662}"/>
    <cellStyle name="Comma 464 3 2 2" xfId="18355" xr:uid="{FE3B4E2B-8719-44EA-A372-9C0564E2705A}"/>
    <cellStyle name="Comma 464 3 3" xfId="13180" xr:uid="{16D94E6B-64AD-48EA-A0EA-147FABFF3B13}"/>
    <cellStyle name="Comma 464 4" xfId="4896" xr:uid="{E823BF58-192F-4FC9-BA4B-9DCF36AAC11B}"/>
    <cellStyle name="Comma 464 4 2" xfId="10072" xr:uid="{CCCCE272-93E5-4673-8B9E-4D04231C051F}"/>
    <cellStyle name="Comma 464 4 2 2" xfId="20424" xr:uid="{001B2B69-F2B3-47B8-92F5-20CAC099E4F1}"/>
    <cellStyle name="Comma 464 4 3" xfId="15248" xr:uid="{BF27110E-38E9-48CC-BE6A-CC6066DF52F6}"/>
    <cellStyle name="Comma 464 5" xfId="5944" xr:uid="{EFC4FA58-BE35-4F51-8F8B-EA111C32EBB8}"/>
    <cellStyle name="Comma 464 5 2" xfId="16296" xr:uid="{616F3E4F-B33C-410C-A579-8C826FF868C8}"/>
    <cellStyle name="Comma 464 6" xfId="11122" xr:uid="{F47B7430-8378-456B-B605-2B1846469C2C}"/>
    <cellStyle name="Comma 465" xfId="705" xr:uid="{2241BB27-563E-4AF2-9C04-AEB2C024C00B}"/>
    <cellStyle name="Comma 465 2" xfId="1743" xr:uid="{009042D5-2E8C-4F16-ABD3-933AE4CBEF2E}"/>
    <cellStyle name="Comma 465 2 2" xfId="3801" xr:uid="{594A7817-67E5-420D-A4E0-A06CD0D79CE4}"/>
    <cellStyle name="Comma 465 2 2 2" xfId="9034" xr:uid="{86D685C8-4570-467F-A412-67CA0E8CB29D}"/>
    <cellStyle name="Comma 465 2 2 2 2" xfId="19386" xr:uid="{6EFC34D9-3A71-4497-B16F-E40BF1A1B9E5}"/>
    <cellStyle name="Comma 465 2 2 3" xfId="14211" xr:uid="{A9E889FE-5879-4F5B-8878-346F670EE853}"/>
    <cellStyle name="Comma 465 2 3" xfId="6976" xr:uid="{01DD1E4D-E3A2-4FCE-B188-F20E2CECFAAF}"/>
    <cellStyle name="Comma 465 2 3 2" xfId="17328" xr:uid="{99116345-F99E-4F0C-B2C7-89DFEAC9508E}"/>
    <cellStyle name="Comma 465 2 4" xfId="12153" xr:uid="{C183367B-6AFD-45EE-9308-AE4FFAFAC6F6}"/>
    <cellStyle name="Comma 465 3" xfId="2771" xr:uid="{F3BB50DD-095A-4355-A620-C4654A6B150F}"/>
    <cellStyle name="Comma 465 3 2" xfId="8004" xr:uid="{B2208689-2CC9-45E9-8E82-51C2F3626FBA}"/>
    <cellStyle name="Comma 465 3 2 2" xfId="18356" xr:uid="{E04192EF-F720-424D-BF38-C4CC02263FA4}"/>
    <cellStyle name="Comma 465 3 3" xfId="13181" xr:uid="{49A1B96F-DE4B-4CE5-B346-D6F9695A3E2C}"/>
    <cellStyle name="Comma 465 4" xfId="4897" xr:uid="{5EFA538C-BA57-4ED8-ABAC-353A90D86706}"/>
    <cellStyle name="Comma 465 4 2" xfId="10073" xr:uid="{748F8627-58E9-459E-937B-38AA7F007D13}"/>
    <cellStyle name="Comma 465 4 2 2" xfId="20425" xr:uid="{6B29CA50-D159-4B35-8ED8-89CE7CF2DE81}"/>
    <cellStyle name="Comma 465 4 3" xfId="15249" xr:uid="{B410672D-3B56-48A1-ADCF-4C5852BF2C9C}"/>
    <cellStyle name="Comma 465 5" xfId="5945" xr:uid="{2138BE6D-33F0-4ADA-9C8C-CE8791E5483D}"/>
    <cellStyle name="Comma 465 5 2" xfId="16297" xr:uid="{036FF5DB-8761-4DC3-9D9D-B99C6C37903C}"/>
    <cellStyle name="Comma 465 6" xfId="11123" xr:uid="{8E4C1F64-5DB2-4BB8-AFE5-1CFD1205DDAF}"/>
    <cellStyle name="Comma 466" xfId="706" xr:uid="{98CB6A8D-72C6-4E62-9114-9C12E5C05D79}"/>
    <cellStyle name="Comma 466 2" xfId="1744" xr:uid="{27C0585B-A128-44B5-A2A4-7AA31165D945}"/>
    <cellStyle name="Comma 466 2 2" xfId="3802" xr:uid="{538F5AF8-4C6A-4B00-B6B3-4AD55FD645E2}"/>
    <cellStyle name="Comma 466 2 2 2" xfId="9035" xr:uid="{B5C66C51-0564-4E9C-847E-9619F34C94FC}"/>
    <cellStyle name="Comma 466 2 2 2 2" xfId="19387" xr:uid="{652655EA-1910-4FE4-A97D-5CFD3E4C3C3D}"/>
    <cellStyle name="Comma 466 2 2 3" xfId="14212" xr:uid="{12B4FEE8-702B-42D4-8863-A86D4B08D9E2}"/>
    <cellStyle name="Comma 466 2 3" xfId="6977" xr:uid="{E6127418-EBBE-41B5-AE96-58DF59178CD1}"/>
    <cellStyle name="Comma 466 2 3 2" xfId="17329" xr:uid="{B6C3867C-627C-413C-9797-CCF886F39083}"/>
    <cellStyle name="Comma 466 2 4" xfId="12154" xr:uid="{DCEE5123-796F-499C-9485-683EACC42ADC}"/>
    <cellStyle name="Comma 466 3" xfId="2772" xr:uid="{686EAC76-4547-4F33-91B1-2790AE9A9531}"/>
    <cellStyle name="Comma 466 3 2" xfId="8005" xr:uid="{BC44B074-5318-43E6-B468-1DEC5EEA2643}"/>
    <cellStyle name="Comma 466 3 2 2" xfId="18357" xr:uid="{5C098FE3-81C5-477E-8982-857084299C2C}"/>
    <cellStyle name="Comma 466 3 3" xfId="13182" xr:uid="{1A509D73-EF99-4192-85A4-DF897AB2B1F7}"/>
    <cellStyle name="Comma 466 4" xfId="4898" xr:uid="{29C5934C-D8A5-4944-BD3A-D5016BA59A0A}"/>
    <cellStyle name="Comma 466 4 2" xfId="10074" xr:uid="{82B61309-F773-4CD7-A80E-A9994CD86086}"/>
    <cellStyle name="Comma 466 4 2 2" xfId="20426" xr:uid="{D4545C09-892C-4F93-9137-6443A61EF287}"/>
    <cellStyle name="Comma 466 4 3" xfId="15250" xr:uid="{8CEE7072-7B38-49F9-8F11-AF3E866068F7}"/>
    <cellStyle name="Comma 466 5" xfId="5946" xr:uid="{9FE922DC-A118-4C53-B35A-C20587C8146D}"/>
    <cellStyle name="Comma 466 5 2" xfId="16298" xr:uid="{2917E9C8-90AE-4B0C-A1BC-259205125C77}"/>
    <cellStyle name="Comma 466 6" xfId="11124" xr:uid="{E9102258-FD1C-405B-B0DA-503CEF2C2187}"/>
    <cellStyle name="Comma 467" xfId="707" xr:uid="{71CD3523-BC04-4C81-97D1-002ACCB0A1C1}"/>
    <cellStyle name="Comma 467 2" xfId="1745" xr:uid="{626E1F16-6F85-418A-B6DD-5BB8E0A3A951}"/>
    <cellStyle name="Comma 467 2 2" xfId="3803" xr:uid="{69B2F710-2CFB-4AE9-8525-7159DE8DE233}"/>
    <cellStyle name="Comma 467 2 2 2" xfId="9036" xr:uid="{E0E14CED-B837-40F2-9A7E-84CF53A6EAC2}"/>
    <cellStyle name="Comma 467 2 2 2 2" xfId="19388" xr:uid="{6A845240-0861-467E-9801-1E729302DD42}"/>
    <cellStyle name="Comma 467 2 2 3" xfId="14213" xr:uid="{C2E63F81-B813-4C6E-BC15-67466321CF28}"/>
    <cellStyle name="Comma 467 2 3" xfId="6978" xr:uid="{7F41D6A4-1F42-4E48-880C-D92AD88FF425}"/>
    <cellStyle name="Comma 467 2 3 2" xfId="17330" xr:uid="{B4A57663-4437-49F9-BE54-62E7F6100C0D}"/>
    <cellStyle name="Comma 467 2 4" xfId="12155" xr:uid="{28C0CA9F-A27A-4776-A48C-D4B4199582D1}"/>
    <cellStyle name="Comma 467 3" xfId="2773" xr:uid="{14D512EA-48CA-4BD7-B783-BF4FC0BABC5E}"/>
    <cellStyle name="Comma 467 3 2" xfId="8006" xr:uid="{329545A2-B508-45E2-8980-F785B482B902}"/>
    <cellStyle name="Comma 467 3 2 2" xfId="18358" xr:uid="{8E3A2866-6ECE-417B-865D-530BE3A9B498}"/>
    <cellStyle name="Comma 467 3 3" xfId="13183" xr:uid="{A8E96362-EBFC-4DB1-8B54-D258CED2AD65}"/>
    <cellStyle name="Comma 467 4" xfId="4899" xr:uid="{3E14E167-50B4-4353-AC9B-61CF1557BA20}"/>
    <cellStyle name="Comma 467 4 2" xfId="10075" xr:uid="{50825E7A-F10E-480A-BAEF-4F0EFBF17A90}"/>
    <cellStyle name="Comma 467 4 2 2" xfId="20427" xr:uid="{5D78C33B-9DB0-4FE2-94DF-2E5CA1325411}"/>
    <cellStyle name="Comma 467 4 3" xfId="15251" xr:uid="{5F10D0F6-3A79-4BD2-8D19-EB8C0BD39CCE}"/>
    <cellStyle name="Comma 467 5" xfId="5947" xr:uid="{8D177B52-6F38-4021-9960-75D5F83AF49F}"/>
    <cellStyle name="Comma 467 5 2" xfId="16299" xr:uid="{A8EA63EE-A9B8-4A7C-849A-627FD470CF2B}"/>
    <cellStyle name="Comma 467 6" xfId="11125" xr:uid="{2A3C1AF2-2568-4B7C-A55D-E0DDA6C7D407}"/>
    <cellStyle name="Comma 468" xfId="708" xr:uid="{F93601FC-A281-4A73-AB0E-C93F67F778AC}"/>
    <cellStyle name="Comma 468 2" xfId="1746" xr:uid="{6FB26AB6-7E5A-45C3-903D-E7A28576E2F9}"/>
    <cellStyle name="Comma 468 2 2" xfId="3804" xr:uid="{88C84D1A-5BFC-4815-8A00-7CA4ECAB64B9}"/>
    <cellStyle name="Comma 468 2 2 2" xfId="9037" xr:uid="{F4FF1AA7-E014-49DE-AC43-CEA6E2414A4D}"/>
    <cellStyle name="Comma 468 2 2 2 2" xfId="19389" xr:uid="{4BA41939-BD54-4B2B-8620-16771FDD3698}"/>
    <cellStyle name="Comma 468 2 2 3" xfId="14214" xr:uid="{D592F8A4-6190-4619-B2A3-DF9C661077AE}"/>
    <cellStyle name="Comma 468 2 3" xfId="6979" xr:uid="{37588EC9-B13F-460F-BE65-E885A78616DD}"/>
    <cellStyle name="Comma 468 2 3 2" xfId="17331" xr:uid="{68D67A32-4D86-4C86-9A7C-B3FBEC8E6637}"/>
    <cellStyle name="Comma 468 2 4" xfId="12156" xr:uid="{B4FA3B26-4EC7-4D39-8368-671D7EEA5321}"/>
    <cellStyle name="Comma 468 3" xfId="2774" xr:uid="{B5CAE71D-9C3B-43F2-B80E-2FB91C411584}"/>
    <cellStyle name="Comma 468 3 2" xfId="8007" xr:uid="{486C8BEF-0D71-4C99-915F-65DBC6091A13}"/>
    <cellStyle name="Comma 468 3 2 2" xfId="18359" xr:uid="{2CB4FE88-EAE6-4E5E-AB89-65EDDED62FC9}"/>
    <cellStyle name="Comma 468 3 3" xfId="13184" xr:uid="{96ABACCC-E060-4066-9EDF-453F12CE1774}"/>
    <cellStyle name="Comma 468 4" xfId="4900" xr:uid="{6B5CF332-B587-4154-BE0C-43664D737A43}"/>
    <cellStyle name="Comma 468 4 2" xfId="10076" xr:uid="{4D318651-3760-4382-BF2E-01A4F6C6FB49}"/>
    <cellStyle name="Comma 468 4 2 2" xfId="20428" xr:uid="{13AC022E-20EB-488C-9516-B987803CF434}"/>
    <cellStyle name="Comma 468 4 3" xfId="15252" xr:uid="{54087887-B4C0-47DB-B6CC-BC79F6D3538C}"/>
    <cellStyle name="Comma 468 5" xfId="5948" xr:uid="{AD4B7D17-95D7-4029-A163-5F04C6B73E93}"/>
    <cellStyle name="Comma 468 5 2" xfId="16300" xr:uid="{0E2902BA-56E2-4F76-97EC-F395E3C249EF}"/>
    <cellStyle name="Comma 468 6" xfId="11126" xr:uid="{519BEC31-BFC1-42DE-8675-569D961C38D3}"/>
    <cellStyle name="Comma 469" xfId="709" xr:uid="{53ED6CCB-6FBB-4934-8502-930736B4600D}"/>
    <cellStyle name="Comma 469 2" xfId="1747" xr:uid="{68D4FD0A-A4E3-44A9-93DA-F8E47EA6745A}"/>
    <cellStyle name="Comma 469 2 2" xfId="3805" xr:uid="{91115453-C89F-403F-9AA0-10BE5FAD8194}"/>
    <cellStyle name="Comma 469 2 2 2" xfId="9038" xr:uid="{288D91C2-B40E-488F-8C95-D22C73400647}"/>
    <cellStyle name="Comma 469 2 2 2 2" xfId="19390" xr:uid="{1273FB65-D0D4-4054-AA20-39ADFE65C942}"/>
    <cellStyle name="Comma 469 2 2 3" xfId="14215" xr:uid="{75C766F9-DE80-4E93-8E68-84F98105DAB2}"/>
    <cellStyle name="Comma 469 2 3" xfId="6980" xr:uid="{327D1859-D280-4F4A-87C0-CA9B6DBB1F25}"/>
    <cellStyle name="Comma 469 2 3 2" xfId="17332" xr:uid="{9E87572C-2CC0-4A24-88E9-842410D57CF2}"/>
    <cellStyle name="Comma 469 2 4" xfId="12157" xr:uid="{E9047DAD-755B-4F3C-942A-C5FB742DF728}"/>
    <cellStyle name="Comma 469 3" xfId="2775" xr:uid="{B9EBAA48-540E-4697-88C9-2F8D47C063E7}"/>
    <cellStyle name="Comma 469 3 2" xfId="8008" xr:uid="{81570BEE-0E73-41E7-BF3B-3D8265387767}"/>
    <cellStyle name="Comma 469 3 2 2" xfId="18360" xr:uid="{4730325B-4287-4F27-AED2-F25694271494}"/>
    <cellStyle name="Comma 469 3 3" xfId="13185" xr:uid="{857BFC07-465D-431A-93DE-F55E74FEB52D}"/>
    <cellStyle name="Comma 469 4" xfId="4901" xr:uid="{6EFD5CE8-45BD-4132-9727-FB81DF11D432}"/>
    <cellStyle name="Comma 469 4 2" xfId="10077" xr:uid="{3312562B-7600-45D0-8182-D4F714913C24}"/>
    <cellStyle name="Comma 469 4 2 2" xfId="20429" xr:uid="{0B5306CD-8FD9-498F-B04A-C9EA74B32C4B}"/>
    <cellStyle name="Comma 469 4 3" xfId="15253" xr:uid="{6EB4D0A5-DCE0-4CFE-8A13-4B53D62DB45E}"/>
    <cellStyle name="Comma 469 5" xfId="5949" xr:uid="{D7EBC78D-CB9F-4929-B063-142BC02CB866}"/>
    <cellStyle name="Comma 469 5 2" xfId="16301" xr:uid="{D336E196-5541-44C1-A139-ACF11FC1734D}"/>
    <cellStyle name="Comma 469 6" xfId="11127" xr:uid="{F2B69FDD-8753-47D3-B6E4-ECCD4A7FA3B9}"/>
    <cellStyle name="Comma 47" xfId="247" xr:uid="{B188F78C-0DA6-4D63-9577-B1FAB9D79F39}"/>
    <cellStyle name="Comma 47 2" xfId="1325" xr:uid="{73E27A7F-9328-4DA0-8B1A-F0CB87B0A747}"/>
    <cellStyle name="Comma 47 2 2" xfId="3383" xr:uid="{88D4A0E6-A426-4301-BCCD-BF6788364C14}"/>
    <cellStyle name="Comma 47 2 2 2" xfId="8616" xr:uid="{1DAB8EE7-31F7-4011-95B2-4755D879E8D9}"/>
    <cellStyle name="Comma 47 2 2 2 2" xfId="18968" xr:uid="{4A97E484-B7AC-4D99-AF8B-4782139DAA79}"/>
    <cellStyle name="Comma 47 2 2 3" xfId="13793" xr:uid="{C9018253-2A1E-49B6-ACAF-EB90C6931C7D}"/>
    <cellStyle name="Comma 47 2 3" xfId="6558" xr:uid="{CAB852B0-4712-45D8-8268-CB6A523D8B7E}"/>
    <cellStyle name="Comma 47 2 3 2" xfId="16910" xr:uid="{7A82C6C1-0970-4821-86FF-00DD6CAF2472}"/>
    <cellStyle name="Comma 47 2 4" xfId="11735" xr:uid="{29EA937C-46C4-44FF-B56A-E370120E4C44}"/>
    <cellStyle name="Comma 47 3" xfId="2353" xr:uid="{0CFA1EED-936A-4335-94E1-A748E60BB1E3}"/>
    <cellStyle name="Comma 47 3 2" xfId="7586" xr:uid="{73B2B70D-22D4-4967-908A-E72F291A125D}"/>
    <cellStyle name="Comma 47 3 2 2" xfId="17938" xr:uid="{07465238-15D8-4CF9-BDFB-F1F1F505B412}"/>
    <cellStyle name="Comma 47 3 3" xfId="12763" xr:uid="{B6C2F17D-7E3D-4EAF-851F-4886BEA936F4}"/>
    <cellStyle name="Comma 47 4" xfId="4479" xr:uid="{C66C2B04-8C07-4639-84F7-633F624C066C}"/>
    <cellStyle name="Comma 47 4 2" xfId="9655" xr:uid="{D1212B2F-BDD0-4B8C-8ECC-2784472D5AEE}"/>
    <cellStyle name="Comma 47 4 2 2" xfId="20007" xr:uid="{D9DB90BD-23BA-4620-9B83-5983CE525E8B}"/>
    <cellStyle name="Comma 47 4 3" xfId="14831" xr:uid="{B62C9B19-F975-4532-A550-22895317D436}"/>
    <cellStyle name="Comma 47 5" xfId="5527" xr:uid="{751AD7B3-AEDB-41AB-BF82-DD5911DFCEBB}"/>
    <cellStyle name="Comma 47 5 2" xfId="15879" xr:uid="{4AB0FA1F-7170-4072-ADA3-E3383D946973}"/>
    <cellStyle name="Comma 47 6" xfId="10705" xr:uid="{5D7FA33B-2D81-4616-9DAE-2B0FA00AC489}"/>
    <cellStyle name="Comma 470" xfId="710" xr:uid="{ACA19C4A-8749-47B2-B32D-5ED20542A335}"/>
    <cellStyle name="Comma 470 2" xfId="1748" xr:uid="{AB344754-C84B-4641-BAD1-9787EEE739EC}"/>
    <cellStyle name="Comma 470 2 2" xfId="3806" xr:uid="{B3D1A234-7EAC-47D2-9A1E-477AFF13F25B}"/>
    <cellStyle name="Comma 470 2 2 2" xfId="9039" xr:uid="{88394840-4803-49C4-9083-E6181CA400FC}"/>
    <cellStyle name="Comma 470 2 2 2 2" xfId="19391" xr:uid="{4429074B-DDA9-493E-85EA-525BFCC6E7C3}"/>
    <cellStyle name="Comma 470 2 2 3" xfId="14216" xr:uid="{C2247BA2-8E20-4D9A-8F15-C38D59ECA3AD}"/>
    <cellStyle name="Comma 470 2 3" xfId="6981" xr:uid="{8DF4AF48-CB31-4E9C-96F3-BFCD6DD11E5C}"/>
    <cellStyle name="Comma 470 2 3 2" xfId="17333" xr:uid="{28C3ECE4-474C-4FF0-BB0B-B18C5AA91C76}"/>
    <cellStyle name="Comma 470 2 4" xfId="12158" xr:uid="{E83365BD-CA4D-4113-BD2A-2C239A9D9E8F}"/>
    <cellStyle name="Comma 470 3" xfId="2776" xr:uid="{FFE2DE70-1FB2-479E-9164-18A9B959229E}"/>
    <cellStyle name="Comma 470 3 2" xfId="8009" xr:uid="{9A6BE422-A684-42C5-AED6-51E9BB0839C8}"/>
    <cellStyle name="Comma 470 3 2 2" xfId="18361" xr:uid="{72946CBF-D775-4E89-AA81-1005C5A1B2FE}"/>
    <cellStyle name="Comma 470 3 3" xfId="13186" xr:uid="{9D86284D-9A48-4173-9D3D-2337C2F06960}"/>
    <cellStyle name="Comma 470 4" xfId="4902" xr:uid="{B534A7E3-7254-46D6-8248-F20BACE5F0DF}"/>
    <cellStyle name="Comma 470 4 2" xfId="10078" xr:uid="{1931A465-9F6F-4E8C-8D08-02DF05C96722}"/>
    <cellStyle name="Comma 470 4 2 2" xfId="20430" xr:uid="{DEE9E394-2975-4B41-A513-1D2088F52257}"/>
    <cellStyle name="Comma 470 4 3" xfId="15254" xr:uid="{09D0E8E4-D98E-4E3D-9335-4E6EB2253243}"/>
    <cellStyle name="Comma 470 5" xfId="5950" xr:uid="{25A82907-EF60-4313-BABC-54860E9418F0}"/>
    <cellStyle name="Comma 470 5 2" xfId="16302" xr:uid="{982B0F27-601B-4D6E-959C-9F973A118D0F}"/>
    <cellStyle name="Comma 470 6" xfId="11128" xr:uid="{E1477593-3549-4A35-AB30-AF74F724F474}"/>
    <cellStyle name="Comma 471" xfId="711" xr:uid="{16470A60-A991-49A2-B036-89BDE5040FDF}"/>
    <cellStyle name="Comma 471 2" xfId="1749" xr:uid="{19C90402-7B7F-45A8-90CF-52F7CA8236D3}"/>
    <cellStyle name="Comma 471 2 2" xfId="3807" xr:uid="{62B2FA17-3367-4183-8808-5C12DEC94BDE}"/>
    <cellStyle name="Comma 471 2 2 2" xfId="9040" xr:uid="{E68CA326-B710-4AC3-8040-65EFF0F5FE03}"/>
    <cellStyle name="Comma 471 2 2 2 2" xfId="19392" xr:uid="{FD909A0C-010E-4D42-A27A-DC4F18961201}"/>
    <cellStyle name="Comma 471 2 2 3" xfId="14217" xr:uid="{272A454F-9435-4931-821A-D0C18EACEC66}"/>
    <cellStyle name="Comma 471 2 3" xfId="6982" xr:uid="{FEA99956-D016-42F1-B390-6281BB3AEBEE}"/>
    <cellStyle name="Comma 471 2 3 2" xfId="17334" xr:uid="{EAA62BF4-0131-45A5-92C6-0CD6E22744D2}"/>
    <cellStyle name="Comma 471 2 4" xfId="12159" xr:uid="{50951411-8100-4CAD-9087-C8D40D11EAA9}"/>
    <cellStyle name="Comma 471 3" xfId="2777" xr:uid="{104566BC-FFD8-4F54-8CEC-FA8017B9DEBB}"/>
    <cellStyle name="Comma 471 3 2" xfId="8010" xr:uid="{CDD728C2-6A45-4C24-B3CC-43EAD8CDA1E3}"/>
    <cellStyle name="Comma 471 3 2 2" xfId="18362" xr:uid="{C3150D68-CD1C-43FA-8628-261967226B12}"/>
    <cellStyle name="Comma 471 3 3" xfId="13187" xr:uid="{A6A8EA85-9AC6-4277-BFAC-6F4C7C6674A9}"/>
    <cellStyle name="Comma 471 4" xfId="4903" xr:uid="{C7109537-1DC7-4771-AB68-3F4C123FDBFA}"/>
    <cellStyle name="Comma 471 4 2" xfId="10079" xr:uid="{2813CA81-D3A3-41B5-917F-69C1AEAFDE35}"/>
    <cellStyle name="Comma 471 4 2 2" xfId="20431" xr:uid="{FB886E0F-BE8A-4259-BD29-8D44E3FBC513}"/>
    <cellStyle name="Comma 471 4 3" xfId="15255" xr:uid="{9D7DA8BF-35F6-4E7F-8F79-4B59EA983A21}"/>
    <cellStyle name="Comma 471 5" xfId="5951" xr:uid="{9A996632-D999-40FE-9FA2-2B0E290A02AC}"/>
    <cellStyle name="Comma 471 5 2" xfId="16303" xr:uid="{B8834F40-4051-4ADD-AF74-F4165EC6885C}"/>
    <cellStyle name="Comma 471 6" xfId="11129" xr:uid="{C8AAC14E-2DE2-4D7A-A4F7-5BFD6CC1C5F4}"/>
    <cellStyle name="Comma 472" xfId="712" xr:uid="{6E784FF1-4137-452B-9F41-EC328923FE2E}"/>
    <cellStyle name="Comma 472 2" xfId="1750" xr:uid="{9D338D46-A686-4626-B569-7E77B80F83EE}"/>
    <cellStyle name="Comma 472 2 2" xfId="3808" xr:uid="{64031A05-D511-42BD-8924-2F44071B2997}"/>
    <cellStyle name="Comma 472 2 2 2" xfId="9041" xr:uid="{557A1FE2-15DD-4169-AED0-16FFE00E14EF}"/>
    <cellStyle name="Comma 472 2 2 2 2" xfId="19393" xr:uid="{D3A5F4FD-D964-45EA-AA86-E57420B320B4}"/>
    <cellStyle name="Comma 472 2 2 3" xfId="14218" xr:uid="{8611F65E-DF10-4591-BD08-58168AA5C649}"/>
    <cellStyle name="Comma 472 2 3" xfId="6983" xr:uid="{BC6F408D-1BF0-482B-890A-4426D79CAE19}"/>
    <cellStyle name="Comma 472 2 3 2" xfId="17335" xr:uid="{325986F8-2B63-4920-8C8C-D98BF10E564D}"/>
    <cellStyle name="Comma 472 2 4" xfId="12160" xr:uid="{72EFFF6A-AD8D-41DA-82B6-CD5D1BCE1D8F}"/>
    <cellStyle name="Comma 472 3" xfId="2778" xr:uid="{20E48395-D5AB-4E24-BCDA-4C95628621EF}"/>
    <cellStyle name="Comma 472 3 2" xfId="8011" xr:uid="{D9D087C4-FF9B-4681-A226-FB4FABB36F6E}"/>
    <cellStyle name="Comma 472 3 2 2" xfId="18363" xr:uid="{8D6639F8-B424-4D8F-BC61-6463C459D63B}"/>
    <cellStyle name="Comma 472 3 3" xfId="13188" xr:uid="{B2FF8ABD-48D9-415F-8FA2-4C31E01239A8}"/>
    <cellStyle name="Comma 472 4" xfId="4904" xr:uid="{45CFDF8F-5C21-4E5D-A5F9-1C637DD0F297}"/>
    <cellStyle name="Comma 472 4 2" xfId="10080" xr:uid="{47F499BB-096D-4265-835E-A9AA2EF08DDE}"/>
    <cellStyle name="Comma 472 4 2 2" xfId="20432" xr:uid="{26AD5B79-983D-4329-BE29-BB0EA12D55B8}"/>
    <cellStyle name="Comma 472 4 3" xfId="15256" xr:uid="{379D0BB9-B7CA-43DF-9965-D6E34B139EEC}"/>
    <cellStyle name="Comma 472 5" xfId="5952" xr:uid="{28DC54E2-9E0D-45BC-B163-8C4B95BE5AA4}"/>
    <cellStyle name="Comma 472 5 2" xfId="16304" xr:uid="{375EC06B-D4B3-404D-8903-5C90B6D183F9}"/>
    <cellStyle name="Comma 472 6" xfId="11130" xr:uid="{E414A80D-9F17-41DC-A6D2-147CC96DE85D}"/>
    <cellStyle name="Comma 473" xfId="713" xr:uid="{066B6842-9B05-4BC3-A856-68ACA0EA86D9}"/>
    <cellStyle name="Comma 473 2" xfId="1751" xr:uid="{FCB9A159-825C-4553-A1BB-13B09E00701B}"/>
    <cellStyle name="Comma 473 2 2" xfId="3809" xr:uid="{94E06B21-1543-42B6-85A8-85187A3064C4}"/>
    <cellStyle name="Comma 473 2 2 2" xfId="9042" xr:uid="{4BC1443E-4692-4F79-B8D6-92EDFD55118E}"/>
    <cellStyle name="Comma 473 2 2 2 2" xfId="19394" xr:uid="{D4FCD005-2561-4F51-BA0F-1DD3EEEB2F1C}"/>
    <cellStyle name="Comma 473 2 2 3" xfId="14219" xr:uid="{E277F8FB-D384-491A-83CC-9DCBC3552304}"/>
    <cellStyle name="Comma 473 2 3" xfId="6984" xr:uid="{A13B508A-0906-41F9-86B8-BF1F6F099592}"/>
    <cellStyle name="Comma 473 2 3 2" xfId="17336" xr:uid="{14F21BB2-EAE8-4950-A733-5E00C2C226C7}"/>
    <cellStyle name="Comma 473 2 4" xfId="12161" xr:uid="{6FA5FEF7-26BD-47C8-97AF-04DE3AEFFFF0}"/>
    <cellStyle name="Comma 473 3" xfId="2779" xr:uid="{48B24CAF-85CD-46ED-9B99-7D20EED69037}"/>
    <cellStyle name="Comma 473 3 2" xfId="8012" xr:uid="{E4D2CC77-A261-47D8-8CFF-CA934D1D718D}"/>
    <cellStyle name="Comma 473 3 2 2" xfId="18364" xr:uid="{D4232414-FE2A-4A3F-81B0-B41F3D285388}"/>
    <cellStyle name="Comma 473 3 3" xfId="13189" xr:uid="{E11B9AAB-6466-4C6D-97CB-66805AE0C87A}"/>
    <cellStyle name="Comma 473 4" xfId="4905" xr:uid="{263F0663-FBD3-46D3-B147-47186F20C08E}"/>
    <cellStyle name="Comma 473 4 2" xfId="10081" xr:uid="{9BD7A60C-C523-4D9A-BD90-A891842D16A1}"/>
    <cellStyle name="Comma 473 4 2 2" xfId="20433" xr:uid="{0D6A9B86-507B-4732-8F09-82D65B88D718}"/>
    <cellStyle name="Comma 473 4 3" xfId="15257" xr:uid="{F4120481-415D-43B6-8374-4B6CC33B2D56}"/>
    <cellStyle name="Comma 473 5" xfId="5953" xr:uid="{88E63C22-773B-4390-9F1F-8865D2FCAEBC}"/>
    <cellStyle name="Comma 473 5 2" xfId="16305" xr:uid="{F3E0320B-C583-479C-84C0-C189FF761D33}"/>
    <cellStyle name="Comma 473 6" xfId="11131" xr:uid="{D4F50655-0996-4B3E-8373-179FB0D31390}"/>
    <cellStyle name="Comma 474" xfId="714" xr:uid="{8CCA7546-7802-4DF8-AB01-E2D478B322E9}"/>
    <cellStyle name="Comma 474 2" xfId="1752" xr:uid="{CCB1694B-B57F-403E-9360-4E555D40F02C}"/>
    <cellStyle name="Comma 474 2 2" xfId="3810" xr:uid="{BA107752-5002-459F-86FF-94456857210D}"/>
    <cellStyle name="Comma 474 2 2 2" xfId="9043" xr:uid="{D4A1B908-8152-4C5F-81BC-BF72F7501565}"/>
    <cellStyle name="Comma 474 2 2 2 2" xfId="19395" xr:uid="{026DF026-0F1F-4162-A417-55AF2A43A5CD}"/>
    <cellStyle name="Comma 474 2 2 3" xfId="14220" xr:uid="{A7E6E217-FEDA-4F09-8F6A-10EED0EEFF22}"/>
    <cellStyle name="Comma 474 2 3" xfId="6985" xr:uid="{0C23BC85-3F6E-4CB4-B9EE-D8F748CA437B}"/>
    <cellStyle name="Comma 474 2 3 2" xfId="17337" xr:uid="{1CB15BB2-385C-4BA1-A060-FA6667210D3F}"/>
    <cellStyle name="Comma 474 2 4" xfId="12162" xr:uid="{51B98F04-1A98-4A25-9E76-846097AE9148}"/>
    <cellStyle name="Comma 474 3" xfId="2780" xr:uid="{901FE9C1-9062-43B1-90EB-1E8131DC7E2A}"/>
    <cellStyle name="Comma 474 3 2" xfId="8013" xr:uid="{E34299E2-0482-416C-A828-0DAB04ED92B6}"/>
    <cellStyle name="Comma 474 3 2 2" xfId="18365" xr:uid="{E4765547-3942-416F-B529-BC77EB093C8A}"/>
    <cellStyle name="Comma 474 3 3" xfId="13190" xr:uid="{0EA25800-8D88-4B27-8CA4-FB50D10E4240}"/>
    <cellStyle name="Comma 474 4" xfId="4906" xr:uid="{437A55B3-6891-429E-BAD3-E677853C2BA3}"/>
    <cellStyle name="Comma 474 4 2" xfId="10082" xr:uid="{0130D23D-6586-4155-8D20-6A99F19F3C93}"/>
    <cellStyle name="Comma 474 4 2 2" xfId="20434" xr:uid="{9C104666-A5E4-4CE9-B9EC-14F271062978}"/>
    <cellStyle name="Comma 474 4 3" xfId="15258" xr:uid="{6C0449F1-1558-45CE-AAB8-B9ED958E87D3}"/>
    <cellStyle name="Comma 474 5" xfId="5954" xr:uid="{73862420-FBCF-4E41-BE21-BD6E03B0D1F8}"/>
    <cellStyle name="Comma 474 5 2" xfId="16306" xr:uid="{D65BC3B9-21EB-4E3D-8063-5954C902715D}"/>
    <cellStyle name="Comma 474 6" xfId="11132" xr:uid="{D6DDE0EE-7C90-4E4B-A7EC-9AB80B9616EE}"/>
    <cellStyle name="Comma 475" xfId="715" xr:uid="{7F82BC8F-5BB0-4757-91A0-314E339B7946}"/>
    <cellStyle name="Comma 475 2" xfId="1753" xr:uid="{DB382C43-89E6-4C64-B28C-EACE4E53CFE8}"/>
    <cellStyle name="Comma 475 2 2" xfId="3811" xr:uid="{BF83A7D6-0475-4B6B-A01E-0365DFB7700D}"/>
    <cellStyle name="Comma 475 2 2 2" xfId="9044" xr:uid="{8101D14A-FCBB-450F-B12E-D0E1609E642B}"/>
    <cellStyle name="Comma 475 2 2 2 2" xfId="19396" xr:uid="{2B8FB626-B2D4-4D84-84D6-F02AEE8689C4}"/>
    <cellStyle name="Comma 475 2 2 3" xfId="14221" xr:uid="{F8C57EB8-121B-41BE-9553-8CB45FBC4191}"/>
    <cellStyle name="Comma 475 2 3" xfId="6986" xr:uid="{4F5EFBD6-033C-43C6-A0CE-62B486DED85E}"/>
    <cellStyle name="Comma 475 2 3 2" xfId="17338" xr:uid="{74CDB6C5-15D3-4753-8268-B098D35BF757}"/>
    <cellStyle name="Comma 475 2 4" xfId="12163" xr:uid="{E2759E5F-7795-4B45-8D2D-D757B7DB694D}"/>
    <cellStyle name="Comma 475 3" xfId="2781" xr:uid="{7037A583-893F-4421-AB0F-70756A03FEF4}"/>
    <cellStyle name="Comma 475 3 2" xfId="8014" xr:uid="{DB330892-F8A6-4FE4-84BB-5B4FDCB6D3E1}"/>
    <cellStyle name="Comma 475 3 2 2" xfId="18366" xr:uid="{ED315080-287A-4A82-845B-48A0D0E8F79B}"/>
    <cellStyle name="Comma 475 3 3" xfId="13191" xr:uid="{CC39C9EF-23CF-4A07-B2B6-CC734F27AD61}"/>
    <cellStyle name="Comma 475 4" xfId="4907" xr:uid="{2B74D6D4-E5D7-4929-AEA3-E987D6C93F1C}"/>
    <cellStyle name="Comma 475 4 2" xfId="10083" xr:uid="{B8777B3B-9C2A-45AA-B2A3-A3C147EC9F41}"/>
    <cellStyle name="Comma 475 4 2 2" xfId="20435" xr:uid="{BE60D9B0-3185-4677-B36F-9C0DDD48567F}"/>
    <cellStyle name="Comma 475 4 3" xfId="15259" xr:uid="{8CEE3326-E954-4818-907F-9A1932D016F8}"/>
    <cellStyle name="Comma 475 5" xfId="5955" xr:uid="{CEED500D-6C9D-4789-BF38-0534D129CD64}"/>
    <cellStyle name="Comma 475 5 2" xfId="16307" xr:uid="{D1C87E00-9497-4F3C-B157-D55AFEC57ECE}"/>
    <cellStyle name="Comma 475 6" xfId="11133" xr:uid="{CD41A5C3-EC90-4A21-8AE9-75E28EFCCFD3}"/>
    <cellStyle name="Comma 476" xfId="716" xr:uid="{E30A397C-2971-4216-9A4F-6E781A20F56B}"/>
    <cellStyle name="Comma 476 2" xfId="1754" xr:uid="{8E95B92E-537B-4CA1-AC61-0F65E98BC613}"/>
    <cellStyle name="Comma 476 2 2" xfId="3812" xr:uid="{6ABC471D-A4F9-4D63-BFDA-EB6003205944}"/>
    <cellStyle name="Comma 476 2 2 2" xfId="9045" xr:uid="{4154FDC1-1041-4DF6-9EB7-376902917835}"/>
    <cellStyle name="Comma 476 2 2 2 2" xfId="19397" xr:uid="{3F11EC66-BB77-48B6-9F2C-139405B027EB}"/>
    <cellStyle name="Comma 476 2 2 3" xfId="14222" xr:uid="{37241951-C04E-49BA-891E-724DA35A6891}"/>
    <cellStyle name="Comma 476 2 3" xfId="6987" xr:uid="{5E18340D-AEE1-4A6B-A832-EC0094BFEBB5}"/>
    <cellStyle name="Comma 476 2 3 2" xfId="17339" xr:uid="{B53D55D4-BA5D-4903-8995-F8C2F53178DB}"/>
    <cellStyle name="Comma 476 2 4" xfId="12164" xr:uid="{DDC76654-8E03-4EDB-AC8D-DAD7E530DEAB}"/>
    <cellStyle name="Comma 476 3" xfId="2782" xr:uid="{CB5A9706-E991-4E77-98DA-88FE381070E3}"/>
    <cellStyle name="Comma 476 3 2" xfId="8015" xr:uid="{74CA8ED3-F6B2-4136-80A9-EFAE676E0F73}"/>
    <cellStyle name="Comma 476 3 2 2" xfId="18367" xr:uid="{F6A18D3C-88A6-4883-8B65-B492CD11F19D}"/>
    <cellStyle name="Comma 476 3 3" xfId="13192" xr:uid="{6246F3B3-C147-4361-8F60-A050FC0DCC13}"/>
    <cellStyle name="Comma 476 4" xfId="4908" xr:uid="{40A07CF7-7434-4F94-8B1B-D0737EFDFA02}"/>
    <cellStyle name="Comma 476 4 2" xfId="10084" xr:uid="{4FFB99DF-DA5C-484B-A503-7784D564E4FD}"/>
    <cellStyle name="Comma 476 4 2 2" xfId="20436" xr:uid="{068CF2E6-708F-4E99-84D4-0E52C630A297}"/>
    <cellStyle name="Comma 476 4 3" xfId="15260" xr:uid="{B3094D35-D7C8-4536-A345-E4B99684FAB1}"/>
    <cellStyle name="Comma 476 5" xfId="5956" xr:uid="{86F91746-FBEB-40AE-831D-4D5D7BF7B50B}"/>
    <cellStyle name="Comma 476 5 2" xfId="16308" xr:uid="{B9A875C3-B293-4C17-A94E-BD5AEBF2857A}"/>
    <cellStyle name="Comma 476 6" xfId="11134" xr:uid="{C85E60C3-A8DF-4E53-898E-8183216C357A}"/>
    <cellStyle name="Comma 477" xfId="717" xr:uid="{330CF5D0-EC0B-4BD3-98F0-EE552436A721}"/>
    <cellStyle name="Comma 477 2" xfId="1755" xr:uid="{6C64614E-644B-47AB-B448-BA8D5C87FF6F}"/>
    <cellStyle name="Comma 477 2 2" xfId="3813" xr:uid="{35BBAD21-289B-4F28-BA31-75E371D5F040}"/>
    <cellStyle name="Comma 477 2 2 2" xfId="9046" xr:uid="{4F673727-E1F7-498B-976A-B4DA1FD5A5DB}"/>
    <cellStyle name="Comma 477 2 2 2 2" xfId="19398" xr:uid="{5C6A3B10-A6AA-4DC7-AA8C-274C47419572}"/>
    <cellStyle name="Comma 477 2 2 3" xfId="14223" xr:uid="{B595B333-C803-49AF-8569-AB3E584C957F}"/>
    <cellStyle name="Comma 477 2 3" xfId="6988" xr:uid="{0283AF1E-65EC-49BB-BC4E-FAEF43E21E6A}"/>
    <cellStyle name="Comma 477 2 3 2" xfId="17340" xr:uid="{6834EB90-FE9B-44D5-93E2-8497E5821C8A}"/>
    <cellStyle name="Comma 477 2 4" xfId="12165" xr:uid="{2F58DAAE-E577-4A4F-A5A7-E3D268CB0256}"/>
    <cellStyle name="Comma 477 3" xfId="2783" xr:uid="{578AD9C2-32E3-4A1F-8F8F-C84ADF7B2A95}"/>
    <cellStyle name="Comma 477 3 2" xfId="8016" xr:uid="{50B1B336-C0CB-462D-856B-87EEB8AF1E71}"/>
    <cellStyle name="Comma 477 3 2 2" xfId="18368" xr:uid="{C95F5EF3-CDA7-4462-87EB-623050CE6E25}"/>
    <cellStyle name="Comma 477 3 3" xfId="13193" xr:uid="{F0234315-2E37-4F4C-8E4F-06662D033B60}"/>
    <cellStyle name="Comma 477 4" xfId="4909" xr:uid="{F0DB0016-45F5-40A8-9F58-F6A118DCB5B6}"/>
    <cellStyle name="Comma 477 4 2" xfId="10085" xr:uid="{C767AA5F-00BA-46E4-A333-4AE0AD45D207}"/>
    <cellStyle name="Comma 477 4 2 2" xfId="20437" xr:uid="{BFBFA02E-39E4-4923-8343-9F20DFBE9EEF}"/>
    <cellStyle name="Comma 477 4 3" xfId="15261" xr:uid="{3D054E21-0212-46F7-9A6C-918D66905370}"/>
    <cellStyle name="Comma 477 5" xfId="5957" xr:uid="{43DF7F03-ED68-4DE9-B627-8C42BDDBA147}"/>
    <cellStyle name="Comma 477 5 2" xfId="16309" xr:uid="{0AC87844-7C39-464D-9ADF-5F8C1B78CE7F}"/>
    <cellStyle name="Comma 477 6" xfId="11135" xr:uid="{61CCF7C3-744D-48EB-9F2D-E4FBEB2EE63F}"/>
    <cellStyle name="Comma 478" xfId="718" xr:uid="{F81CB4FD-869B-4B01-9EAC-7C3EDCA05E0F}"/>
    <cellStyle name="Comma 478 2" xfId="1756" xr:uid="{94DE3003-F14D-4E7C-AB0A-FB0668E949B4}"/>
    <cellStyle name="Comma 478 2 2" xfId="3814" xr:uid="{A821D2D0-CB5C-480F-834A-758DB507D159}"/>
    <cellStyle name="Comma 478 2 2 2" xfId="9047" xr:uid="{63922E0C-9081-4DE2-9551-238DB608FC9A}"/>
    <cellStyle name="Comma 478 2 2 2 2" xfId="19399" xr:uid="{2E6BF4F5-2FA0-4419-A295-35B09A3FF6BD}"/>
    <cellStyle name="Comma 478 2 2 3" xfId="14224" xr:uid="{1609AD84-3E6C-4A81-AE45-E025D66BBEE3}"/>
    <cellStyle name="Comma 478 2 3" xfId="6989" xr:uid="{8B43D974-3CB6-4112-8B77-C6591AF5CE93}"/>
    <cellStyle name="Comma 478 2 3 2" xfId="17341" xr:uid="{D9696B56-D22C-4939-8408-25135AE22ACD}"/>
    <cellStyle name="Comma 478 2 4" xfId="12166" xr:uid="{E6BE27A2-4668-44DA-865F-BE80E14ED970}"/>
    <cellStyle name="Comma 478 3" xfId="2784" xr:uid="{10137478-F2F2-49F7-9E25-6B88DAC3B9D9}"/>
    <cellStyle name="Comma 478 3 2" xfId="8017" xr:uid="{A7D735A6-6C2F-44FD-85CA-28850AFFBF3F}"/>
    <cellStyle name="Comma 478 3 2 2" xfId="18369" xr:uid="{34FF2C53-F0FB-40B2-90AC-DBA68CDDA329}"/>
    <cellStyle name="Comma 478 3 3" xfId="13194" xr:uid="{B4B9FA25-2907-4187-BB9F-012601EC5EDD}"/>
    <cellStyle name="Comma 478 4" xfId="4910" xr:uid="{E0100B70-AADC-44C3-B7E6-F5315BE2E8D9}"/>
    <cellStyle name="Comma 478 4 2" xfId="10086" xr:uid="{8EC4C795-97EC-44C0-B7F4-D4DDEF820381}"/>
    <cellStyle name="Comma 478 4 2 2" xfId="20438" xr:uid="{DFA7CE86-DE6B-40A3-BA0F-286CC7DD9416}"/>
    <cellStyle name="Comma 478 4 3" xfId="15262" xr:uid="{ACB2B33E-F70D-4ED2-BF30-79D180A02616}"/>
    <cellStyle name="Comma 478 5" xfId="5958" xr:uid="{6694B14D-8C47-4463-8353-FAC225FA9B06}"/>
    <cellStyle name="Comma 478 5 2" xfId="16310" xr:uid="{3023F5E4-D708-4012-887D-518375AF0452}"/>
    <cellStyle name="Comma 478 6" xfId="11136" xr:uid="{4C5BBE21-1F48-4DF0-B478-4266A57F582B}"/>
    <cellStyle name="Comma 479" xfId="719" xr:uid="{A8B83756-BB0B-4370-9F56-30968FD03F95}"/>
    <cellStyle name="Comma 479 2" xfId="1757" xr:uid="{7B65B056-7E54-4934-B976-7CE4B21F8168}"/>
    <cellStyle name="Comma 479 2 2" xfId="3815" xr:uid="{AC405FFF-9252-474E-B545-544C0505CFE1}"/>
    <cellStyle name="Comma 479 2 2 2" xfId="9048" xr:uid="{DEBB9047-8AEF-4DA5-8FB2-E70D55D0D83C}"/>
    <cellStyle name="Comma 479 2 2 2 2" xfId="19400" xr:uid="{0A0874D0-4D0D-4D80-8EB8-75150B435418}"/>
    <cellStyle name="Comma 479 2 2 3" xfId="14225" xr:uid="{E4A6C354-5683-4BCA-ACCF-212970F6AB7F}"/>
    <cellStyle name="Comma 479 2 3" xfId="6990" xr:uid="{0D6C819D-6EB0-4856-9388-E61DE9517B8E}"/>
    <cellStyle name="Comma 479 2 3 2" xfId="17342" xr:uid="{7DA3DD9D-5C06-4700-99B4-BD5CC22DEDE6}"/>
    <cellStyle name="Comma 479 2 4" xfId="12167" xr:uid="{6AC6C8E4-51EC-4A29-83BF-A2A6D70D43A6}"/>
    <cellStyle name="Comma 479 3" xfId="2785" xr:uid="{E104E4AB-F638-4FE9-9916-9D697E05420B}"/>
    <cellStyle name="Comma 479 3 2" xfId="8018" xr:uid="{CCC499F1-D40B-4D1A-A2E3-218F623E50D9}"/>
    <cellStyle name="Comma 479 3 2 2" xfId="18370" xr:uid="{5C206A34-B073-43AA-B6E6-EA1182D2EBC9}"/>
    <cellStyle name="Comma 479 3 3" xfId="13195" xr:uid="{5ED16EAB-1C3E-4F17-8A30-CEE58F3CE601}"/>
    <cellStyle name="Comma 479 4" xfId="4911" xr:uid="{8190CE7F-4BFF-4DAB-A075-591BB64EC2A9}"/>
    <cellStyle name="Comma 479 4 2" xfId="10087" xr:uid="{41AB375D-5488-487D-89B1-B2FE41115F31}"/>
    <cellStyle name="Comma 479 4 2 2" xfId="20439" xr:uid="{D7603D9E-1215-4484-A3E7-891B232F01D7}"/>
    <cellStyle name="Comma 479 4 3" xfId="15263" xr:uid="{F7FB43BB-1626-4C29-8FBD-7D1F41E1A306}"/>
    <cellStyle name="Comma 479 5" xfId="5959" xr:uid="{0CF2FAFC-7C1C-41BE-8962-AAE874ED490D}"/>
    <cellStyle name="Comma 479 5 2" xfId="16311" xr:uid="{F5B8A75A-51CA-4BF5-A9E0-19708C1F6C46}"/>
    <cellStyle name="Comma 479 6" xfId="11137" xr:uid="{4B639719-C21B-4529-ADDD-B82B79C84B35}"/>
    <cellStyle name="Comma 48" xfId="248" xr:uid="{9FE51A52-7452-4BD8-9FF3-EF2247DDFEFC}"/>
    <cellStyle name="Comma 48 2" xfId="1326" xr:uid="{2DD3CCC2-B368-487E-9238-E5BEFC0A778B}"/>
    <cellStyle name="Comma 48 2 2" xfId="3384" xr:uid="{8DFD67C2-1993-41B0-A6C0-08FCEDF65E07}"/>
    <cellStyle name="Comma 48 2 2 2" xfId="8617" xr:uid="{B7273A5D-5F23-4C93-AE3C-5CA20419967C}"/>
    <cellStyle name="Comma 48 2 2 2 2" xfId="18969" xr:uid="{C9248914-3F3A-4D94-B2CC-9009ECC9563D}"/>
    <cellStyle name="Comma 48 2 2 3" xfId="13794" xr:uid="{2948C806-B6C3-4A2F-AAF4-63B735D30060}"/>
    <cellStyle name="Comma 48 2 3" xfId="6559" xr:uid="{1C36A98F-CAB8-492B-9656-0851F0084098}"/>
    <cellStyle name="Comma 48 2 3 2" xfId="16911" xr:uid="{DD05650A-7836-4B69-8839-92CE11C8D1B0}"/>
    <cellStyle name="Comma 48 2 4" xfId="11736" xr:uid="{859C786E-BD05-4716-B38B-43BEAB235808}"/>
    <cellStyle name="Comma 48 3" xfId="2354" xr:uid="{B6E38A75-DB2F-4A5C-A80F-CDC35FDE0D2C}"/>
    <cellStyle name="Comma 48 3 2" xfId="7587" xr:uid="{008117CD-EE5D-4B9D-8A5B-9A0972E353D5}"/>
    <cellStyle name="Comma 48 3 2 2" xfId="17939" xr:uid="{7CE3AD28-AAAA-4816-8CB5-4ADD931AFBB4}"/>
    <cellStyle name="Comma 48 3 3" xfId="12764" xr:uid="{0BECAC1E-D429-457B-80FB-9DAE5F72DEF5}"/>
    <cellStyle name="Comma 48 4" xfId="4480" xr:uid="{B6B4A2B3-7343-4B86-8C8F-77056176605F}"/>
    <cellStyle name="Comma 48 4 2" xfId="9656" xr:uid="{949E81F6-F232-483F-90E7-6DF96789D61E}"/>
    <cellStyle name="Comma 48 4 2 2" xfId="20008" xr:uid="{67FA4854-FB4B-4C3E-851B-8A443AB7C6EF}"/>
    <cellStyle name="Comma 48 4 3" xfId="14832" xr:uid="{05574A60-FE7E-401E-920A-823239E6D98D}"/>
    <cellStyle name="Comma 48 5" xfId="5528" xr:uid="{C4311907-4393-4A2E-A29E-CA759D3A6FB6}"/>
    <cellStyle name="Comma 48 5 2" xfId="15880" xr:uid="{AE06FF1A-BC18-4203-9AED-862A43C6C5F9}"/>
    <cellStyle name="Comma 48 6" xfId="10706" xr:uid="{27F6A972-922A-489C-80BC-64731FAE4670}"/>
    <cellStyle name="Comma 480" xfId="720" xr:uid="{AA7B1344-3005-4C6F-94A0-64707FFE8C7E}"/>
    <cellStyle name="Comma 480 2" xfId="1758" xr:uid="{10A6A886-6EFC-4F4A-90E9-96A34BBBDB62}"/>
    <cellStyle name="Comma 480 2 2" xfId="3816" xr:uid="{A8AFAA4D-1AEB-4E41-9CAB-428B467E786E}"/>
    <cellStyle name="Comma 480 2 2 2" xfId="9049" xr:uid="{8E1BD38E-87F0-4AD1-82D1-9A26AA182599}"/>
    <cellStyle name="Comma 480 2 2 2 2" xfId="19401" xr:uid="{57DA25DC-FEDE-46CD-99F4-A3ADB197B442}"/>
    <cellStyle name="Comma 480 2 2 3" xfId="14226" xr:uid="{39B7855E-B563-4FA6-8CF4-B33925A66F87}"/>
    <cellStyle name="Comma 480 2 3" xfId="6991" xr:uid="{A1BCC358-E214-4C64-BA3B-1734CB6DB8E6}"/>
    <cellStyle name="Comma 480 2 3 2" xfId="17343" xr:uid="{6C14AFE6-CF01-424E-BF2C-F25599C8998B}"/>
    <cellStyle name="Comma 480 2 4" xfId="12168" xr:uid="{27B929E1-F665-4665-BA37-14268A570C49}"/>
    <cellStyle name="Comma 480 3" xfId="2786" xr:uid="{51FCBD1E-ACBD-44D8-B1C2-9869C7745F33}"/>
    <cellStyle name="Comma 480 3 2" xfId="8019" xr:uid="{4209DDF1-C55D-4B58-9017-F6B50AF32C9E}"/>
    <cellStyle name="Comma 480 3 2 2" xfId="18371" xr:uid="{6EB376BA-CB7E-4CFC-9790-B815B7F1A8A1}"/>
    <cellStyle name="Comma 480 3 3" xfId="13196" xr:uid="{4D6406B3-CD86-4C2F-B9FD-44089672641B}"/>
    <cellStyle name="Comma 480 4" xfId="4912" xr:uid="{0948DCE2-77A9-4483-A622-0BA127A6748C}"/>
    <cellStyle name="Comma 480 4 2" xfId="10088" xr:uid="{7D358D37-485D-4376-A7D9-53C545C61AE6}"/>
    <cellStyle name="Comma 480 4 2 2" xfId="20440" xr:uid="{E730233E-7DE2-476F-94E5-D02CA9438422}"/>
    <cellStyle name="Comma 480 4 3" xfId="15264" xr:uid="{5C59270E-CA83-43EE-9527-C0BFECD21773}"/>
    <cellStyle name="Comma 480 5" xfId="5960" xr:uid="{6FFE69F7-B896-4B9E-818E-2EFDD6E18131}"/>
    <cellStyle name="Comma 480 5 2" xfId="16312" xr:uid="{B74E8393-3548-42F1-A996-D6A6E11528CA}"/>
    <cellStyle name="Comma 480 6" xfId="11138" xr:uid="{C1B02603-1B97-4BCA-A08C-8B5D9799368B}"/>
    <cellStyle name="Comma 481" xfId="721" xr:uid="{137858AD-877A-4472-8F77-479A542C81C9}"/>
    <cellStyle name="Comma 481 2" xfId="1759" xr:uid="{9AC09DC0-8114-4ABD-8A30-1A32406DFBB7}"/>
    <cellStyle name="Comma 481 2 2" xfId="3817" xr:uid="{2E680BF3-7A49-467A-BA4B-FC93CFB30990}"/>
    <cellStyle name="Comma 481 2 2 2" xfId="9050" xr:uid="{B65BB167-7680-4DFF-B28A-DC87D10AC32B}"/>
    <cellStyle name="Comma 481 2 2 2 2" xfId="19402" xr:uid="{29774A46-6A2A-4E53-BAC1-545FCAFE1AEE}"/>
    <cellStyle name="Comma 481 2 2 3" xfId="14227" xr:uid="{236A9B9C-FE59-4E2D-92F5-7959B7AEA514}"/>
    <cellStyle name="Comma 481 2 3" xfId="6992" xr:uid="{09BB769C-3142-47D0-A62E-8E5592C9A1D6}"/>
    <cellStyle name="Comma 481 2 3 2" xfId="17344" xr:uid="{D2B3D001-84DF-464C-8A58-58026F8BDBAC}"/>
    <cellStyle name="Comma 481 2 4" xfId="12169" xr:uid="{8CBEB6AC-4442-4A11-BBB7-63CF4008DB1E}"/>
    <cellStyle name="Comma 481 3" xfId="2787" xr:uid="{7D0328E3-0B90-4191-8997-E4CAEF8AC048}"/>
    <cellStyle name="Comma 481 3 2" xfId="8020" xr:uid="{4300E8DB-A0E1-4721-B03F-6DCCB64D496B}"/>
    <cellStyle name="Comma 481 3 2 2" xfId="18372" xr:uid="{3C7178B9-8CB1-42F3-8EC2-B88B4A191219}"/>
    <cellStyle name="Comma 481 3 3" xfId="13197" xr:uid="{F5AE6201-20A5-4322-91B1-E82C8922823E}"/>
    <cellStyle name="Comma 481 4" xfId="4913" xr:uid="{523A5FC9-FF9F-4360-9F32-F0CD669AECFF}"/>
    <cellStyle name="Comma 481 4 2" xfId="10089" xr:uid="{662F162D-4A91-454E-9CBE-F6866F4D538A}"/>
    <cellStyle name="Comma 481 4 2 2" xfId="20441" xr:uid="{35CED7B4-154D-4187-A7D4-6710485D1F6C}"/>
    <cellStyle name="Comma 481 4 3" xfId="15265" xr:uid="{2F589106-1732-4D24-969E-8FF0B5770F60}"/>
    <cellStyle name="Comma 481 5" xfId="5961" xr:uid="{A572D2B4-6C94-45A1-8CC3-AD4E8F6CFD46}"/>
    <cellStyle name="Comma 481 5 2" xfId="16313" xr:uid="{5974B768-64F1-4922-A716-FD544D62BB38}"/>
    <cellStyle name="Comma 481 6" xfId="11139" xr:uid="{B55F5C85-F899-48EB-BF07-0CB5562FFA73}"/>
    <cellStyle name="Comma 482" xfId="722" xr:uid="{A734491B-0FED-4B0C-B72F-E1B220526066}"/>
    <cellStyle name="Comma 482 2" xfId="1760" xr:uid="{4EA8D925-FDBD-4D1B-ACAA-F98A16ED5A83}"/>
    <cellStyle name="Comma 482 2 2" xfId="3818" xr:uid="{48842C0D-BB13-4B73-9159-C4550E7AA38A}"/>
    <cellStyle name="Comma 482 2 2 2" xfId="9051" xr:uid="{EE87261F-4C1A-4033-8EDA-2247BCBEFE08}"/>
    <cellStyle name="Comma 482 2 2 2 2" xfId="19403" xr:uid="{4E55F537-21BA-41E5-8D5F-7E9E6A4B4A8E}"/>
    <cellStyle name="Comma 482 2 2 3" xfId="14228" xr:uid="{73D7CB64-4DBF-489A-B278-23A18D6A7FA7}"/>
    <cellStyle name="Comma 482 2 3" xfId="6993" xr:uid="{3470302E-D2F8-41FD-BD07-2764935132A0}"/>
    <cellStyle name="Comma 482 2 3 2" xfId="17345" xr:uid="{F0612456-31EA-472C-A04D-E2D016031E19}"/>
    <cellStyle name="Comma 482 2 4" xfId="12170" xr:uid="{6CDBA785-8B0A-4B4A-A1D8-BBC5396733A9}"/>
    <cellStyle name="Comma 482 3" xfId="2788" xr:uid="{83D46FFA-D191-4F4D-AF13-64A403255276}"/>
    <cellStyle name="Comma 482 3 2" xfId="8021" xr:uid="{C0C9CE82-B657-49A0-82AF-BC7BED14504D}"/>
    <cellStyle name="Comma 482 3 2 2" xfId="18373" xr:uid="{5023D7B5-96E7-48B5-A0A3-B18AE243F300}"/>
    <cellStyle name="Comma 482 3 3" xfId="13198" xr:uid="{FC38452E-1AC3-4D57-A730-A08E8E1F3143}"/>
    <cellStyle name="Comma 482 4" xfId="4914" xr:uid="{00413711-FB94-48AF-8D2B-F7CED6041980}"/>
    <cellStyle name="Comma 482 4 2" xfId="10090" xr:uid="{669218F6-DB6E-47E2-9D2E-08DB163F2024}"/>
    <cellStyle name="Comma 482 4 2 2" xfId="20442" xr:uid="{9F257481-76CB-4440-8854-ADC02C99DA9B}"/>
    <cellStyle name="Comma 482 4 3" xfId="15266" xr:uid="{38118237-2779-42C4-8DE9-03C473048139}"/>
    <cellStyle name="Comma 482 5" xfId="5962" xr:uid="{C5A85C7B-0F75-42F4-983B-01D2014CF949}"/>
    <cellStyle name="Comma 482 5 2" xfId="16314" xr:uid="{A90DBC9E-5314-4E3D-9A80-63FFAFA71A01}"/>
    <cellStyle name="Comma 482 6" xfId="11140" xr:uid="{B00C5F4D-9254-40E5-B788-EBE9BD01F25D}"/>
    <cellStyle name="Comma 483" xfId="723" xr:uid="{B1841D22-8475-44EA-889A-FB3A8E243113}"/>
    <cellStyle name="Comma 483 2" xfId="1761" xr:uid="{40FFD842-1850-48AA-9B37-A6C857ED7D5F}"/>
    <cellStyle name="Comma 483 2 2" xfId="3819" xr:uid="{47C96D74-33E0-4FFD-B391-F64C4D1D7BD2}"/>
    <cellStyle name="Comma 483 2 2 2" xfId="9052" xr:uid="{6EBB1CF1-AB30-4057-A558-CB186E542ED2}"/>
    <cellStyle name="Comma 483 2 2 2 2" xfId="19404" xr:uid="{14E0658B-FF0F-4EEB-9D19-EE906A21B8EB}"/>
    <cellStyle name="Comma 483 2 2 3" xfId="14229" xr:uid="{A552C89E-DB55-47D3-A29B-ADF598455B5B}"/>
    <cellStyle name="Comma 483 2 3" xfId="6994" xr:uid="{D6F92C7B-D858-4209-ADCB-FCE49B37AC4D}"/>
    <cellStyle name="Comma 483 2 3 2" xfId="17346" xr:uid="{B543B24D-5125-4431-9E4F-75AAAEA97694}"/>
    <cellStyle name="Comma 483 2 4" xfId="12171" xr:uid="{99CEE56E-9C26-40B4-BC7D-61ED1D741B7B}"/>
    <cellStyle name="Comma 483 3" xfId="2789" xr:uid="{71C182E3-48D4-4673-9AD9-76C482D9A341}"/>
    <cellStyle name="Comma 483 3 2" xfId="8022" xr:uid="{57C99643-8A4D-4623-BFC9-80C82645B6CD}"/>
    <cellStyle name="Comma 483 3 2 2" xfId="18374" xr:uid="{3F7E4067-2AFC-4CF2-908E-07B10E038837}"/>
    <cellStyle name="Comma 483 3 3" xfId="13199" xr:uid="{8BD2DF27-71A7-4504-85FE-33C4D192C8ED}"/>
    <cellStyle name="Comma 483 4" xfId="4915" xr:uid="{DFDE3CE3-6C71-4DF0-A7CE-B4750F330954}"/>
    <cellStyle name="Comma 483 4 2" xfId="10091" xr:uid="{087E7401-381C-42B5-B4BC-F5BB65E3E146}"/>
    <cellStyle name="Comma 483 4 2 2" xfId="20443" xr:uid="{6AAB716B-AF67-49E5-AC74-6BF49B4390E5}"/>
    <cellStyle name="Comma 483 4 3" xfId="15267" xr:uid="{4E28B371-486C-4EBF-ADC2-7890E70CD3F5}"/>
    <cellStyle name="Comma 483 5" xfId="5963" xr:uid="{CF74145B-8A4A-4017-B62C-D9D3887A95DD}"/>
    <cellStyle name="Comma 483 5 2" xfId="16315" xr:uid="{DAC5BF29-4314-44B0-9AA8-BBEE8D17FEA9}"/>
    <cellStyle name="Comma 483 6" xfId="11141" xr:uid="{DAD5016F-2493-47E8-9481-CA2B8BCB2FE5}"/>
    <cellStyle name="Comma 484" xfId="724" xr:uid="{DDEDBA5C-D8E2-4C00-A2AE-8279ED9E421C}"/>
    <cellStyle name="Comma 484 2" xfId="1762" xr:uid="{3DAC7A78-BA82-4D40-B974-87A8D6C8C852}"/>
    <cellStyle name="Comma 484 2 2" xfId="3820" xr:uid="{DD3D9CFB-36E0-44C1-94C7-1B4BD6A94BFD}"/>
    <cellStyle name="Comma 484 2 2 2" xfId="9053" xr:uid="{AC116719-7BFC-4024-952D-5054E7291BD4}"/>
    <cellStyle name="Comma 484 2 2 2 2" xfId="19405" xr:uid="{A4E431BA-F0D5-4E33-8849-757BB8CA46A8}"/>
    <cellStyle name="Comma 484 2 2 3" xfId="14230" xr:uid="{687A682C-A361-4B35-BB38-2C0B27173D9A}"/>
    <cellStyle name="Comma 484 2 3" xfId="6995" xr:uid="{F801001C-EB41-44B4-AD8E-3E6C0EB98543}"/>
    <cellStyle name="Comma 484 2 3 2" xfId="17347" xr:uid="{018D1F5C-E3EE-4698-AFBB-25A10E27C905}"/>
    <cellStyle name="Comma 484 2 4" xfId="12172" xr:uid="{3C55694D-FF0A-4EA2-9DF6-75801F7DDD10}"/>
    <cellStyle name="Comma 484 3" xfId="2790" xr:uid="{B928988E-A587-4053-B32D-3EA5A7CD674B}"/>
    <cellStyle name="Comma 484 3 2" xfId="8023" xr:uid="{B6B004B9-DC38-415B-9C1D-A3E0BFF85038}"/>
    <cellStyle name="Comma 484 3 2 2" xfId="18375" xr:uid="{D06E4641-1E7E-4008-968F-7B801B44F17C}"/>
    <cellStyle name="Comma 484 3 3" xfId="13200" xr:uid="{9163DD3D-D99C-4F90-BF9B-CE9B196F71FD}"/>
    <cellStyle name="Comma 484 4" xfId="4916" xr:uid="{D2FC28CF-8201-4F10-A3AB-356C6A83C67F}"/>
    <cellStyle name="Comma 484 4 2" xfId="10092" xr:uid="{4E0E75CE-C92D-4F6F-B9B9-F4FEFCFF76CC}"/>
    <cellStyle name="Comma 484 4 2 2" xfId="20444" xr:uid="{629CE102-7540-4A7A-8C0E-3D2AF13EADB3}"/>
    <cellStyle name="Comma 484 4 3" xfId="15268" xr:uid="{DDC929B4-0DC0-48F6-9BD0-7B6E5C2096B4}"/>
    <cellStyle name="Comma 484 5" xfId="5964" xr:uid="{AFF023AF-B873-4D96-A151-EAD975EE60F7}"/>
    <cellStyle name="Comma 484 5 2" xfId="16316" xr:uid="{4681C106-BB80-4752-B8A3-18F9B071B4FE}"/>
    <cellStyle name="Comma 484 6" xfId="11142" xr:uid="{190C2A88-EE13-4FD3-A19C-1CE5137B5246}"/>
    <cellStyle name="Comma 485" xfId="725" xr:uid="{011F4347-3AA5-4A5D-8608-17397C63E344}"/>
    <cellStyle name="Comma 485 2" xfId="1763" xr:uid="{64A76AC3-6731-42EA-B9AA-559696E0C4DC}"/>
    <cellStyle name="Comma 485 2 2" xfId="3821" xr:uid="{D3BFCDF9-E8AA-48C6-8A49-179411067D32}"/>
    <cellStyle name="Comma 485 2 2 2" xfId="9054" xr:uid="{B08E4D9A-D438-4F3F-97B0-0A03C910AFA7}"/>
    <cellStyle name="Comma 485 2 2 2 2" xfId="19406" xr:uid="{6ADDC74A-E6FE-4612-9397-8E321D7B76C1}"/>
    <cellStyle name="Comma 485 2 2 3" xfId="14231" xr:uid="{EBD9E36A-EE3E-48D6-AA11-8A69393B6532}"/>
    <cellStyle name="Comma 485 2 3" xfId="6996" xr:uid="{81EA919A-05DC-4B2B-A8A3-B8FA0E689A60}"/>
    <cellStyle name="Comma 485 2 3 2" xfId="17348" xr:uid="{2AD4E3DC-08D2-4617-A0F6-58F001C20D3A}"/>
    <cellStyle name="Comma 485 2 4" xfId="12173" xr:uid="{06735D51-6117-45ED-AB10-CD4B2723D4C4}"/>
    <cellStyle name="Comma 485 3" xfId="2791" xr:uid="{112DE888-BFCC-4EE8-AA88-1ACD427B78A6}"/>
    <cellStyle name="Comma 485 3 2" xfId="8024" xr:uid="{4FFCB7A1-1A43-4B67-B21E-DF6F926E9E22}"/>
    <cellStyle name="Comma 485 3 2 2" xfId="18376" xr:uid="{F259D448-164B-4578-A9D0-7677AA000CE6}"/>
    <cellStyle name="Comma 485 3 3" xfId="13201" xr:uid="{7ED58D07-9AD9-4D18-87E5-D0CE176BDEAF}"/>
    <cellStyle name="Comma 485 4" xfId="4917" xr:uid="{56412F83-053C-49E3-83F6-34C3C12D6917}"/>
    <cellStyle name="Comma 485 4 2" xfId="10093" xr:uid="{8269E5A4-74A7-47B5-A63D-4E30C0CA9F2C}"/>
    <cellStyle name="Comma 485 4 2 2" xfId="20445" xr:uid="{205C3F32-FD29-4271-A044-D5AE728574DD}"/>
    <cellStyle name="Comma 485 4 3" xfId="15269" xr:uid="{39C9DA57-5618-4433-8F18-C31DDE8A429A}"/>
    <cellStyle name="Comma 485 5" xfId="5965" xr:uid="{8C718519-726D-4974-AEB5-6FB906E15281}"/>
    <cellStyle name="Comma 485 5 2" xfId="16317" xr:uid="{7666495D-F25E-4A32-B0B2-AD46AE8281C5}"/>
    <cellStyle name="Comma 485 6" xfId="11143" xr:uid="{054FD697-C222-42EA-8FDA-AAE91CC8E48E}"/>
    <cellStyle name="Comma 486" xfId="726" xr:uid="{D9E1760C-55D8-4F15-9F0A-20CD669D2343}"/>
    <cellStyle name="Comma 486 2" xfId="1764" xr:uid="{E3B8571F-A280-4B69-A806-EAC658A4D93F}"/>
    <cellStyle name="Comma 486 2 2" xfId="3822" xr:uid="{7D222995-D5FA-49A5-BF61-0F0FA1A4F077}"/>
    <cellStyle name="Comma 486 2 2 2" xfId="9055" xr:uid="{1B4BE035-82AE-4937-BA52-4062C3047DD6}"/>
    <cellStyle name="Comma 486 2 2 2 2" xfId="19407" xr:uid="{43BAAEE8-FE8F-4BE7-9B32-42E80F09F10E}"/>
    <cellStyle name="Comma 486 2 2 3" xfId="14232" xr:uid="{4AB6B0A6-295A-4F1F-AD3E-CBA3D0A95E89}"/>
    <cellStyle name="Comma 486 2 3" xfId="6997" xr:uid="{477D5495-D296-4C5B-B3B6-037722016A20}"/>
    <cellStyle name="Comma 486 2 3 2" xfId="17349" xr:uid="{673F0D5E-55D8-4FD4-982A-BF20A98B9FD5}"/>
    <cellStyle name="Comma 486 2 4" xfId="12174" xr:uid="{AEDE8EF2-0260-4133-9669-B4C3B30067A5}"/>
    <cellStyle name="Comma 486 3" xfId="2792" xr:uid="{06BCD601-B096-4140-87E4-C62D0D6D293E}"/>
    <cellStyle name="Comma 486 3 2" xfId="8025" xr:uid="{76D611F9-1009-447D-B428-61E9B2BCE4CD}"/>
    <cellStyle name="Comma 486 3 2 2" xfId="18377" xr:uid="{8A327088-875F-4F51-902C-5782D261EF7F}"/>
    <cellStyle name="Comma 486 3 3" xfId="13202" xr:uid="{97AC284F-5703-4D99-B36C-32EA3CAB90E9}"/>
    <cellStyle name="Comma 486 4" xfId="4918" xr:uid="{9762B220-4907-480C-BACF-A599BDA65007}"/>
    <cellStyle name="Comma 486 4 2" xfId="10094" xr:uid="{94833C25-634D-4FC2-825F-8A9F80DC25F0}"/>
    <cellStyle name="Comma 486 4 2 2" xfId="20446" xr:uid="{566E08A5-6BC3-4128-AB9B-02286E8F6927}"/>
    <cellStyle name="Comma 486 4 3" xfId="15270" xr:uid="{C331BC24-BA24-4ECA-8925-305325790870}"/>
    <cellStyle name="Comma 486 5" xfId="5966" xr:uid="{922631D4-36EF-4EA9-B991-D4EB10631FB1}"/>
    <cellStyle name="Comma 486 5 2" xfId="16318" xr:uid="{5170A041-6080-43D9-AF7B-1C3ADA0EA69A}"/>
    <cellStyle name="Comma 486 6" xfId="11144" xr:uid="{5BEF77FB-79B2-4114-AE6B-AD86BAFE6564}"/>
    <cellStyle name="Comma 487" xfId="727" xr:uid="{FB7FCF81-BB28-46A3-9A1E-F4DED6FE220A}"/>
    <cellStyle name="Comma 487 2" xfId="1765" xr:uid="{A0895F88-5916-4F5B-A837-3B00BE545B4D}"/>
    <cellStyle name="Comma 487 2 2" xfId="3823" xr:uid="{267CF45B-E73C-4946-AB59-753A81FCAE8F}"/>
    <cellStyle name="Comma 487 2 2 2" xfId="9056" xr:uid="{3E94D172-D252-4E94-A030-D178DE09C004}"/>
    <cellStyle name="Comma 487 2 2 2 2" xfId="19408" xr:uid="{C37397DA-749A-4B3D-822C-088C8BE9CA8B}"/>
    <cellStyle name="Comma 487 2 2 3" xfId="14233" xr:uid="{73E39B1F-E679-46A0-8A5D-28041636EE84}"/>
    <cellStyle name="Comma 487 2 3" xfId="6998" xr:uid="{BC5EE135-7305-4DFD-9E4A-BFB075DBA900}"/>
    <cellStyle name="Comma 487 2 3 2" xfId="17350" xr:uid="{191F3AA2-D214-4952-9EA4-4F2D88D5C4EC}"/>
    <cellStyle name="Comma 487 2 4" xfId="12175" xr:uid="{FBF92EE4-E309-4205-9D01-ECADF1DFCF57}"/>
    <cellStyle name="Comma 487 3" xfId="2793" xr:uid="{496FC4AC-0785-49EF-826D-3E0B128BB93C}"/>
    <cellStyle name="Comma 487 3 2" xfId="8026" xr:uid="{E5D67D85-5403-47E2-A7AD-DE3F2CAE04AB}"/>
    <cellStyle name="Comma 487 3 2 2" xfId="18378" xr:uid="{41F209AE-820E-472A-B26F-D395816B4820}"/>
    <cellStyle name="Comma 487 3 3" xfId="13203" xr:uid="{8295A169-FF42-483A-9EE4-CF8FCD639924}"/>
    <cellStyle name="Comma 487 4" xfId="4919" xr:uid="{4ECD40C1-EEB8-4808-B036-B4C87B8A19DC}"/>
    <cellStyle name="Comma 487 4 2" xfId="10095" xr:uid="{859CF83D-1172-4843-864D-875ABD2AA6F1}"/>
    <cellStyle name="Comma 487 4 2 2" xfId="20447" xr:uid="{4303CFA2-255F-4678-8E19-9B17531E0224}"/>
    <cellStyle name="Comma 487 4 3" xfId="15271" xr:uid="{0B96A644-E12E-409C-8F08-577AFD431D70}"/>
    <cellStyle name="Comma 487 5" xfId="5967" xr:uid="{D57AAF4F-BFB9-48C5-9AD1-03CC5050B2C2}"/>
    <cellStyle name="Comma 487 5 2" xfId="16319" xr:uid="{8F8A147A-85C9-42FE-9919-C8D9D4B00162}"/>
    <cellStyle name="Comma 487 6" xfId="11145" xr:uid="{C179E043-81DC-4FBB-AF8C-99AC402B4D77}"/>
    <cellStyle name="Comma 488" xfId="728" xr:uid="{DC2E3503-DBB5-40EF-861C-98024431220B}"/>
    <cellStyle name="Comma 488 2" xfId="1766" xr:uid="{F130D598-D1D0-42BE-A34F-C7F8CF5D21D8}"/>
    <cellStyle name="Comma 488 2 2" xfId="3824" xr:uid="{8C7882B5-3CDC-41DA-9FAD-DB4598222FD0}"/>
    <cellStyle name="Comma 488 2 2 2" xfId="9057" xr:uid="{EE4491B1-24F2-439A-9BE9-BF0FE47CBBF6}"/>
    <cellStyle name="Comma 488 2 2 2 2" xfId="19409" xr:uid="{9D548D93-CBD0-46AB-B494-4AA2FDE5F1A7}"/>
    <cellStyle name="Comma 488 2 2 3" xfId="14234" xr:uid="{2950CA9A-6E37-4A9E-A274-AB6F3967F1FB}"/>
    <cellStyle name="Comma 488 2 3" xfId="6999" xr:uid="{7AE53674-DC38-47F2-86C5-0A254A35AF64}"/>
    <cellStyle name="Comma 488 2 3 2" xfId="17351" xr:uid="{2A04BAC8-E5BF-4751-9F0B-FC6F8D2B8B17}"/>
    <cellStyle name="Comma 488 2 4" xfId="12176" xr:uid="{FAD08F02-DCFE-4EE1-9418-113AC3C56C6E}"/>
    <cellStyle name="Comma 488 3" xfId="2794" xr:uid="{4B39AEF5-2844-4B32-828D-EC17F3BABCCA}"/>
    <cellStyle name="Comma 488 3 2" xfId="8027" xr:uid="{F38806E4-D334-4615-93D9-DD209C95492C}"/>
    <cellStyle name="Comma 488 3 2 2" xfId="18379" xr:uid="{27CD281C-1435-460A-A56D-A0EF0E4B3234}"/>
    <cellStyle name="Comma 488 3 3" xfId="13204" xr:uid="{035DD405-D16C-4BBF-AD1F-069A017339A0}"/>
    <cellStyle name="Comma 488 4" xfId="4920" xr:uid="{36FE423D-C941-4A14-83DA-34745AB3FE75}"/>
    <cellStyle name="Comma 488 4 2" xfId="10096" xr:uid="{076D0880-51E2-46EA-B0DB-0353D9908F1F}"/>
    <cellStyle name="Comma 488 4 2 2" xfId="20448" xr:uid="{C42B5B4C-059D-4173-852D-A881D40A9D17}"/>
    <cellStyle name="Comma 488 4 3" xfId="15272" xr:uid="{0BF3B2E8-7AFD-4859-9065-41091C8E36B0}"/>
    <cellStyle name="Comma 488 5" xfId="5968" xr:uid="{E711E905-4DB3-47B6-8E8B-29D52B9E0231}"/>
    <cellStyle name="Comma 488 5 2" xfId="16320" xr:uid="{A145651E-9432-4C15-B98A-71D40047D0ED}"/>
    <cellStyle name="Comma 488 6" xfId="11146" xr:uid="{8DFC0A4A-FC7C-40B2-9888-177FF390DD3B}"/>
    <cellStyle name="Comma 489" xfId="729" xr:uid="{709412D3-E3DD-4BD6-8378-8BD2030EE441}"/>
    <cellStyle name="Comma 489 2" xfId="1767" xr:uid="{6D0937B0-3697-45F7-BEEF-BE76F1BE5B7B}"/>
    <cellStyle name="Comma 489 2 2" xfId="3825" xr:uid="{58E8D0DB-B40B-4175-B9F7-0D56175B89B7}"/>
    <cellStyle name="Comma 489 2 2 2" xfId="9058" xr:uid="{B81C31FC-AEC8-4E89-871A-AFA10AC9835F}"/>
    <cellStyle name="Comma 489 2 2 2 2" xfId="19410" xr:uid="{E663EB92-585A-4869-9BFC-A7E0C45A7AF6}"/>
    <cellStyle name="Comma 489 2 2 3" xfId="14235" xr:uid="{FF5458FB-A089-491B-9733-F3E318F38BE2}"/>
    <cellStyle name="Comma 489 2 3" xfId="7000" xr:uid="{8D17D2B5-784A-4FAC-871B-C4CCCCB2E6C2}"/>
    <cellStyle name="Comma 489 2 3 2" xfId="17352" xr:uid="{3E272E39-8C3F-435E-8624-000889A7824E}"/>
    <cellStyle name="Comma 489 2 4" xfId="12177" xr:uid="{C6C7F265-D18C-4D9E-905F-7406719562FE}"/>
    <cellStyle name="Comma 489 3" xfId="2795" xr:uid="{75D503F5-CD5F-4DC7-B52A-D32D5305380F}"/>
    <cellStyle name="Comma 489 3 2" xfId="8028" xr:uid="{388BF7C0-41BD-4876-872F-2E20373A24CD}"/>
    <cellStyle name="Comma 489 3 2 2" xfId="18380" xr:uid="{702B953E-77B1-4E6A-8A16-CBF3D55560BD}"/>
    <cellStyle name="Comma 489 3 3" xfId="13205" xr:uid="{481B5225-64BC-4222-8816-19FCE7D60227}"/>
    <cellStyle name="Comma 489 4" xfId="4921" xr:uid="{6305B41B-9DC4-448A-811E-FB396E9160AC}"/>
    <cellStyle name="Comma 489 4 2" xfId="10097" xr:uid="{374056A8-3952-4250-A40E-81D12CCC36E3}"/>
    <cellStyle name="Comma 489 4 2 2" xfId="20449" xr:uid="{F44A0514-0600-4D33-8B8D-F3F149367FEC}"/>
    <cellStyle name="Comma 489 4 3" xfId="15273" xr:uid="{85109FCB-E4ED-4799-A369-58B271C01D92}"/>
    <cellStyle name="Comma 489 5" xfId="5969" xr:uid="{BAD49DDD-7182-46C5-B2B0-E83032568740}"/>
    <cellStyle name="Comma 489 5 2" xfId="16321" xr:uid="{7692C996-3603-4116-9D38-290D11F6503B}"/>
    <cellStyle name="Comma 489 6" xfId="11147" xr:uid="{D1C6BF14-3C4E-4F06-A783-95DF8B7A9619}"/>
    <cellStyle name="Comma 49" xfId="249" xr:uid="{B5A4F873-AC2A-45BA-AC8C-F5BC460A944B}"/>
    <cellStyle name="Comma 49 2" xfId="1327" xr:uid="{C6BC603F-31F1-48F4-8966-7C8713788662}"/>
    <cellStyle name="Comma 49 2 2" xfId="3385" xr:uid="{2924086A-1707-4B3F-918C-7CE759193A05}"/>
    <cellStyle name="Comma 49 2 2 2" xfId="8618" xr:uid="{CBD40BA0-DD18-4A0C-A17C-BC4884A5C46E}"/>
    <cellStyle name="Comma 49 2 2 2 2" xfId="18970" xr:uid="{3E067807-8CCC-40A9-8B14-8D279A51DE0F}"/>
    <cellStyle name="Comma 49 2 2 3" xfId="13795" xr:uid="{2C541D61-0F29-4605-9639-B302AC26B49F}"/>
    <cellStyle name="Comma 49 2 3" xfId="6560" xr:uid="{486CEDF3-9CDD-44D2-9D9C-0CAE690303F8}"/>
    <cellStyle name="Comma 49 2 3 2" xfId="16912" xr:uid="{FB4B69A8-55D3-4649-B855-A8AE3902DE13}"/>
    <cellStyle name="Comma 49 2 4" xfId="11737" xr:uid="{E6653444-300F-4EC4-A828-05780070F7F9}"/>
    <cellStyle name="Comma 49 3" xfId="2355" xr:uid="{227DDF45-894B-4EB2-9A32-8D178B69E398}"/>
    <cellStyle name="Comma 49 3 2" xfId="7588" xr:uid="{EF3B9ECF-8FEC-463E-9024-E79B15D478FC}"/>
    <cellStyle name="Comma 49 3 2 2" xfId="17940" xr:uid="{E0EA87C5-4C7B-4CE6-9747-4D7865C04F39}"/>
    <cellStyle name="Comma 49 3 3" xfId="12765" xr:uid="{DA7EE53F-AA67-4937-9E6B-042F2C3256E5}"/>
    <cellStyle name="Comma 49 4" xfId="4481" xr:uid="{27C63192-E30B-489A-BF11-DDB2FE99AA4F}"/>
    <cellStyle name="Comma 49 4 2" xfId="9657" xr:uid="{A8AA3D25-0525-4DD7-8D5F-D73186D392F9}"/>
    <cellStyle name="Comma 49 4 2 2" xfId="20009" xr:uid="{1E56C51C-3421-4FCD-AD74-34A59D55E30F}"/>
    <cellStyle name="Comma 49 4 3" xfId="14833" xr:uid="{5C67BF18-E9E6-4495-8F23-C5065A1D0B45}"/>
    <cellStyle name="Comma 49 5" xfId="5529" xr:uid="{5F88E7CE-DEE7-4510-90F3-B2E9A8335684}"/>
    <cellStyle name="Comma 49 5 2" xfId="15881" xr:uid="{B82B5742-6915-442A-98CA-CEF99AC4C32D}"/>
    <cellStyle name="Comma 49 6" xfId="10707" xr:uid="{8927D5CB-E3B9-405F-9F37-A237D737BB14}"/>
    <cellStyle name="Comma 490" xfId="730" xr:uid="{B35E7DBC-091C-48ED-983C-BCB22F9743C6}"/>
    <cellStyle name="Comma 490 2" xfId="1768" xr:uid="{3719E061-485D-4A3E-BB0B-44429C0DA505}"/>
    <cellStyle name="Comma 490 2 2" xfId="3826" xr:uid="{D080DC87-9A91-4FAD-A08A-B9B19125FE06}"/>
    <cellStyle name="Comma 490 2 2 2" xfId="9059" xr:uid="{F8DD058F-F379-4A86-BCBC-F62B3D4865F0}"/>
    <cellStyle name="Comma 490 2 2 2 2" xfId="19411" xr:uid="{FD6E7796-7F1C-424B-AB20-0327F818A11E}"/>
    <cellStyle name="Comma 490 2 2 3" xfId="14236" xr:uid="{30C45263-C7D2-49C2-AF41-C9E2C470C349}"/>
    <cellStyle name="Comma 490 2 3" xfId="7001" xr:uid="{EAD258BA-FFC1-429C-9F1B-FA83CAC89121}"/>
    <cellStyle name="Comma 490 2 3 2" xfId="17353" xr:uid="{BBE4764F-F969-4B8A-9A26-06694AF62488}"/>
    <cellStyle name="Comma 490 2 4" xfId="12178" xr:uid="{A29BC9C9-F8C6-4C6E-B2D6-0813399192CA}"/>
    <cellStyle name="Comma 490 3" xfId="2796" xr:uid="{A225A3E0-987B-42B6-88FB-B9C25EDDB65C}"/>
    <cellStyle name="Comma 490 3 2" xfId="8029" xr:uid="{B0B4433F-882F-41A8-90A8-30BF4276A736}"/>
    <cellStyle name="Comma 490 3 2 2" xfId="18381" xr:uid="{2B6CFC96-26BD-40C5-9E71-4C38A15679DD}"/>
    <cellStyle name="Comma 490 3 3" xfId="13206" xr:uid="{35F8FFFC-B60F-4256-A74D-BDA9CDA65ABE}"/>
    <cellStyle name="Comma 490 4" xfId="4922" xr:uid="{4337FA18-D913-409F-A5C4-905110AA63B9}"/>
    <cellStyle name="Comma 490 4 2" xfId="10098" xr:uid="{3F75A2E9-4533-4E37-8DEF-69302634533B}"/>
    <cellStyle name="Comma 490 4 2 2" xfId="20450" xr:uid="{026C4050-726D-4B9C-A749-B085C1D2DE19}"/>
    <cellStyle name="Comma 490 4 3" xfId="15274" xr:uid="{1E943481-A52A-458C-B0C2-6261754C444D}"/>
    <cellStyle name="Comma 490 5" xfId="5970" xr:uid="{819FC737-858B-4808-88EE-40C7F6A6A4F8}"/>
    <cellStyle name="Comma 490 5 2" xfId="16322" xr:uid="{F3C25688-DFCB-4F65-9A39-46633BE476E9}"/>
    <cellStyle name="Comma 490 6" xfId="11148" xr:uid="{3D47727E-50A0-4EE4-B30E-B4325F6D816D}"/>
    <cellStyle name="Comma 491" xfId="731" xr:uid="{DEF84272-30B2-4002-8D98-3D23CF2077C8}"/>
    <cellStyle name="Comma 491 2" xfId="1769" xr:uid="{BD30071C-28B7-4D4C-A629-B2BFACCDB80C}"/>
    <cellStyle name="Comma 491 2 2" xfId="3827" xr:uid="{6758448F-1D4F-4200-9C59-7738EC35A73C}"/>
    <cellStyle name="Comma 491 2 2 2" xfId="9060" xr:uid="{7CB7BC51-564F-4212-8CF7-BDD3CCE4A9C2}"/>
    <cellStyle name="Comma 491 2 2 2 2" xfId="19412" xr:uid="{42016D4A-CDDD-4A3D-9AC2-32C48FCFCD0A}"/>
    <cellStyle name="Comma 491 2 2 3" xfId="14237" xr:uid="{8D6AE502-AD9C-4B7B-9DA4-C51658B2EF81}"/>
    <cellStyle name="Comma 491 2 3" xfId="7002" xr:uid="{05B3E458-24CE-45AD-BF1F-87E623056918}"/>
    <cellStyle name="Comma 491 2 3 2" xfId="17354" xr:uid="{B7BEDD10-9BF6-4603-8008-08FA09F8817C}"/>
    <cellStyle name="Comma 491 2 4" xfId="12179" xr:uid="{991F070D-76F2-402D-BCA9-33E2DBC508AF}"/>
    <cellStyle name="Comma 491 3" xfId="2797" xr:uid="{CDF8C776-790F-4979-9009-19085ADE69CD}"/>
    <cellStyle name="Comma 491 3 2" xfId="8030" xr:uid="{FEBE8B27-FAC9-43A6-BA2D-A361195205A4}"/>
    <cellStyle name="Comma 491 3 2 2" xfId="18382" xr:uid="{5B9643CE-8C4D-46AE-AAFF-08F48EE7D52A}"/>
    <cellStyle name="Comma 491 3 3" xfId="13207" xr:uid="{2650FF8F-A42A-4DEC-B2AB-D2F0FCC4FC62}"/>
    <cellStyle name="Comma 491 4" xfId="4923" xr:uid="{CAFEEAA7-8D7A-49D6-A818-C5C3E665D922}"/>
    <cellStyle name="Comma 491 4 2" xfId="10099" xr:uid="{29DEC4A2-0321-4107-A1A9-5E57A862E49B}"/>
    <cellStyle name="Comma 491 4 2 2" xfId="20451" xr:uid="{736EB51E-EB28-4572-BA50-85487862619E}"/>
    <cellStyle name="Comma 491 4 3" xfId="15275" xr:uid="{73AC3738-E80A-4916-ACAC-29312F551261}"/>
    <cellStyle name="Comma 491 5" xfId="5971" xr:uid="{19303D9D-1EA0-4B22-95A1-05916E9E575B}"/>
    <cellStyle name="Comma 491 5 2" xfId="16323" xr:uid="{ED3BA16A-48D8-44F6-AA5E-D27F1067B1F7}"/>
    <cellStyle name="Comma 491 6" xfId="11149" xr:uid="{975BDB8F-D075-47B4-9746-E4985A9FC298}"/>
    <cellStyle name="Comma 492" xfId="732" xr:uid="{47408C5D-EDF2-4B69-805B-0F60BB86167F}"/>
    <cellStyle name="Comma 492 2" xfId="1770" xr:uid="{91D66066-F232-490E-933C-1F29A666E62F}"/>
    <cellStyle name="Comma 492 2 2" xfId="3828" xr:uid="{E37748C8-D581-4A72-B516-C587FEABAD85}"/>
    <cellStyle name="Comma 492 2 2 2" xfId="9061" xr:uid="{25765714-F7B6-4AD5-A2D5-AE669AE5DCBB}"/>
    <cellStyle name="Comma 492 2 2 2 2" xfId="19413" xr:uid="{5B338F76-A66C-4F8B-98B8-F7A5215F633A}"/>
    <cellStyle name="Comma 492 2 2 3" xfId="14238" xr:uid="{37D95644-39BB-490B-9290-1EF05B2DD9FF}"/>
    <cellStyle name="Comma 492 2 3" xfId="7003" xr:uid="{73AC1B51-09E5-4036-8C3E-E9B535E10597}"/>
    <cellStyle name="Comma 492 2 3 2" xfId="17355" xr:uid="{7DC454A7-20C5-495E-85FA-D8F99F24BC62}"/>
    <cellStyle name="Comma 492 2 4" xfId="12180" xr:uid="{8038AF37-2939-47D0-AE72-D558FBA4FEA8}"/>
    <cellStyle name="Comma 492 3" xfId="2798" xr:uid="{ECD8CDD9-7766-4F47-8D77-8EAB28131845}"/>
    <cellStyle name="Comma 492 3 2" xfId="8031" xr:uid="{F3D3F10F-4456-489B-9F2D-80C71FAB628D}"/>
    <cellStyle name="Comma 492 3 2 2" xfId="18383" xr:uid="{E91298DE-BF79-451F-B608-C713DA113166}"/>
    <cellStyle name="Comma 492 3 3" xfId="13208" xr:uid="{1E6D8636-09C4-411B-ACDF-BC6A389D91D5}"/>
    <cellStyle name="Comma 492 4" xfId="4924" xr:uid="{B0965256-C407-48A8-A6EF-9A4C5606A293}"/>
    <cellStyle name="Comma 492 4 2" xfId="10100" xr:uid="{BC334B71-FFFA-4A67-B4E3-E3BDF26D2091}"/>
    <cellStyle name="Comma 492 4 2 2" xfId="20452" xr:uid="{52A53D01-C5C7-4337-8C66-998995EED91E}"/>
    <cellStyle name="Comma 492 4 3" xfId="15276" xr:uid="{367058DE-9B26-48CC-840E-C98339323574}"/>
    <cellStyle name="Comma 492 5" xfId="5972" xr:uid="{541DFC58-D0F6-47C0-A1DC-0F41332290D8}"/>
    <cellStyle name="Comma 492 5 2" xfId="16324" xr:uid="{0BD145AF-A8C7-48AF-A5E0-43799E32D8ED}"/>
    <cellStyle name="Comma 492 6" xfId="11150" xr:uid="{8B0072B6-9FDB-4301-B17D-10A1B04077A0}"/>
    <cellStyle name="Comma 493" xfId="733" xr:uid="{D965A2D1-774A-4D5B-908E-804BC352EFC6}"/>
    <cellStyle name="Comma 493 2" xfId="1771" xr:uid="{A23C6B7C-ED57-4114-9091-C4E0B982F868}"/>
    <cellStyle name="Comma 493 2 2" xfId="3829" xr:uid="{D94C0579-7490-4CAD-90AE-1B0886CABC59}"/>
    <cellStyle name="Comma 493 2 2 2" xfId="9062" xr:uid="{6C4AC390-8017-4F0A-9BE4-999E37B8C986}"/>
    <cellStyle name="Comma 493 2 2 2 2" xfId="19414" xr:uid="{C220C1A3-0124-407A-8F3A-F3AF56672DE7}"/>
    <cellStyle name="Comma 493 2 2 3" xfId="14239" xr:uid="{C74FF339-D5A0-48C7-95F9-C58660D13706}"/>
    <cellStyle name="Comma 493 2 3" xfId="7004" xr:uid="{91BCEFD5-1F4E-4C27-B68C-E718DDF9E6DC}"/>
    <cellStyle name="Comma 493 2 3 2" xfId="17356" xr:uid="{99F7EFF1-E528-4DA0-B197-D3CCF1ED9D3F}"/>
    <cellStyle name="Comma 493 2 4" xfId="12181" xr:uid="{D035C6E1-C6DE-4CCC-B3E0-FD6921297474}"/>
    <cellStyle name="Comma 493 3" xfId="2799" xr:uid="{19D87F4F-5289-4952-B3BB-41539F6FF6F7}"/>
    <cellStyle name="Comma 493 3 2" xfId="8032" xr:uid="{E1EE3144-8D34-4959-9F67-121D9A1A3208}"/>
    <cellStyle name="Comma 493 3 2 2" xfId="18384" xr:uid="{8F6FC52F-D8A7-4ED4-A2A8-1454A336A254}"/>
    <cellStyle name="Comma 493 3 3" xfId="13209" xr:uid="{4B99E7CD-CF1F-4807-BDF3-3F54F67BC7D0}"/>
    <cellStyle name="Comma 493 4" xfId="4925" xr:uid="{B0DCA790-C08C-4112-A0BA-D12351841894}"/>
    <cellStyle name="Comma 493 4 2" xfId="10101" xr:uid="{2A014250-A381-4CF5-971D-F067EC44ACA7}"/>
    <cellStyle name="Comma 493 4 2 2" xfId="20453" xr:uid="{4BCA8115-6F49-43B4-A3EC-4665595875CD}"/>
    <cellStyle name="Comma 493 4 3" xfId="15277" xr:uid="{F23A93D1-FDCB-4E57-9440-D69F1E5EE312}"/>
    <cellStyle name="Comma 493 5" xfId="5973" xr:uid="{812B1C1A-1A95-4653-B1C8-DDEF2052C1C6}"/>
    <cellStyle name="Comma 493 5 2" xfId="16325" xr:uid="{43A4B3EC-C6C8-45F9-B1E6-C433D73925D2}"/>
    <cellStyle name="Comma 493 6" xfId="11151" xr:uid="{8B1A9105-4779-46B4-9DA3-5D3B56AEFE08}"/>
    <cellStyle name="Comma 494" xfId="734" xr:uid="{DBBA8CEF-067C-46D5-9DF7-EE7D49E02F7E}"/>
    <cellStyle name="Comma 494 2" xfId="1772" xr:uid="{0258F462-7AA4-4543-BF4C-2310F4FCB773}"/>
    <cellStyle name="Comma 494 2 2" xfId="3830" xr:uid="{E8E25E13-C467-481C-A229-09A287F8F176}"/>
    <cellStyle name="Comma 494 2 2 2" xfId="9063" xr:uid="{100DE208-D8BC-4462-A452-EF67B5702838}"/>
    <cellStyle name="Comma 494 2 2 2 2" xfId="19415" xr:uid="{CA02074B-F6A7-4570-8F30-9B240DD6E508}"/>
    <cellStyle name="Comma 494 2 2 3" xfId="14240" xr:uid="{DA89866A-8F3F-45B4-8C15-3594EE79326C}"/>
    <cellStyle name="Comma 494 2 3" xfId="7005" xr:uid="{755B516F-82D8-49D7-AB9A-72C0B6230D5C}"/>
    <cellStyle name="Comma 494 2 3 2" xfId="17357" xr:uid="{301542F9-F5A4-44D9-87D7-046E49BE9600}"/>
    <cellStyle name="Comma 494 2 4" xfId="12182" xr:uid="{B2CEF817-5339-4AC4-842C-18DFC07FA8FC}"/>
    <cellStyle name="Comma 494 3" xfId="2800" xr:uid="{7CF06F3A-9CFA-4FD1-BCB8-989A8208441E}"/>
    <cellStyle name="Comma 494 3 2" xfId="8033" xr:uid="{3D1F737B-A5FC-43CF-B4E7-755838E0849B}"/>
    <cellStyle name="Comma 494 3 2 2" xfId="18385" xr:uid="{982FFA4D-3F5E-45A6-BD28-C0D8AA32F9FD}"/>
    <cellStyle name="Comma 494 3 3" xfId="13210" xr:uid="{53DE87DF-D482-4E87-B5EB-6B6205224FFC}"/>
    <cellStyle name="Comma 494 4" xfId="4926" xr:uid="{AAA6FE48-3F7D-4232-9C97-45B97477B95C}"/>
    <cellStyle name="Comma 494 4 2" xfId="10102" xr:uid="{A81D0758-870E-4B2D-86CE-AA106B85F132}"/>
    <cellStyle name="Comma 494 4 2 2" xfId="20454" xr:uid="{1C31B8DD-5348-4F1F-86AC-9E748F050944}"/>
    <cellStyle name="Comma 494 4 3" xfId="15278" xr:uid="{AB9D1E30-561C-4D21-B108-62C1B51860C5}"/>
    <cellStyle name="Comma 494 5" xfId="5974" xr:uid="{97B63340-352F-4CC1-976E-80101D04DCC4}"/>
    <cellStyle name="Comma 494 5 2" xfId="16326" xr:uid="{5CB62405-1A79-4EF1-B20F-8BEB712CAB16}"/>
    <cellStyle name="Comma 494 6" xfId="11152" xr:uid="{6C519B4D-C0FA-4DFE-90EF-4FC4D6DA0D48}"/>
    <cellStyle name="Comma 495" xfId="735" xr:uid="{2559CE74-1D20-4925-A5B3-A84BBF7070D0}"/>
    <cellStyle name="Comma 495 2" xfId="1773" xr:uid="{E4A75036-0074-4DED-988A-2E8ED4BA64CB}"/>
    <cellStyle name="Comma 495 2 2" xfId="3831" xr:uid="{42BE56E5-7C2B-4F0A-8220-3BB09D68D58F}"/>
    <cellStyle name="Comma 495 2 2 2" xfId="9064" xr:uid="{DEC6DC48-3D2C-44CA-BFD9-698F0B7D12F8}"/>
    <cellStyle name="Comma 495 2 2 2 2" xfId="19416" xr:uid="{E6504CD4-FDCF-4FCA-B68B-1C777AA7CEBD}"/>
    <cellStyle name="Comma 495 2 2 3" xfId="14241" xr:uid="{B901AF34-B3A6-4767-A2AB-6C22199651CD}"/>
    <cellStyle name="Comma 495 2 3" xfId="7006" xr:uid="{2AAA4B58-7FD9-42F0-B2EB-F66FEE384748}"/>
    <cellStyle name="Comma 495 2 3 2" xfId="17358" xr:uid="{71684BC9-0C65-4ED3-9D6E-E96A9295D024}"/>
    <cellStyle name="Comma 495 2 4" xfId="12183" xr:uid="{EAB81141-014C-4B39-984C-B7C68C8DF236}"/>
    <cellStyle name="Comma 495 3" xfId="2801" xr:uid="{AB290F38-E6BA-43BC-8EAD-B76ACF4A4314}"/>
    <cellStyle name="Comma 495 3 2" xfId="8034" xr:uid="{DBDFE684-DB69-47A6-8B6E-87531904E15C}"/>
    <cellStyle name="Comma 495 3 2 2" xfId="18386" xr:uid="{2639D84F-EF75-4F1A-8E9A-FD21F458D261}"/>
    <cellStyle name="Comma 495 3 3" xfId="13211" xr:uid="{EC6AB4F4-B59A-4DAD-BA70-550BB07C092E}"/>
    <cellStyle name="Comma 495 4" xfId="4927" xr:uid="{145B9F48-3C51-4CD2-A4A7-A2E566D8C76E}"/>
    <cellStyle name="Comma 495 4 2" xfId="10103" xr:uid="{A807F93F-51BA-4236-A017-88CA8CE05A34}"/>
    <cellStyle name="Comma 495 4 2 2" xfId="20455" xr:uid="{94406A1F-4E9B-432F-8E00-97372C359641}"/>
    <cellStyle name="Comma 495 4 3" xfId="15279" xr:uid="{5D924DC7-D7C8-4F0E-A7B8-7196B333EF87}"/>
    <cellStyle name="Comma 495 5" xfId="5975" xr:uid="{B1A15E32-AFE0-4DF8-B0EC-B76691CC0255}"/>
    <cellStyle name="Comma 495 5 2" xfId="16327" xr:uid="{CD9AE990-2DA3-4B64-B5A1-1E636B3634E6}"/>
    <cellStyle name="Comma 495 6" xfId="11153" xr:uid="{C5C8C031-E957-45FD-A4D8-80A03828B484}"/>
    <cellStyle name="Comma 496" xfId="736" xr:uid="{C749E4FC-28DD-4FF2-A0AF-F3EA6944CCC8}"/>
    <cellStyle name="Comma 496 2" xfId="1774" xr:uid="{9EEA190B-6667-46B7-B5E2-08401C21557D}"/>
    <cellStyle name="Comma 496 2 2" xfId="3832" xr:uid="{9CA81B16-76E7-4479-BFB7-F937E2657548}"/>
    <cellStyle name="Comma 496 2 2 2" xfId="9065" xr:uid="{89C9CF26-F754-4781-8982-C3152F127214}"/>
    <cellStyle name="Comma 496 2 2 2 2" xfId="19417" xr:uid="{B4E2116F-B7AD-4F8E-B559-2389454848CE}"/>
    <cellStyle name="Comma 496 2 2 3" xfId="14242" xr:uid="{DE83F692-D2C1-4DB2-B0ED-7D7D2969E652}"/>
    <cellStyle name="Comma 496 2 3" xfId="7007" xr:uid="{0351A245-0340-4B0F-A659-10709E49003B}"/>
    <cellStyle name="Comma 496 2 3 2" xfId="17359" xr:uid="{7C1941A3-009D-4509-ABF0-F08DD532A7E4}"/>
    <cellStyle name="Comma 496 2 4" xfId="12184" xr:uid="{E1016663-A04E-4A63-B912-60B93378F1AB}"/>
    <cellStyle name="Comma 496 3" xfId="2802" xr:uid="{CF067056-FF91-4EA3-8C09-B358B921A098}"/>
    <cellStyle name="Comma 496 3 2" xfId="8035" xr:uid="{DCCE0433-E281-4483-817C-403D8183C763}"/>
    <cellStyle name="Comma 496 3 2 2" xfId="18387" xr:uid="{C487C15B-25AA-4E18-8603-C5AF08FAEDA3}"/>
    <cellStyle name="Comma 496 3 3" xfId="13212" xr:uid="{68D85E26-076F-4640-A38D-408DFAC75822}"/>
    <cellStyle name="Comma 496 4" xfId="4928" xr:uid="{9FA51A44-BCA2-4C9E-9E14-E851246FEE8C}"/>
    <cellStyle name="Comma 496 4 2" xfId="10104" xr:uid="{ED867B6E-6D4E-4546-975C-9855F2B8B017}"/>
    <cellStyle name="Comma 496 4 2 2" xfId="20456" xr:uid="{2031AF5C-C053-401B-9EC3-5E663E774AE7}"/>
    <cellStyle name="Comma 496 4 3" xfId="15280" xr:uid="{59EC12FC-7D59-42A2-8FAC-A584E498D7A5}"/>
    <cellStyle name="Comma 496 5" xfId="5976" xr:uid="{7DF0BE57-147F-4959-BFB0-A41C62B47B3D}"/>
    <cellStyle name="Comma 496 5 2" xfId="16328" xr:uid="{3DFD8C6D-BC15-41CC-BD2B-DF40D5F08DBB}"/>
    <cellStyle name="Comma 496 6" xfId="11154" xr:uid="{C5EA7EA1-2182-42E9-A147-82641F1218B5}"/>
    <cellStyle name="Comma 497" xfId="737" xr:uid="{2A279F8B-181E-4140-AA70-66C5C993A5BC}"/>
    <cellStyle name="Comma 497 2" xfId="1775" xr:uid="{8D72D728-2C3F-44D3-B123-BFBA3E09F46E}"/>
    <cellStyle name="Comma 497 2 2" xfId="3833" xr:uid="{0686FB50-2253-43C9-B049-9D29E66CF26F}"/>
    <cellStyle name="Comma 497 2 2 2" xfId="9066" xr:uid="{490B00EB-13E6-4FCE-9DD9-7C81D0AEA756}"/>
    <cellStyle name="Comma 497 2 2 2 2" xfId="19418" xr:uid="{9131CE92-2195-4E5F-AB12-78004144D953}"/>
    <cellStyle name="Comma 497 2 2 3" xfId="14243" xr:uid="{2ABE3587-60D9-44C5-BB1B-662ABA793BA1}"/>
    <cellStyle name="Comma 497 2 3" xfId="7008" xr:uid="{26A3889D-446A-4FDE-A44D-37A7180FFEB2}"/>
    <cellStyle name="Comma 497 2 3 2" xfId="17360" xr:uid="{74CCE297-85EC-4B33-A730-CB82A18A9DF4}"/>
    <cellStyle name="Comma 497 2 4" xfId="12185" xr:uid="{22A39BBC-8C27-4762-A3A5-8E095F7E2CEC}"/>
    <cellStyle name="Comma 497 3" xfId="2803" xr:uid="{603AEB8A-E24B-45DC-955F-F3430CAB7570}"/>
    <cellStyle name="Comma 497 3 2" xfId="8036" xr:uid="{974A8683-4DD7-43A4-8F78-301CCB9F8BF9}"/>
    <cellStyle name="Comma 497 3 2 2" xfId="18388" xr:uid="{7982D1B9-8F50-4D5F-A2F2-EE69A6A02E87}"/>
    <cellStyle name="Comma 497 3 3" xfId="13213" xr:uid="{0062C5C4-7858-4616-8FC5-1140EEAEABD2}"/>
    <cellStyle name="Comma 497 4" xfId="4929" xr:uid="{639B8558-1ED1-44D6-A432-F9CF04938E92}"/>
    <cellStyle name="Comma 497 4 2" xfId="10105" xr:uid="{F92C2AE9-2824-49A8-BF7B-89A1E513552D}"/>
    <cellStyle name="Comma 497 4 2 2" xfId="20457" xr:uid="{797A1FA6-8903-4154-AC12-BD46E7D2759E}"/>
    <cellStyle name="Comma 497 4 3" xfId="15281" xr:uid="{8CCBEBBF-6635-4105-8D5C-B8ACACE90B61}"/>
    <cellStyle name="Comma 497 5" xfId="5977" xr:uid="{03359E63-DE35-49C5-B4F3-52EABF715CFE}"/>
    <cellStyle name="Comma 497 5 2" xfId="16329" xr:uid="{523BA4DB-7EEE-43F4-B6CE-EF0621BC8FFD}"/>
    <cellStyle name="Comma 497 6" xfId="11155" xr:uid="{0247F0DD-3DE9-4AB4-8419-9BF40AD6813E}"/>
    <cellStyle name="Comma 498" xfId="738" xr:uid="{AE7D3FD1-28D7-41ED-A723-3E6E66A6D168}"/>
    <cellStyle name="Comma 498 2" xfId="1776" xr:uid="{AFC34375-CBA8-4B9D-B650-058ABEFFA282}"/>
    <cellStyle name="Comma 498 2 2" xfId="3834" xr:uid="{20ABF881-493E-4109-98EC-C00D1EE80078}"/>
    <cellStyle name="Comma 498 2 2 2" xfId="9067" xr:uid="{A5F6C713-8931-431F-8FF1-1FDC46A97D66}"/>
    <cellStyle name="Comma 498 2 2 2 2" xfId="19419" xr:uid="{1AF6013B-FA6C-4A60-9186-44052E1124D6}"/>
    <cellStyle name="Comma 498 2 2 3" xfId="14244" xr:uid="{38500965-1F95-46A9-80C8-9539360F7196}"/>
    <cellStyle name="Comma 498 2 3" xfId="7009" xr:uid="{BF046317-0AA6-4BA6-911C-8413AD39DA75}"/>
    <cellStyle name="Comma 498 2 3 2" xfId="17361" xr:uid="{7BBA00B6-8B89-4AE2-9F67-855BC2AA8428}"/>
    <cellStyle name="Comma 498 2 4" xfId="12186" xr:uid="{51CD5C1A-23F6-4478-99A4-1E68E64293BC}"/>
    <cellStyle name="Comma 498 3" xfId="2804" xr:uid="{D4D19EB7-8C67-4ED0-9923-2CEB63ED0923}"/>
    <cellStyle name="Comma 498 3 2" xfId="8037" xr:uid="{8FF29846-AF8A-4CE4-ADDE-76BA3E518352}"/>
    <cellStyle name="Comma 498 3 2 2" xfId="18389" xr:uid="{C9C13ED0-C696-4B1F-910D-B161D469BD36}"/>
    <cellStyle name="Comma 498 3 3" xfId="13214" xr:uid="{6E0CB0A1-2D6C-4708-BC80-2802C05C6FB1}"/>
    <cellStyle name="Comma 498 4" xfId="4930" xr:uid="{F6197492-0B4C-4115-9D6F-F801327DA65D}"/>
    <cellStyle name="Comma 498 4 2" xfId="10106" xr:uid="{7CDE659C-781C-4FFE-9129-50DA4DB5A171}"/>
    <cellStyle name="Comma 498 4 2 2" xfId="20458" xr:uid="{4B90BE0C-34FA-4613-A919-53DAE0118526}"/>
    <cellStyle name="Comma 498 4 3" xfId="15282" xr:uid="{3649662B-574F-4286-B759-D9BB75889763}"/>
    <cellStyle name="Comma 498 5" xfId="5978" xr:uid="{2986780D-2145-4E80-A74A-0D65FE827E79}"/>
    <cellStyle name="Comma 498 5 2" xfId="16330" xr:uid="{AEB34496-AE80-4EB5-ADED-1D9478C4D835}"/>
    <cellStyle name="Comma 498 6" xfId="11156" xr:uid="{B6819174-01D9-4C97-94A9-9FFD2D2A3E49}"/>
    <cellStyle name="Comma 499" xfId="739" xr:uid="{CAB434FA-0524-4C09-96AB-288398672EE2}"/>
    <cellStyle name="Comma 499 2" xfId="1777" xr:uid="{3C5D359B-8883-4ED5-8161-7CAE8EBE3FB2}"/>
    <cellStyle name="Comma 499 2 2" xfId="3835" xr:uid="{71DE312F-F011-4BAC-A65B-9EA6971FB29B}"/>
    <cellStyle name="Comma 499 2 2 2" xfId="9068" xr:uid="{EB6D19A5-22CB-4D02-BE55-43281FB5E923}"/>
    <cellStyle name="Comma 499 2 2 2 2" xfId="19420" xr:uid="{624A57A4-CEFA-48DD-B2FC-57DB2EEB8A9C}"/>
    <cellStyle name="Comma 499 2 2 3" xfId="14245" xr:uid="{906404FD-F95F-4986-A2DA-8D185AB70FA1}"/>
    <cellStyle name="Comma 499 2 3" xfId="7010" xr:uid="{07645B14-C391-41E1-918D-7CCE76F24939}"/>
    <cellStyle name="Comma 499 2 3 2" xfId="17362" xr:uid="{47B6B889-749A-4944-9787-D159647A11F5}"/>
    <cellStyle name="Comma 499 2 4" xfId="12187" xr:uid="{116BA014-139C-43B0-B0B1-42C5D14B2C97}"/>
    <cellStyle name="Comma 499 3" xfId="2805" xr:uid="{1FBE9BE2-7622-44D7-B4FC-4AABE2CB7688}"/>
    <cellStyle name="Comma 499 3 2" xfId="8038" xr:uid="{4D5B75CA-A906-4D7B-A587-31F0180BC487}"/>
    <cellStyle name="Comma 499 3 2 2" xfId="18390" xr:uid="{38346ED0-B584-44FB-BF51-EA293A682628}"/>
    <cellStyle name="Comma 499 3 3" xfId="13215" xr:uid="{55735C50-368B-4C55-90A1-30550EB745D8}"/>
    <cellStyle name="Comma 499 4" xfId="4931" xr:uid="{296D776D-660B-44E1-A871-8BB038939757}"/>
    <cellStyle name="Comma 499 4 2" xfId="10107" xr:uid="{141727CA-3589-4BC8-B42A-B4A700E5DE4B}"/>
    <cellStyle name="Comma 499 4 2 2" xfId="20459" xr:uid="{48FA522E-6681-4E3C-96E9-0101376A11E8}"/>
    <cellStyle name="Comma 499 4 3" xfId="15283" xr:uid="{C5042915-321D-4E0B-9C7A-8C027495DC9C}"/>
    <cellStyle name="Comma 499 5" xfId="5979" xr:uid="{E8FDEAC7-AD97-499C-AA8E-054A5DA49D11}"/>
    <cellStyle name="Comma 499 5 2" xfId="16331" xr:uid="{39ED636C-77F6-4694-94B6-DA1794F8ABCF}"/>
    <cellStyle name="Comma 499 6" xfId="11157" xr:uid="{9779F98C-4F8F-4BCF-A757-DF20D28C4335}"/>
    <cellStyle name="Comma 5" xfId="75" xr:uid="{E8A7C981-0E1B-4846-AC2F-C680BF2C17BF}"/>
    <cellStyle name="Comma 5 2" xfId="231" xr:uid="{AFCB23E2-E4CD-413A-A3D2-CFC88FBAF8CA}"/>
    <cellStyle name="Comma 5 2 2" xfId="1310" xr:uid="{0EAB68A0-572F-4FB9-9735-1767736C75E9}"/>
    <cellStyle name="Comma 5 2 2 2" xfId="3368" xr:uid="{2B813D2C-6AFB-4985-BA1B-7ADDBEC979F9}"/>
    <cellStyle name="Comma 5 2 2 2 2" xfId="8601" xr:uid="{8C02DD7D-AAFF-42B2-9B2B-C900CC2F86BE}"/>
    <cellStyle name="Comma 5 2 2 2 2 2" xfId="18953" xr:uid="{770048D2-04A4-4E06-88CE-55E10FA71887}"/>
    <cellStyle name="Comma 5 2 2 2 3" xfId="13778" xr:uid="{A00A1840-833E-42C5-AAA9-68D644D4EA85}"/>
    <cellStyle name="Comma 5 2 2 3" xfId="6543" xr:uid="{589BCFAB-CE40-4FFB-8CBB-4FF1E5320422}"/>
    <cellStyle name="Comma 5 2 2 3 2" xfId="16895" xr:uid="{907B8344-09F3-46DF-857D-63EFEABD6120}"/>
    <cellStyle name="Comma 5 2 2 4" xfId="11720" xr:uid="{CAB1ED54-7D38-4DC7-9645-0A6C057D41B1}"/>
    <cellStyle name="Comma 5 2 3" xfId="2338" xr:uid="{23631C17-62AC-485F-ABD8-B333E521FA26}"/>
    <cellStyle name="Comma 5 2 3 2" xfId="7571" xr:uid="{1128AE12-2E61-4556-81E4-2947AB08DF4E}"/>
    <cellStyle name="Comma 5 2 3 2 2" xfId="17923" xr:uid="{E0BBC45C-08DF-4DC5-A511-DDD00EB12435}"/>
    <cellStyle name="Comma 5 2 3 3" xfId="12748" xr:uid="{7DA4493C-BF18-4857-8BA7-7D76B1CF549F}"/>
    <cellStyle name="Comma 5 2 4" xfId="4464" xr:uid="{C573470F-E187-48FB-9CE6-0504BAAD77EE}"/>
    <cellStyle name="Comma 5 2 4 2" xfId="9640" xr:uid="{3A143721-CA9D-4E6E-8C01-D2D85AF7EBFC}"/>
    <cellStyle name="Comma 5 2 4 2 2" xfId="19992" xr:uid="{E8EC2239-EAB7-4B77-94C2-42C63BD7AECB}"/>
    <cellStyle name="Comma 5 2 4 3" xfId="14816" xr:uid="{6F567E87-B466-4A84-BF4E-AC129FEE57D2}"/>
    <cellStyle name="Comma 5 2 5" xfId="5512" xr:uid="{10184A7F-87FC-4F4E-B8E1-CD3DC0D1C065}"/>
    <cellStyle name="Comma 5 2 5 2" xfId="15864" xr:uid="{9E903249-B92D-42E5-8326-8B26398F98F6}"/>
    <cellStyle name="Comma 5 2 6" xfId="10690" xr:uid="{0F60C018-475D-4279-BE04-68CEC162F995}"/>
    <cellStyle name="Comma 5 3" xfId="1281" xr:uid="{FA48357D-14F3-46D5-AE81-CC995FF0E03F}"/>
    <cellStyle name="Comma 5 3 2" xfId="3339" xr:uid="{75D9D60A-0084-4FA8-B6D8-20E81570D98C}"/>
    <cellStyle name="Comma 5 3 2 2" xfId="8572" xr:uid="{E98CAA4C-DA80-4F05-81BF-69EEBD6A02CE}"/>
    <cellStyle name="Comma 5 3 2 2 2" xfId="18924" xr:uid="{F89CA29F-695A-4E37-9A1B-DE3CA7799B5B}"/>
    <cellStyle name="Comma 5 3 2 3" xfId="13749" xr:uid="{127F1008-2245-4F4B-9D75-35E90610DC0B}"/>
    <cellStyle name="Comma 5 3 3" xfId="6514" xr:uid="{801973DF-1AA9-4035-8AED-18F3132771DC}"/>
    <cellStyle name="Comma 5 3 3 2" xfId="16866" xr:uid="{069355D1-0C53-4E20-8105-7585BEE62C46}"/>
    <cellStyle name="Comma 5 3 4" xfId="11691" xr:uid="{CC7B3517-AB7D-438E-8C42-FDE4B4B5450D}"/>
    <cellStyle name="Comma 5 4" xfId="2309" xr:uid="{4DD8A212-2032-49F0-BD95-ACEF34A13B04}"/>
    <cellStyle name="Comma 5 4 2" xfId="7542" xr:uid="{600A2A96-C577-4A4D-B9F0-6050DB7E7DCD}"/>
    <cellStyle name="Comma 5 4 2 2" xfId="17894" xr:uid="{21B7290D-AC41-47C7-8D16-884AB24BE978}"/>
    <cellStyle name="Comma 5 4 3" xfId="12719" xr:uid="{D669D962-01CB-4DAE-9731-4DA9E6C08806}"/>
    <cellStyle name="Comma 5 5" xfId="4435" xr:uid="{58F8F96E-2024-4BCC-82C0-D1F7349A2E38}"/>
    <cellStyle name="Comma 5 5 2" xfId="9611" xr:uid="{4C526862-6AA7-4E4D-BB72-E43F56800C89}"/>
    <cellStyle name="Comma 5 5 2 2" xfId="19963" xr:uid="{F8296D53-4E28-40D5-A798-BF19E724DC8A}"/>
    <cellStyle name="Comma 5 5 3" xfId="14787" xr:uid="{2851C7B4-ABD0-418B-875F-62CF59D27B17}"/>
    <cellStyle name="Comma 5 6" xfId="5482" xr:uid="{6485C0E4-DD0D-4790-93EA-D4823C506344}"/>
    <cellStyle name="Comma 5 6 2" xfId="15834" xr:uid="{82F0BA23-BF8E-425F-AEDE-6D8B5FAE5623}"/>
    <cellStyle name="Comma 5 7" xfId="10661" xr:uid="{33FC7482-BCD5-48D8-B6A9-A48260106A3B}"/>
    <cellStyle name="Comma 50" xfId="250" xr:uid="{08D2B08E-0286-4713-B80B-79796CAD2627}"/>
    <cellStyle name="Comma 50 2" xfId="1328" xr:uid="{9D1CB6B4-D888-4B86-899D-F9E63A7B9E0F}"/>
    <cellStyle name="Comma 50 2 2" xfId="3386" xr:uid="{CA28B38E-145F-4520-95A9-AE01FC38EBBE}"/>
    <cellStyle name="Comma 50 2 2 2" xfId="8619" xr:uid="{72C09B5F-1531-49B5-BE6C-8667F29F9C40}"/>
    <cellStyle name="Comma 50 2 2 2 2" xfId="18971" xr:uid="{31923799-675A-4A59-8D1F-EE37078BA78E}"/>
    <cellStyle name="Comma 50 2 2 3" xfId="13796" xr:uid="{A3EA57DE-01D8-41A0-B15D-19FEE677547A}"/>
    <cellStyle name="Comma 50 2 3" xfId="6561" xr:uid="{6622D285-8489-438E-B33D-A7CAA8DB1AD8}"/>
    <cellStyle name="Comma 50 2 3 2" xfId="16913" xr:uid="{A4E2195A-D9D4-4E3A-AD65-8BAA7439D09E}"/>
    <cellStyle name="Comma 50 2 4" xfId="11738" xr:uid="{02107C8A-BA54-4135-8CD9-A2218981C047}"/>
    <cellStyle name="Comma 50 3" xfId="2356" xr:uid="{02B66910-D673-415B-BC3C-85111E627CE2}"/>
    <cellStyle name="Comma 50 3 2" xfId="7589" xr:uid="{756AB151-C979-4AE9-BB82-84DD9DD2079F}"/>
    <cellStyle name="Comma 50 3 2 2" xfId="17941" xr:uid="{2CB326E7-D209-446B-BCEA-C5C6DBB3C1B8}"/>
    <cellStyle name="Comma 50 3 3" xfId="12766" xr:uid="{29D62906-FE08-4227-8DB3-7B291057CA15}"/>
    <cellStyle name="Comma 50 4" xfId="4482" xr:uid="{F363FF63-6308-41FD-999F-2C9559F4E883}"/>
    <cellStyle name="Comma 50 4 2" xfId="9658" xr:uid="{2920C7B1-CE2B-4885-9177-8061ADE07A41}"/>
    <cellStyle name="Comma 50 4 2 2" xfId="20010" xr:uid="{470347E0-A2EF-4B55-A7AC-ECA90168CF3E}"/>
    <cellStyle name="Comma 50 4 3" xfId="14834" xr:uid="{CBA5FA35-0E67-49B2-AB90-E4D01B0AACD1}"/>
    <cellStyle name="Comma 50 5" xfId="5530" xr:uid="{DD34FC33-3274-4EC4-965F-E47D48FA239B}"/>
    <cellStyle name="Comma 50 5 2" xfId="15882" xr:uid="{DDB82C56-541C-4B9B-9E52-B65E5798C3E9}"/>
    <cellStyle name="Comma 50 6" xfId="10708" xr:uid="{B6EB39F7-18B0-439A-A23C-47E260F8B70A}"/>
    <cellStyle name="Comma 500" xfId="740" xr:uid="{048D429F-D721-4DBD-ABD7-96479A6CC18C}"/>
    <cellStyle name="Comma 500 2" xfId="1778" xr:uid="{7833DFFF-9251-4946-AE9A-3BC0298DFF2A}"/>
    <cellStyle name="Comma 500 2 2" xfId="3836" xr:uid="{3F0FC1A4-6F75-4358-A505-7222824522D4}"/>
    <cellStyle name="Comma 500 2 2 2" xfId="9069" xr:uid="{B00612D1-8C0F-4143-8329-4C5D0B733A84}"/>
    <cellStyle name="Comma 500 2 2 2 2" xfId="19421" xr:uid="{4A330D14-D594-4AE1-B0D8-F33175F97B6E}"/>
    <cellStyle name="Comma 500 2 2 3" xfId="14246" xr:uid="{4665C0E2-A722-474A-A168-FA1BE625F490}"/>
    <cellStyle name="Comma 500 2 3" xfId="7011" xr:uid="{1DACEC51-8566-47FE-94CF-65D1C0B4DDBE}"/>
    <cellStyle name="Comma 500 2 3 2" xfId="17363" xr:uid="{94D43DFD-F347-420D-93CB-FF42AE97471E}"/>
    <cellStyle name="Comma 500 2 4" xfId="12188" xr:uid="{8EF0CBD0-D48B-4126-B879-57783C902E1B}"/>
    <cellStyle name="Comma 500 3" xfId="2806" xr:uid="{E82779AB-2E8B-4BEE-8668-18762741D3F9}"/>
    <cellStyle name="Comma 500 3 2" xfId="8039" xr:uid="{E12DA20B-F217-4B42-9F8B-1F0AA2BB1AB4}"/>
    <cellStyle name="Comma 500 3 2 2" xfId="18391" xr:uid="{340C5D40-DEE0-4269-9F65-F74578E22F17}"/>
    <cellStyle name="Comma 500 3 3" xfId="13216" xr:uid="{97C43E71-E722-487B-9126-88649EF93FC3}"/>
    <cellStyle name="Comma 500 4" xfId="4932" xr:uid="{51E6B61B-ACAC-4EA2-A36C-5989EA7626AB}"/>
    <cellStyle name="Comma 500 4 2" xfId="10108" xr:uid="{2DCE1922-DC4F-4B42-B561-7197AC196ACE}"/>
    <cellStyle name="Comma 500 4 2 2" xfId="20460" xr:uid="{592B940F-6B44-40B9-B44C-9C405CEBE4D4}"/>
    <cellStyle name="Comma 500 4 3" xfId="15284" xr:uid="{D10C6E66-45E6-4C1D-A0EC-2DE3CAC3018A}"/>
    <cellStyle name="Comma 500 5" xfId="5980" xr:uid="{C846E05D-E2FB-4699-BB3A-EFF892BF867A}"/>
    <cellStyle name="Comma 500 5 2" xfId="16332" xr:uid="{50C14B16-8A2F-4F0F-93D9-68F02D9EA218}"/>
    <cellStyle name="Comma 500 6" xfId="11158" xr:uid="{9F288B3E-FF45-4277-8FB1-0454E84D4DB4}"/>
    <cellStyle name="Comma 501" xfId="741" xr:uid="{A29A9BA6-971C-4FB0-95D5-0AAD23678CF7}"/>
    <cellStyle name="Comma 501 2" xfId="1779" xr:uid="{E90F2062-E956-48E1-AD55-DAD6438A63E3}"/>
    <cellStyle name="Comma 501 2 2" xfId="3837" xr:uid="{F89C0519-C611-4532-ACF1-B251BC807E5D}"/>
    <cellStyle name="Comma 501 2 2 2" xfId="9070" xr:uid="{5BD88802-9FF3-4999-995F-5B93A894F869}"/>
    <cellStyle name="Comma 501 2 2 2 2" xfId="19422" xr:uid="{46AEE6E5-D66C-4624-911E-A771CC20E026}"/>
    <cellStyle name="Comma 501 2 2 3" xfId="14247" xr:uid="{AE8EE771-4B30-4E13-A6B2-DF83F76C6226}"/>
    <cellStyle name="Comma 501 2 3" xfId="7012" xr:uid="{FB1C8955-BD3A-45FE-A862-EEDD6539609D}"/>
    <cellStyle name="Comma 501 2 3 2" xfId="17364" xr:uid="{CFF1CC33-D4FD-4E11-8637-906CE6A51877}"/>
    <cellStyle name="Comma 501 2 4" xfId="12189" xr:uid="{5F8CA9CC-011E-489D-8844-020ACA446AA9}"/>
    <cellStyle name="Comma 501 3" xfId="2807" xr:uid="{911D91D1-D188-4991-BE6B-8B3A73B937D6}"/>
    <cellStyle name="Comma 501 3 2" xfId="8040" xr:uid="{7DBE8F65-31BB-4F78-89ED-F1A27CAF4643}"/>
    <cellStyle name="Comma 501 3 2 2" xfId="18392" xr:uid="{66EAB596-1D0B-4BAE-833A-EAF70174EAAF}"/>
    <cellStyle name="Comma 501 3 3" xfId="13217" xr:uid="{C9692F3B-80EF-4AC3-8F98-DE3F0E6BD0A6}"/>
    <cellStyle name="Comma 501 4" xfId="4933" xr:uid="{F34CAA7B-87A0-4E4A-8DE6-09EE84C669FB}"/>
    <cellStyle name="Comma 501 4 2" xfId="10109" xr:uid="{D6401A3A-4257-46F0-89E0-3859FE3DDFE6}"/>
    <cellStyle name="Comma 501 4 2 2" xfId="20461" xr:uid="{430A671C-B834-4D59-A4A4-C415C882B53A}"/>
    <cellStyle name="Comma 501 4 3" xfId="15285" xr:uid="{733D7830-9F44-42C9-959E-46A4F82AE614}"/>
    <cellStyle name="Comma 501 5" xfId="5981" xr:uid="{3FB6F409-CDC6-42F3-86C5-92D5C8A9C9A9}"/>
    <cellStyle name="Comma 501 5 2" xfId="16333" xr:uid="{501963DD-2534-4E95-BD05-BA7EFA935CFE}"/>
    <cellStyle name="Comma 501 6" xfId="11159" xr:uid="{5077D076-A571-48F1-9253-9111872D91E5}"/>
    <cellStyle name="Comma 502" xfId="742" xr:uid="{CB4B77DA-087D-4D54-B5C5-8C614C4DF740}"/>
    <cellStyle name="Comma 502 2" xfId="1780" xr:uid="{0741B2F6-2421-4B6F-A9B0-74CAD4FC170B}"/>
    <cellStyle name="Comma 502 2 2" xfId="3838" xr:uid="{5B9ED689-E43A-4892-9CE0-CC64D02FA824}"/>
    <cellStyle name="Comma 502 2 2 2" xfId="9071" xr:uid="{5ABD773F-6989-4616-BEB9-B64BA537E3E9}"/>
    <cellStyle name="Comma 502 2 2 2 2" xfId="19423" xr:uid="{1458C7DE-1428-4A67-8061-E99D87FE9215}"/>
    <cellStyle name="Comma 502 2 2 3" xfId="14248" xr:uid="{F984EFFB-C85C-4EBD-863D-467439F78ADC}"/>
    <cellStyle name="Comma 502 2 3" xfId="7013" xr:uid="{1741212C-B4F4-4B43-8254-8955C25441C0}"/>
    <cellStyle name="Comma 502 2 3 2" xfId="17365" xr:uid="{80202D34-E71D-49BA-B3AA-F6C00572FAAC}"/>
    <cellStyle name="Comma 502 2 4" xfId="12190" xr:uid="{4257FB7C-C012-438F-938D-209F015D41D4}"/>
    <cellStyle name="Comma 502 3" xfId="2808" xr:uid="{2BCD3281-9489-41D0-AD4D-60855ABDA928}"/>
    <cellStyle name="Comma 502 3 2" xfId="8041" xr:uid="{FDAA0A81-33E9-4D9C-A3F5-F30E86DFCE5B}"/>
    <cellStyle name="Comma 502 3 2 2" xfId="18393" xr:uid="{108D0E16-34A3-4946-AE63-62D76EA1B496}"/>
    <cellStyle name="Comma 502 3 3" xfId="13218" xr:uid="{49AE222A-9210-464C-842A-9A1EDDD370D0}"/>
    <cellStyle name="Comma 502 4" xfId="4934" xr:uid="{93BDB9C0-3C68-432B-8928-D468F8986C41}"/>
    <cellStyle name="Comma 502 4 2" xfId="10110" xr:uid="{0839445B-0C15-48F3-B713-5B6C278D643A}"/>
    <cellStyle name="Comma 502 4 2 2" xfId="20462" xr:uid="{C2C0D809-3D11-473E-A95E-71933C486411}"/>
    <cellStyle name="Comma 502 4 3" xfId="15286" xr:uid="{8546C917-3D61-46E1-B75A-2011492B0C12}"/>
    <cellStyle name="Comma 502 5" xfId="5982" xr:uid="{3C923B4D-F884-4E2E-89BF-3CBB65CC9BF3}"/>
    <cellStyle name="Comma 502 5 2" xfId="16334" xr:uid="{C4E98E6B-A590-4A1A-955A-A61B0CD57ABB}"/>
    <cellStyle name="Comma 502 6" xfId="11160" xr:uid="{78CB1E25-72C2-4615-AA53-D598ACC904D0}"/>
    <cellStyle name="Comma 503" xfId="743" xr:uid="{6E8EFA97-EEBB-462B-9D32-E10F68555B35}"/>
    <cellStyle name="Comma 503 2" xfId="1781" xr:uid="{F43AC1B1-BC34-464D-BBB1-931F57254058}"/>
    <cellStyle name="Comma 503 2 2" xfId="3839" xr:uid="{B07D3794-23D1-4B9D-A454-97A196FA66EA}"/>
    <cellStyle name="Comma 503 2 2 2" xfId="9072" xr:uid="{4C345429-414B-473B-8573-8E597D9E6096}"/>
    <cellStyle name="Comma 503 2 2 2 2" xfId="19424" xr:uid="{3C42BFBD-3DB7-40FB-BD1C-3676C9F216AB}"/>
    <cellStyle name="Comma 503 2 2 3" xfId="14249" xr:uid="{BAC71A26-0BB2-4BEE-8F5D-2AC96B96816A}"/>
    <cellStyle name="Comma 503 2 3" xfId="7014" xr:uid="{3624D24C-DD22-4B82-895C-834511A067F0}"/>
    <cellStyle name="Comma 503 2 3 2" xfId="17366" xr:uid="{7E64F6C7-B05A-4619-8761-1F81194163F9}"/>
    <cellStyle name="Comma 503 2 4" xfId="12191" xr:uid="{EBBCBA35-1FCA-45E1-B780-AB099728E5A4}"/>
    <cellStyle name="Comma 503 3" xfId="2809" xr:uid="{05075C12-767E-4847-9B82-2DCFF5E5DAA7}"/>
    <cellStyle name="Comma 503 3 2" xfId="8042" xr:uid="{C8164816-D412-4581-AF74-3648EFC3717D}"/>
    <cellStyle name="Comma 503 3 2 2" xfId="18394" xr:uid="{AD83B0D4-185E-4965-A8E9-17B39EAB823E}"/>
    <cellStyle name="Comma 503 3 3" xfId="13219" xr:uid="{F7A7E8A5-5507-46F7-8091-56B5EBE65A1D}"/>
    <cellStyle name="Comma 503 4" xfId="4935" xr:uid="{B39F04A1-6879-43F3-B547-392E3E6FC2D9}"/>
    <cellStyle name="Comma 503 4 2" xfId="10111" xr:uid="{6B187F44-90A7-4427-8348-9C2A7360B663}"/>
    <cellStyle name="Comma 503 4 2 2" xfId="20463" xr:uid="{18CA9B12-D4BC-4D14-8DD2-940AE26A62AB}"/>
    <cellStyle name="Comma 503 4 3" xfId="15287" xr:uid="{6FED4018-1549-4420-B27F-0FCE75E3B285}"/>
    <cellStyle name="Comma 503 5" xfId="5983" xr:uid="{ECA3CD57-1D7C-47DA-8141-FF856AE015F2}"/>
    <cellStyle name="Comma 503 5 2" xfId="16335" xr:uid="{5B8D02E1-53D7-40E3-9CEB-C8C5278C8E6E}"/>
    <cellStyle name="Comma 503 6" xfId="11161" xr:uid="{81247FA8-A430-430B-B761-147D00579E4F}"/>
    <cellStyle name="Comma 504" xfId="744" xr:uid="{849B7109-A716-4AC9-BC55-8F7B73F53AC7}"/>
    <cellStyle name="Comma 504 2" xfId="1782" xr:uid="{8723052B-7C66-42D9-8266-293DAC441C04}"/>
    <cellStyle name="Comma 504 2 2" xfId="3840" xr:uid="{38FFD318-B902-4F24-AA98-E075EF364531}"/>
    <cellStyle name="Comma 504 2 2 2" xfId="9073" xr:uid="{BBA08DE3-D979-4BA9-9BF2-DAB7563A778E}"/>
    <cellStyle name="Comma 504 2 2 2 2" xfId="19425" xr:uid="{8AEC1BF5-81A3-4F6A-BA2D-C7931062FB4B}"/>
    <cellStyle name="Comma 504 2 2 3" xfId="14250" xr:uid="{8E1699D0-8776-4DDA-8074-0DF646232BCD}"/>
    <cellStyle name="Comma 504 2 3" xfId="7015" xr:uid="{CAE695EB-F881-42BB-B955-0F55DE15391E}"/>
    <cellStyle name="Comma 504 2 3 2" xfId="17367" xr:uid="{0091FA5C-9890-4A2F-8077-D2CB16B33327}"/>
    <cellStyle name="Comma 504 2 4" xfId="12192" xr:uid="{8F491298-43E2-4146-AB3C-853D3EED64B6}"/>
    <cellStyle name="Comma 504 3" xfId="2810" xr:uid="{6BF3D6E3-0BE8-4FEA-9D9B-6178BD1F4541}"/>
    <cellStyle name="Comma 504 3 2" xfId="8043" xr:uid="{AA26F194-EF9F-4A5F-BE6B-50802C866C72}"/>
    <cellStyle name="Comma 504 3 2 2" xfId="18395" xr:uid="{B483EEEF-DE93-43A9-85EB-07A370DE02C8}"/>
    <cellStyle name="Comma 504 3 3" xfId="13220" xr:uid="{FFD616BF-98F7-433E-ACEA-D96336AA4273}"/>
    <cellStyle name="Comma 504 4" xfId="4936" xr:uid="{46DBFDF4-D2B1-4543-BAA4-B2595306365D}"/>
    <cellStyle name="Comma 504 4 2" xfId="10112" xr:uid="{B781D2B9-AE15-4E79-9FB6-BD3692C6EEDA}"/>
    <cellStyle name="Comma 504 4 2 2" xfId="20464" xr:uid="{96284835-5D33-4F55-8664-CAB46E659452}"/>
    <cellStyle name="Comma 504 4 3" xfId="15288" xr:uid="{111586E1-A05D-44CE-8D2C-A3154800B1E5}"/>
    <cellStyle name="Comma 504 5" xfId="5984" xr:uid="{23D7898A-3137-4FA8-9212-F030387F03F0}"/>
    <cellStyle name="Comma 504 5 2" xfId="16336" xr:uid="{6F9AFF79-6B1F-48E5-85CD-05F6D4FA35CE}"/>
    <cellStyle name="Comma 504 6" xfId="11162" xr:uid="{C2C25B7D-A466-437D-804D-C7239E27DCBD}"/>
    <cellStyle name="Comma 505" xfId="745" xr:uid="{E7AC1353-8A42-4185-A652-BB53C39A2BED}"/>
    <cellStyle name="Comma 505 2" xfId="1783" xr:uid="{B7731863-4A76-42D7-9282-4BD487B4A11C}"/>
    <cellStyle name="Comma 505 2 2" xfId="3841" xr:uid="{BC3EEAAA-8092-4413-8E1B-6C884061BA2A}"/>
    <cellStyle name="Comma 505 2 2 2" xfId="9074" xr:uid="{B6536665-D19D-41E5-BF10-488C78F9A6A7}"/>
    <cellStyle name="Comma 505 2 2 2 2" xfId="19426" xr:uid="{31DF7ED0-8C03-4A29-86C0-0883F8ED6221}"/>
    <cellStyle name="Comma 505 2 2 3" xfId="14251" xr:uid="{D5D39068-3490-4E47-9AF1-B804563BED78}"/>
    <cellStyle name="Comma 505 2 3" xfId="7016" xr:uid="{35FF213A-CEDA-4B04-9BD8-796E85414086}"/>
    <cellStyle name="Comma 505 2 3 2" xfId="17368" xr:uid="{9951E439-1A76-4F06-8A7D-87EF4A6064B6}"/>
    <cellStyle name="Comma 505 2 4" xfId="12193" xr:uid="{95009382-1FF5-4D81-B428-EC5E8582C5E9}"/>
    <cellStyle name="Comma 505 3" xfId="2811" xr:uid="{AB55FD6A-7A0B-4FDE-8D31-65A7D35B8DFD}"/>
    <cellStyle name="Comma 505 3 2" xfId="8044" xr:uid="{E450B9B1-53EC-4D19-AC6F-CD9EFA1BA630}"/>
    <cellStyle name="Comma 505 3 2 2" xfId="18396" xr:uid="{6153A687-78C4-4159-987B-85B3CE3012D5}"/>
    <cellStyle name="Comma 505 3 3" xfId="13221" xr:uid="{117DE54B-5236-4EA7-88A4-06B2381DEACE}"/>
    <cellStyle name="Comma 505 4" xfId="4937" xr:uid="{DCC0898B-115A-4F22-B78F-26FC39A84007}"/>
    <cellStyle name="Comma 505 4 2" xfId="10113" xr:uid="{95E798C5-2F95-4B6A-AB3C-DCECF04A43B1}"/>
    <cellStyle name="Comma 505 4 2 2" xfId="20465" xr:uid="{5F92DD19-3FA6-47E9-BE36-E5149CF00788}"/>
    <cellStyle name="Comma 505 4 3" xfId="15289" xr:uid="{96EB5F11-5683-4A81-9746-D910A9422970}"/>
    <cellStyle name="Comma 505 5" xfId="5985" xr:uid="{AB431C6F-BB28-4A8E-8DF5-589EBA5D2642}"/>
    <cellStyle name="Comma 505 5 2" xfId="16337" xr:uid="{A44E6F1E-15F4-4CC7-AE79-265B7BFCCE1B}"/>
    <cellStyle name="Comma 505 6" xfId="11163" xr:uid="{2C8FEF33-8C7E-4B58-87F3-E297BDE3ECBA}"/>
    <cellStyle name="Comma 506" xfId="746" xr:uid="{CDAB07DD-5F4D-427A-BD9B-F3F41434257E}"/>
    <cellStyle name="Comma 506 2" xfId="1784" xr:uid="{E822277B-4406-44BF-A926-BAC324BE15C1}"/>
    <cellStyle name="Comma 506 2 2" xfId="3842" xr:uid="{207FEAF0-3070-48B1-AEBA-E30F0C2C1333}"/>
    <cellStyle name="Comma 506 2 2 2" xfId="9075" xr:uid="{EBB1B308-4E98-4043-9473-40235EF1FDB6}"/>
    <cellStyle name="Comma 506 2 2 2 2" xfId="19427" xr:uid="{6013106A-3061-4988-B925-FC15248FF1F9}"/>
    <cellStyle name="Comma 506 2 2 3" xfId="14252" xr:uid="{E6761E0A-33FC-4B98-B6DF-E36592F086A4}"/>
    <cellStyle name="Comma 506 2 3" xfId="7017" xr:uid="{B9E1BB50-549F-49BC-AAC0-3FC0EFE4F22D}"/>
    <cellStyle name="Comma 506 2 3 2" xfId="17369" xr:uid="{EBC18B7D-5022-49EB-BCB7-B9FCB1038D59}"/>
    <cellStyle name="Comma 506 2 4" xfId="12194" xr:uid="{6786AD0D-D9D2-41D5-8E11-0C7103328291}"/>
    <cellStyle name="Comma 506 3" xfId="2812" xr:uid="{24A88616-74EF-4726-9A2C-63891BFEA73B}"/>
    <cellStyle name="Comma 506 3 2" xfId="8045" xr:uid="{307F4FBE-C751-4C17-BC5B-78DDFF32CE47}"/>
    <cellStyle name="Comma 506 3 2 2" xfId="18397" xr:uid="{B9B826D4-E6AA-4C80-AC3A-EEE621B9A626}"/>
    <cellStyle name="Comma 506 3 3" xfId="13222" xr:uid="{93A11FBF-3FC2-4252-B997-2D6D8D3BE16E}"/>
    <cellStyle name="Comma 506 4" xfId="4938" xr:uid="{9A36966B-DC40-4EC3-8583-50B3A982AD12}"/>
    <cellStyle name="Comma 506 4 2" xfId="10114" xr:uid="{2165F7DB-E652-4EE2-B64F-E51F04FACBFC}"/>
    <cellStyle name="Comma 506 4 2 2" xfId="20466" xr:uid="{6452CE1D-B478-40D1-8AC5-7277510D0D17}"/>
    <cellStyle name="Comma 506 4 3" xfId="15290" xr:uid="{75DFBB31-5B98-4E96-A2FE-2DFF68EB9313}"/>
    <cellStyle name="Comma 506 5" xfId="5986" xr:uid="{9E0C6B22-707F-415F-9501-1FE61EC813A2}"/>
    <cellStyle name="Comma 506 5 2" xfId="16338" xr:uid="{664A6FD2-46B2-4407-B740-DC6E74EC4644}"/>
    <cellStyle name="Comma 506 6" xfId="11164" xr:uid="{B7ED292C-9775-4F88-9A02-7F786E9AB40C}"/>
    <cellStyle name="Comma 507" xfId="747" xr:uid="{878440E3-7B51-48DE-B457-340ED654A82B}"/>
    <cellStyle name="Comma 507 2" xfId="1785" xr:uid="{275A1315-160D-48A1-AF4E-DD330DA52FF1}"/>
    <cellStyle name="Comma 507 2 2" xfId="3843" xr:uid="{4B538C47-A8CC-4570-8C69-DFDA21756550}"/>
    <cellStyle name="Comma 507 2 2 2" xfId="9076" xr:uid="{84D895C9-0014-4918-8F2D-77375D50AFBE}"/>
    <cellStyle name="Comma 507 2 2 2 2" xfId="19428" xr:uid="{2E4BD4DC-3148-4086-B513-2698FA94559B}"/>
    <cellStyle name="Comma 507 2 2 3" xfId="14253" xr:uid="{B8850423-4A1B-4922-9C59-2C04190B2A35}"/>
    <cellStyle name="Comma 507 2 3" xfId="7018" xr:uid="{C6EE1BD1-5736-4E43-87C2-0044842CC26C}"/>
    <cellStyle name="Comma 507 2 3 2" xfId="17370" xr:uid="{194B242B-38FE-4CAD-AB5A-2F54392A8444}"/>
    <cellStyle name="Comma 507 2 4" xfId="12195" xr:uid="{28A5E798-CA01-4E5C-AF6D-389342CB6144}"/>
    <cellStyle name="Comma 507 3" xfId="2813" xr:uid="{041F3D27-9F88-413F-B301-F0EA153E2812}"/>
    <cellStyle name="Comma 507 3 2" xfId="8046" xr:uid="{7F204EEE-D4C7-43B5-8659-E6F7708D7333}"/>
    <cellStyle name="Comma 507 3 2 2" xfId="18398" xr:uid="{45FC98BB-8DE1-4735-B9CD-C3C12F911A8D}"/>
    <cellStyle name="Comma 507 3 3" xfId="13223" xr:uid="{AB9CF77F-8D49-4BFB-BF25-96267F1F991A}"/>
    <cellStyle name="Comma 507 4" xfId="4939" xr:uid="{6ECCC78A-61C1-45AC-B3A1-01061C69E39E}"/>
    <cellStyle name="Comma 507 4 2" xfId="10115" xr:uid="{B5B322CA-2783-4A30-AD7A-8D942062F821}"/>
    <cellStyle name="Comma 507 4 2 2" xfId="20467" xr:uid="{93007F97-D2A4-49AC-98B1-A4C7F2B79F3A}"/>
    <cellStyle name="Comma 507 4 3" xfId="15291" xr:uid="{E6C270AF-E49A-4C95-BA8E-0B725E481857}"/>
    <cellStyle name="Comma 507 5" xfId="5987" xr:uid="{22B020D9-EBE1-4270-8A96-AC1FC5AAFCAB}"/>
    <cellStyle name="Comma 507 5 2" xfId="16339" xr:uid="{143E855A-1050-4E4F-A2E6-16FA5EA8EBD5}"/>
    <cellStyle name="Comma 507 6" xfId="11165" xr:uid="{24A2400D-762B-4AD8-BF22-42DCBCEAA4CD}"/>
    <cellStyle name="Comma 508" xfId="748" xr:uid="{9F8E1811-4812-4F17-B29F-7CACFD5B9D24}"/>
    <cellStyle name="Comma 508 2" xfId="1786" xr:uid="{41244B5D-E084-420A-8792-7C81732AE93F}"/>
    <cellStyle name="Comma 508 2 2" xfId="3844" xr:uid="{D2520740-35B2-4074-99C2-60ABBA38CF90}"/>
    <cellStyle name="Comma 508 2 2 2" xfId="9077" xr:uid="{CAD5D8F4-BD72-43DE-A351-A18DE08A38D8}"/>
    <cellStyle name="Comma 508 2 2 2 2" xfId="19429" xr:uid="{35874BDC-B2D2-452A-A217-399627C5F27E}"/>
    <cellStyle name="Comma 508 2 2 3" xfId="14254" xr:uid="{254EED69-0ED4-4073-AACC-EB46F027310D}"/>
    <cellStyle name="Comma 508 2 3" xfId="7019" xr:uid="{2E631215-4B7D-4B3F-A2DD-132741C1618F}"/>
    <cellStyle name="Comma 508 2 3 2" xfId="17371" xr:uid="{5DA333FE-426E-4882-ADCB-82C6B758FA63}"/>
    <cellStyle name="Comma 508 2 4" xfId="12196" xr:uid="{E18C3A31-478B-4128-B064-B0791820C26D}"/>
    <cellStyle name="Comma 508 3" xfId="2814" xr:uid="{4B81AD07-8A41-42BF-BDA8-16EFD59376B2}"/>
    <cellStyle name="Comma 508 3 2" xfId="8047" xr:uid="{29C2566F-9FB5-4E6E-83D4-B5ADE22CB89C}"/>
    <cellStyle name="Comma 508 3 2 2" xfId="18399" xr:uid="{B192B3EB-4B85-4176-9AF5-3E449FB1B5B3}"/>
    <cellStyle name="Comma 508 3 3" xfId="13224" xr:uid="{69D8C406-C4CC-4161-89EC-045260A0A221}"/>
    <cellStyle name="Comma 508 4" xfId="4940" xr:uid="{A770585A-129F-449A-B577-D50B1AA99636}"/>
    <cellStyle name="Comma 508 4 2" xfId="10116" xr:uid="{CB1DBF95-99EA-4EAC-B9AA-1C9EE237DEEC}"/>
    <cellStyle name="Comma 508 4 2 2" xfId="20468" xr:uid="{6EA8DB87-0549-4205-9C47-F12BAF5149BB}"/>
    <cellStyle name="Comma 508 4 3" xfId="15292" xr:uid="{8600E095-1431-4BB7-A226-47AE59D1E64A}"/>
    <cellStyle name="Comma 508 5" xfId="5988" xr:uid="{BA80826F-6985-4015-9C49-647BE2E5607B}"/>
    <cellStyle name="Comma 508 5 2" xfId="16340" xr:uid="{6B78C924-FC3E-4A4A-B0C3-B850AD5CA64C}"/>
    <cellStyle name="Comma 508 6" xfId="11166" xr:uid="{2232FA8C-F0D3-4CD2-AEDA-BBB33117DA21}"/>
    <cellStyle name="Comma 509" xfId="749" xr:uid="{0C5C6D17-9DA8-4AF2-BC57-A20683E8E62E}"/>
    <cellStyle name="Comma 509 2" xfId="1787" xr:uid="{7DF0A3BF-762B-48A1-B87B-E5AE8A96C4DB}"/>
    <cellStyle name="Comma 509 2 2" xfId="3845" xr:uid="{E54056E7-7987-466C-B138-ECC41996BC15}"/>
    <cellStyle name="Comma 509 2 2 2" xfId="9078" xr:uid="{4CAF6898-E741-4B9F-80A6-C7F50739249F}"/>
    <cellStyle name="Comma 509 2 2 2 2" xfId="19430" xr:uid="{514D8F8B-815D-400B-8298-ACB7ECE826C8}"/>
    <cellStyle name="Comma 509 2 2 3" xfId="14255" xr:uid="{FAEF9074-BB61-4FA7-8FF1-A77EA3E305EC}"/>
    <cellStyle name="Comma 509 2 3" xfId="7020" xr:uid="{2BD3E0DC-A103-4381-8BB7-95EBCA81DD25}"/>
    <cellStyle name="Comma 509 2 3 2" xfId="17372" xr:uid="{689414F4-F22B-4FA2-B349-1A6D80655C3B}"/>
    <cellStyle name="Comma 509 2 4" xfId="12197" xr:uid="{A10AFC96-85A9-4644-9F01-7056D6B4667C}"/>
    <cellStyle name="Comma 509 3" xfId="2815" xr:uid="{145EE7E2-D98A-4B00-A3BB-8639AF552999}"/>
    <cellStyle name="Comma 509 3 2" xfId="8048" xr:uid="{993FF9B7-7D20-481C-A47E-DD20B57B7B29}"/>
    <cellStyle name="Comma 509 3 2 2" xfId="18400" xr:uid="{D485250C-1160-4938-A2C8-65A28D322DD5}"/>
    <cellStyle name="Comma 509 3 3" xfId="13225" xr:uid="{0782522A-923D-4DAF-9436-0C44AE43227F}"/>
    <cellStyle name="Comma 509 4" xfId="4941" xr:uid="{26C02DF0-47E4-4C4E-AA55-7548015401F0}"/>
    <cellStyle name="Comma 509 4 2" xfId="10117" xr:uid="{00E0379C-AAD8-49EA-B175-0F3F55782E3F}"/>
    <cellStyle name="Comma 509 4 2 2" xfId="20469" xr:uid="{D2285A39-EA62-43F7-AC84-93489B730DAE}"/>
    <cellStyle name="Comma 509 4 3" xfId="15293" xr:uid="{AD67DF9C-A3E5-41B8-899D-49207AB7A794}"/>
    <cellStyle name="Comma 509 5" xfId="5989" xr:uid="{4D388443-7C4E-4873-BADD-F4A50FB9F449}"/>
    <cellStyle name="Comma 509 5 2" xfId="16341" xr:uid="{E3B95627-B067-4344-911F-436709279965}"/>
    <cellStyle name="Comma 509 6" xfId="11167" xr:uid="{2190C090-721C-43D0-A74B-B47F8F3C994C}"/>
    <cellStyle name="Comma 51" xfId="251" xr:uid="{5DDDA969-86CB-459B-ADFB-F8A400988B33}"/>
    <cellStyle name="Comma 51 2" xfId="1329" xr:uid="{0204CF53-3A27-4854-A190-DE0EB4D5A9B5}"/>
    <cellStyle name="Comma 51 2 2" xfId="3387" xr:uid="{5E4CBF04-18E5-4211-8A81-BBBE51E4F3C7}"/>
    <cellStyle name="Comma 51 2 2 2" xfId="8620" xr:uid="{7427C816-C431-4679-9C96-B7EEBDF5761E}"/>
    <cellStyle name="Comma 51 2 2 2 2" xfId="18972" xr:uid="{208E1645-3C59-4E15-B8E4-C941F9ABEE1B}"/>
    <cellStyle name="Comma 51 2 2 3" xfId="13797" xr:uid="{9C6672D2-FADE-4CD8-ADD5-07CB209D8937}"/>
    <cellStyle name="Comma 51 2 3" xfId="6562" xr:uid="{0A51F1A6-887C-47B5-9CB2-572E6973B39C}"/>
    <cellStyle name="Comma 51 2 3 2" xfId="16914" xr:uid="{0442D654-4BBD-4D52-BBB8-5FE1CDB69DCA}"/>
    <cellStyle name="Comma 51 2 4" xfId="11739" xr:uid="{C9E08531-7E57-4333-B416-70351D26F4AA}"/>
    <cellStyle name="Comma 51 3" xfId="2357" xr:uid="{D704B7EB-AC55-4C4B-AC52-CA62DEF4F16C}"/>
    <cellStyle name="Comma 51 3 2" xfId="7590" xr:uid="{EDC522F5-470E-4361-A109-515C017D3FEE}"/>
    <cellStyle name="Comma 51 3 2 2" xfId="17942" xr:uid="{82A2DD76-CCEB-4EC7-BF8E-722D95F29C23}"/>
    <cellStyle name="Comma 51 3 3" xfId="12767" xr:uid="{26813F88-6B3C-4331-BFCF-37A6567A7793}"/>
    <cellStyle name="Comma 51 4" xfId="4483" xr:uid="{8E003F91-714F-44F6-B46F-8B60EA431A90}"/>
    <cellStyle name="Comma 51 4 2" xfId="9659" xr:uid="{6B7B5BB7-7CDA-4E97-9CBA-BA23DE8F3502}"/>
    <cellStyle name="Comma 51 4 2 2" xfId="20011" xr:uid="{75106DF2-568E-4BAF-A751-33921EC5693E}"/>
    <cellStyle name="Comma 51 4 3" xfId="14835" xr:uid="{B03D95B0-3311-4906-9778-C7CC007A9600}"/>
    <cellStyle name="Comma 51 5" xfId="5531" xr:uid="{910EFD9E-45CC-4A4F-8D54-26F466C0CBEB}"/>
    <cellStyle name="Comma 51 5 2" xfId="15883" xr:uid="{22F490EE-0BC7-4EB0-81B4-13CA8C91D0B7}"/>
    <cellStyle name="Comma 51 6" xfId="10709" xr:uid="{3FDB7FB9-2CA4-4810-B724-9DD6F47844F0}"/>
    <cellStyle name="Comma 510" xfId="750" xr:uid="{035D99AD-3277-4552-BBC4-93B62A27DDA3}"/>
    <cellStyle name="Comma 510 2" xfId="1788" xr:uid="{CA5D8655-7A91-41D2-BCF8-69339E51D9E3}"/>
    <cellStyle name="Comma 510 2 2" xfId="3846" xr:uid="{CA666D2F-ADF0-4DC8-85BB-4FB67E337743}"/>
    <cellStyle name="Comma 510 2 2 2" xfId="9079" xr:uid="{D123E03B-497B-4115-80BF-F316134CBBB2}"/>
    <cellStyle name="Comma 510 2 2 2 2" xfId="19431" xr:uid="{3AFC2BF3-A213-4603-A6A7-8DB1E4FF7ACB}"/>
    <cellStyle name="Comma 510 2 2 3" xfId="14256" xr:uid="{F7236D5D-EBED-4246-A115-099F7221E97B}"/>
    <cellStyle name="Comma 510 2 3" xfId="7021" xr:uid="{08BD8A9E-182D-4FCA-90EF-899C1D1A1123}"/>
    <cellStyle name="Comma 510 2 3 2" xfId="17373" xr:uid="{17EB36C3-C289-4C95-87F2-54A283B1FE68}"/>
    <cellStyle name="Comma 510 2 4" xfId="12198" xr:uid="{F2EDFAE1-388C-4295-96F5-C708BFCAD352}"/>
    <cellStyle name="Comma 510 3" xfId="2816" xr:uid="{B24D404A-5050-4F6A-AB88-0746850F655E}"/>
    <cellStyle name="Comma 510 3 2" xfId="8049" xr:uid="{31688219-255F-4953-8805-9970050D6AEF}"/>
    <cellStyle name="Comma 510 3 2 2" xfId="18401" xr:uid="{5A586FDD-B4CE-41CE-BA6C-1C35F0141C01}"/>
    <cellStyle name="Comma 510 3 3" xfId="13226" xr:uid="{D08FC5DC-EA52-4075-A53D-AC5AF30952F0}"/>
    <cellStyle name="Comma 510 4" xfId="4942" xr:uid="{7049384C-85FA-460F-921A-C2569CE2865B}"/>
    <cellStyle name="Comma 510 4 2" xfId="10118" xr:uid="{CD020C87-5414-4926-81FC-4FBD2C4B45C0}"/>
    <cellStyle name="Comma 510 4 2 2" xfId="20470" xr:uid="{7D1F03C5-CC17-4525-843B-8F2A069C30A9}"/>
    <cellStyle name="Comma 510 4 3" xfId="15294" xr:uid="{EF95091B-7152-44D8-BAB4-338786A8DED0}"/>
    <cellStyle name="Comma 510 5" xfId="5990" xr:uid="{FCEC684E-9188-4928-9678-5B5A4BA8D627}"/>
    <cellStyle name="Comma 510 5 2" xfId="16342" xr:uid="{C07D8730-1523-4B42-B938-3827E256902B}"/>
    <cellStyle name="Comma 510 6" xfId="11168" xr:uid="{9ED680F6-5F50-4F14-9E41-F9BE9A42EA6B}"/>
    <cellStyle name="Comma 511" xfId="751" xr:uid="{CCA491C1-2CF4-432F-B322-6F19867A1711}"/>
    <cellStyle name="Comma 511 2" xfId="1789" xr:uid="{BDA8BE1E-70BA-4E1A-879A-E4DF790C25A1}"/>
    <cellStyle name="Comma 511 2 2" xfId="3847" xr:uid="{039B3E56-3CCE-40F5-8E2C-E97F86CD0AF4}"/>
    <cellStyle name="Comma 511 2 2 2" xfId="9080" xr:uid="{973E18D0-24F9-423C-84E1-CCE6D47543A0}"/>
    <cellStyle name="Comma 511 2 2 2 2" xfId="19432" xr:uid="{02B423A2-23FC-473F-8D5A-DFFB32CE4D08}"/>
    <cellStyle name="Comma 511 2 2 3" xfId="14257" xr:uid="{044C475D-3400-40BB-8FE8-A528AA78629B}"/>
    <cellStyle name="Comma 511 2 3" xfId="7022" xr:uid="{9D54BEF3-CA5F-4435-B1C7-DCEDF9837BEE}"/>
    <cellStyle name="Comma 511 2 3 2" xfId="17374" xr:uid="{58E26DBD-E757-4990-A63B-C965C53D762D}"/>
    <cellStyle name="Comma 511 2 4" xfId="12199" xr:uid="{408E376F-FC0F-4661-8580-32C829929E34}"/>
    <cellStyle name="Comma 511 3" xfId="2817" xr:uid="{4A025FE0-6711-42CE-B49A-AD692918BA5D}"/>
    <cellStyle name="Comma 511 3 2" xfId="8050" xr:uid="{8092AF42-527E-4FEB-A7AC-87A6AA8F6487}"/>
    <cellStyle name="Comma 511 3 2 2" xfId="18402" xr:uid="{3F04AAC7-D72C-4A8F-A3EF-B598F7C726B2}"/>
    <cellStyle name="Comma 511 3 3" xfId="13227" xr:uid="{1022AF32-FDFA-4A0C-9A20-ED4532B48BCF}"/>
    <cellStyle name="Comma 511 4" xfId="4943" xr:uid="{6882E044-7F21-46FB-8C48-AF57C054A5B5}"/>
    <cellStyle name="Comma 511 4 2" xfId="10119" xr:uid="{FA992638-6C1B-483C-B824-AAA15C569F88}"/>
    <cellStyle name="Comma 511 4 2 2" xfId="20471" xr:uid="{DAEDC9CB-84AE-4D45-A04E-19A08439C5A3}"/>
    <cellStyle name="Comma 511 4 3" xfId="15295" xr:uid="{1AA12773-78FF-46D0-8D45-DFF39414D5EC}"/>
    <cellStyle name="Comma 511 5" xfId="5991" xr:uid="{6BB62572-D1F1-41AA-8119-9EA2660EC3CB}"/>
    <cellStyle name="Comma 511 5 2" xfId="16343" xr:uid="{1DE976E5-FAE1-4F47-9F3A-9D45520BF5F4}"/>
    <cellStyle name="Comma 511 6" xfId="11169" xr:uid="{56DC6E5C-F701-40E6-B0D9-8B70817FE63F}"/>
    <cellStyle name="Comma 512" xfId="752" xr:uid="{96EE69AC-D248-41B5-837E-2AE9129759FD}"/>
    <cellStyle name="Comma 512 2" xfId="1790" xr:uid="{98147C59-718E-4618-8F10-D914B35E1792}"/>
    <cellStyle name="Comma 512 2 2" xfId="3848" xr:uid="{56470574-5636-4C02-99D9-1FC1FDB550B1}"/>
    <cellStyle name="Comma 512 2 2 2" xfId="9081" xr:uid="{372B8ABB-5F03-4D72-A922-904E86C01313}"/>
    <cellStyle name="Comma 512 2 2 2 2" xfId="19433" xr:uid="{132CBEB7-CAD5-476A-BE48-FBE5FB5A10C4}"/>
    <cellStyle name="Comma 512 2 2 3" xfId="14258" xr:uid="{3842DD0F-C81D-47F1-AE64-1301C0856752}"/>
    <cellStyle name="Comma 512 2 3" xfId="7023" xr:uid="{D1BD5968-B9A3-4012-924C-4A476B8F6525}"/>
    <cellStyle name="Comma 512 2 3 2" xfId="17375" xr:uid="{988E8C13-8836-495D-A95D-DCEE031EEFB7}"/>
    <cellStyle name="Comma 512 2 4" xfId="12200" xr:uid="{0CF3E272-CC49-4CBE-BFCB-2205C4AE69DE}"/>
    <cellStyle name="Comma 512 3" xfId="2818" xr:uid="{D000B86C-AF91-465B-B628-293EEB96A901}"/>
    <cellStyle name="Comma 512 3 2" xfId="8051" xr:uid="{7100BDBB-203D-4D2F-BDF6-69FB82AC377A}"/>
    <cellStyle name="Comma 512 3 2 2" xfId="18403" xr:uid="{C5EFEFF4-0668-46AC-B0D5-0968A0A8C365}"/>
    <cellStyle name="Comma 512 3 3" xfId="13228" xr:uid="{8F3B60A2-3ABC-463E-BCE4-21F82986F80A}"/>
    <cellStyle name="Comma 512 4" xfId="4944" xr:uid="{2AC6B688-FA82-404F-BD9F-C0B987F899E5}"/>
    <cellStyle name="Comma 512 4 2" xfId="10120" xr:uid="{78AE0B7A-408C-479C-B500-CAB6555C4C73}"/>
    <cellStyle name="Comma 512 4 2 2" xfId="20472" xr:uid="{C9E71DDF-C6E1-4784-B5AD-42C49C290943}"/>
    <cellStyle name="Comma 512 4 3" xfId="15296" xr:uid="{D9E2F625-08E4-4311-89C6-11B051D61277}"/>
    <cellStyle name="Comma 512 5" xfId="5992" xr:uid="{6B481680-E626-4444-B7CF-910E644A140D}"/>
    <cellStyle name="Comma 512 5 2" xfId="16344" xr:uid="{20D1F374-2717-474A-AB2F-9E013501741E}"/>
    <cellStyle name="Comma 512 6" xfId="11170" xr:uid="{885C2CA0-3F6F-461D-9789-7652B9F2F1DB}"/>
    <cellStyle name="Comma 513" xfId="753" xr:uid="{F87332C0-34B9-4C84-9A60-0877CBAF0A58}"/>
    <cellStyle name="Comma 513 2" xfId="1791" xr:uid="{FD2F2E72-DBD6-4D96-8729-774097EEA913}"/>
    <cellStyle name="Comma 513 2 2" xfId="3849" xr:uid="{ED49922F-FF76-4768-96D2-E5AD3B23E5D2}"/>
    <cellStyle name="Comma 513 2 2 2" xfId="9082" xr:uid="{857F2B0B-46E3-418E-8921-251FBBB6CC16}"/>
    <cellStyle name="Comma 513 2 2 2 2" xfId="19434" xr:uid="{9D81B990-DD59-4D3F-BD88-ED65284ADD46}"/>
    <cellStyle name="Comma 513 2 2 3" xfId="14259" xr:uid="{E252207C-8773-45CB-B8C2-DB93AA99DEC1}"/>
    <cellStyle name="Comma 513 2 3" xfId="7024" xr:uid="{C4FAA732-10A7-4B4C-AA82-599D63571BC3}"/>
    <cellStyle name="Comma 513 2 3 2" xfId="17376" xr:uid="{0F41377B-1BA2-4FE0-A066-48ADEE318C8B}"/>
    <cellStyle name="Comma 513 2 4" xfId="12201" xr:uid="{E8DDC1BB-E0A5-4272-B3AA-3F8766D0257E}"/>
    <cellStyle name="Comma 513 3" xfId="2819" xr:uid="{4BEB53FD-C473-491F-BEE6-1311DEA9D934}"/>
    <cellStyle name="Comma 513 3 2" xfId="8052" xr:uid="{DFC43769-014E-45DA-96B9-AC0C3029C956}"/>
    <cellStyle name="Comma 513 3 2 2" xfId="18404" xr:uid="{AEB7A731-B9B5-4C09-AF1A-026C8D31E58E}"/>
    <cellStyle name="Comma 513 3 3" xfId="13229" xr:uid="{178D4889-F9E4-4587-9DC8-E3748EEC4128}"/>
    <cellStyle name="Comma 513 4" xfId="4945" xr:uid="{C3B9795D-F116-481A-9CA1-8CCE782CA4AD}"/>
    <cellStyle name="Comma 513 4 2" xfId="10121" xr:uid="{2ED6E758-F34B-402A-BF73-D0EDFDD98DEB}"/>
    <cellStyle name="Comma 513 4 2 2" xfId="20473" xr:uid="{A9C80D67-FC9F-428A-8AEB-2DD2E6018FF7}"/>
    <cellStyle name="Comma 513 4 3" xfId="15297" xr:uid="{CEF81CB5-03A3-4350-9963-45F6D087C9A0}"/>
    <cellStyle name="Comma 513 5" xfId="5993" xr:uid="{0B626B97-99F5-47D0-9A6A-E51B481E0F71}"/>
    <cellStyle name="Comma 513 5 2" xfId="16345" xr:uid="{1D5BF6B0-59EB-46B6-AF29-8695142771D3}"/>
    <cellStyle name="Comma 513 6" xfId="11171" xr:uid="{0C5A24E7-89D5-430F-8578-C71B061FCC8D}"/>
    <cellStyle name="Comma 514" xfId="754" xr:uid="{1C4EFDE5-CC62-4B90-9B14-B95C328FE157}"/>
    <cellStyle name="Comma 514 2" xfId="1792" xr:uid="{976950AC-2FD0-4319-8FE0-CEBEA979A622}"/>
    <cellStyle name="Comma 514 2 2" xfId="3850" xr:uid="{46C75B2D-C3DF-4BCA-B8EC-31B9FBEEEC36}"/>
    <cellStyle name="Comma 514 2 2 2" xfId="9083" xr:uid="{C51D1E9D-F84D-4B56-9271-E7DFF2E74F98}"/>
    <cellStyle name="Comma 514 2 2 2 2" xfId="19435" xr:uid="{5AD460D0-0035-4EE8-8CCE-2839DE3F5209}"/>
    <cellStyle name="Comma 514 2 2 3" xfId="14260" xr:uid="{B9B3F762-14BC-41AC-9396-8F9B91293E18}"/>
    <cellStyle name="Comma 514 2 3" xfId="7025" xr:uid="{8208BC3A-94BC-4E15-A72D-BE50FCF59395}"/>
    <cellStyle name="Comma 514 2 3 2" xfId="17377" xr:uid="{3B5989A4-2D54-4BF2-829F-CB09C7F81B25}"/>
    <cellStyle name="Comma 514 2 4" xfId="12202" xr:uid="{6613D102-F0DC-45D0-9A58-33419064DD26}"/>
    <cellStyle name="Comma 514 3" xfId="2820" xr:uid="{B1EDD8ED-D8A9-484E-9546-3383B5E5C1B6}"/>
    <cellStyle name="Comma 514 3 2" xfId="8053" xr:uid="{2D1B4FCF-9DA9-4919-BE2D-9EFB53BDEE20}"/>
    <cellStyle name="Comma 514 3 2 2" xfId="18405" xr:uid="{DE0E87DA-8D90-4F56-AC49-F8AB5D99B16A}"/>
    <cellStyle name="Comma 514 3 3" xfId="13230" xr:uid="{E79E9431-1896-4B82-8B06-5BA15FF0D930}"/>
    <cellStyle name="Comma 514 4" xfId="4946" xr:uid="{C47E258E-AD4E-4E87-93EE-3EC0429E465C}"/>
    <cellStyle name="Comma 514 4 2" xfId="10122" xr:uid="{F79A40C2-19FD-4950-AB3E-70A8DA52EDD7}"/>
    <cellStyle name="Comma 514 4 2 2" xfId="20474" xr:uid="{0824944F-F3BA-48DD-8B01-6FD7F1FDD904}"/>
    <cellStyle name="Comma 514 4 3" xfId="15298" xr:uid="{21C8183F-5EF7-479E-B269-52329D20E9C9}"/>
    <cellStyle name="Comma 514 5" xfId="5994" xr:uid="{AB73A79F-50A4-4678-B9A9-01B013FB86F9}"/>
    <cellStyle name="Comma 514 5 2" xfId="16346" xr:uid="{71A07DF9-5064-43F7-8161-A5F2D0FB3CFC}"/>
    <cellStyle name="Comma 514 6" xfId="11172" xr:uid="{65334672-70DF-4107-BC34-14620F0D2FD1}"/>
    <cellStyle name="Comma 515" xfId="755" xr:uid="{32B11B71-0EF5-49D6-94C5-4E23D1039278}"/>
    <cellStyle name="Comma 515 2" xfId="1793" xr:uid="{E7849F8F-8546-478C-A478-8F1F97D9FE73}"/>
    <cellStyle name="Comma 515 2 2" xfId="3851" xr:uid="{74C72F95-88A4-43AA-88B2-3DA662DCEAC5}"/>
    <cellStyle name="Comma 515 2 2 2" xfId="9084" xr:uid="{22C6BACF-CB82-4884-B886-43011CCBAD13}"/>
    <cellStyle name="Comma 515 2 2 2 2" xfId="19436" xr:uid="{1FD63910-EEE5-4861-9413-CCA1E5C162ED}"/>
    <cellStyle name="Comma 515 2 2 3" xfId="14261" xr:uid="{D36FDF4D-E810-4F7A-AEFA-98C364DA5559}"/>
    <cellStyle name="Comma 515 2 3" xfId="7026" xr:uid="{80146AE9-7381-4663-A68D-E0ED838B1626}"/>
    <cellStyle name="Comma 515 2 3 2" xfId="17378" xr:uid="{B13C1B0F-A675-492A-826E-BB848008951B}"/>
    <cellStyle name="Comma 515 2 4" xfId="12203" xr:uid="{0439EB47-4D35-4C27-B22A-9EA17DBAFAC4}"/>
    <cellStyle name="Comma 515 3" xfId="2821" xr:uid="{DE213A00-C9FD-42FB-AF2A-9953752BD62B}"/>
    <cellStyle name="Comma 515 3 2" xfId="8054" xr:uid="{4637F562-3984-4C93-9469-CC3A272D2960}"/>
    <cellStyle name="Comma 515 3 2 2" xfId="18406" xr:uid="{6F3189F2-C75E-4379-BCE2-2B318FB05C31}"/>
    <cellStyle name="Comma 515 3 3" xfId="13231" xr:uid="{5C75A892-1A43-4691-A871-B384D8C839E2}"/>
    <cellStyle name="Comma 515 4" xfId="4947" xr:uid="{6D7D8CE5-BD76-4B2F-ADDD-0A89CC4D4412}"/>
    <cellStyle name="Comma 515 4 2" xfId="10123" xr:uid="{32BE2052-F581-497C-B05D-88CDE5E8207F}"/>
    <cellStyle name="Comma 515 4 2 2" xfId="20475" xr:uid="{E3DADEA8-FF9E-49C5-948D-ED4CDCA18D36}"/>
    <cellStyle name="Comma 515 4 3" xfId="15299" xr:uid="{C5B96A30-8A41-4620-8861-64AB956C04B0}"/>
    <cellStyle name="Comma 515 5" xfId="5995" xr:uid="{D7D4298F-BE6A-47F0-A478-4D89C05691DF}"/>
    <cellStyle name="Comma 515 5 2" xfId="16347" xr:uid="{7F2D28EF-89B1-4F89-918E-86DEC79414E4}"/>
    <cellStyle name="Comma 515 6" xfId="11173" xr:uid="{815D64CB-2956-4E0F-87B8-1DDBDE1BC3F2}"/>
    <cellStyle name="Comma 516" xfId="756" xr:uid="{1FEFDC76-7273-4FA7-9271-A8D074778595}"/>
    <cellStyle name="Comma 516 2" xfId="1794" xr:uid="{91037A2B-ED5A-4929-9E66-D55161EA91CF}"/>
    <cellStyle name="Comma 516 2 2" xfId="3852" xr:uid="{BAADFE6B-FD61-4CD4-9BFE-AF0E0136E58A}"/>
    <cellStyle name="Comma 516 2 2 2" xfId="9085" xr:uid="{534E4320-E72B-449D-B70C-2B4A77D61AD0}"/>
    <cellStyle name="Comma 516 2 2 2 2" xfId="19437" xr:uid="{606F29AF-07DA-4437-B200-957BCA967E3C}"/>
    <cellStyle name="Comma 516 2 2 3" xfId="14262" xr:uid="{97385B42-064B-47D2-85E1-B47F15A05870}"/>
    <cellStyle name="Comma 516 2 3" xfId="7027" xr:uid="{F1669ECA-C338-4A54-8FCD-4ADBFB7433AB}"/>
    <cellStyle name="Comma 516 2 3 2" xfId="17379" xr:uid="{E6B04984-F2CC-4EAF-829D-9EBCB8FD9425}"/>
    <cellStyle name="Comma 516 2 4" xfId="12204" xr:uid="{13E65DF4-AF4A-4EE5-AEE7-1DE0D549A789}"/>
    <cellStyle name="Comma 516 3" xfId="2822" xr:uid="{C0DA297F-8B62-44AE-88CE-4E3128FBEAC6}"/>
    <cellStyle name="Comma 516 3 2" xfId="8055" xr:uid="{4581091C-F0BB-4B7D-AE76-4BDBAD7E1825}"/>
    <cellStyle name="Comma 516 3 2 2" xfId="18407" xr:uid="{CDB7CD7D-17E2-402B-8F2A-E2055756B23E}"/>
    <cellStyle name="Comma 516 3 3" xfId="13232" xr:uid="{862D783E-7300-48B2-A53A-CD5A42E0C27E}"/>
    <cellStyle name="Comma 516 4" xfId="4948" xr:uid="{02A572E6-9474-42A6-8629-05BBCF64B711}"/>
    <cellStyle name="Comma 516 4 2" xfId="10124" xr:uid="{A5F1B112-77AD-4129-8625-5C69367D0661}"/>
    <cellStyle name="Comma 516 4 2 2" xfId="20476" xr:uid="{62DDDA8B-8029-42DF-A119-15ECE7BC2759}"/>
    <cellStyle name="Comma 516 4 3" xfId="15300" xr:uid="{6229D733-83E2-4973-82B7-25F23E694C14}"/>
    <cellStyle name="Comma 516 5" xfId="5996" xr:uid="{5A82A775-BB42-41C4-8F0E-29E6E0897D11}"/>
    <cellStyle name="Comma 516 5 2" xfId="16348" xr:uid="{BF11767F-B89E-4641-93BE-9CF7B58290FB}"/>
    <cellStyle name="Comma 516 6" xfId="11174" xr:uid="{295F3063-7132-454F-9CEB-91E715ED851E}"/>
    <cellStyle name="Comma 517" xfId="757" xr:uid="{6AA0F073-7668-4905-9879-9085AB0A25F9}"/>
    <cellStyle name="Comma 517 2" xfId="1795" xr:uid="{76AB8964-844D-436E-B46F-47FE83B6980C}"/>
    <cellStyle name="Comma 517 2 2" xfId="3853" xr:uid="{73E27EBD-1863-4B9A-B388-E5BFC246AA35}"/>
    <cellStyle name="Comma 517 2 2 2" xfId="9086" xr:uid="{ED9B1060-3B7A-4DCD-A5E6-07D1FD25A4F2}"/>
    <cellStyle name="Comma 517 2 2 2 2" xfId="19438" xr:uid="{15E714BE-667D-4C6A-8441-262C192CD201}"/>
    <cellStyle name="Comma 517 2 2 3" xfId="14263" xr:uid="{C8C38467-780A-430E-9A65-16F7CC52ACA9}"/>
    <cellStyle name="Comma 517 2 3" xfId="7028" xr:uid="{196A2EB7-2732-4E8A-AF9B-E407A63AC28F}"/>
    <cellStyle name="Comma 517 2 3 2" xfId="17380" xr:uid="{DFF6CFD3-3F54-426A-892F-7849C7D20ABA}"/>
    <cellStyle name="Comma 517 2 4" xfId="12205" xr:uid="{2E276F65-4325-47CD-BD75-805FB4EA5B42}"/>
    <cellStyle name="Comma 517 3" xfId="2823" xr:uid="{211EAD09-7CBC-4AD2-BEF3-20BF5C2E4F2F}"/>
    <cellStyle name="Comma 517 3 2" xfId="8056" xr:uid="{DEB1AA28-5D9E-4285-B2EE-D42A80CF64BE}"/>
    <cellStyle name="Comma 517 3 2 2" xfId="18408" xr:uid="{384585D3-8EEC-48E1-8365-721E5C9C2CAB}"/>
    <cellStyle name="Comma 517 3 3" xfId="13233" xr:uid="{75FA2320-8610-4216-9500-52C1F653967D}"/>
    <cellStyle name="Comma 517 4" xfId="4949" xr:uid="{7E422CA4-8D43-4876-AF09-2E4B1D1AEB5D}"/>
    <cellStyle name="Comma 517 4 2" xfId="10125" xr:uid="{03949709-C714-43AF-82A8-A120C8CE92A7}"/>
    <cellStyle name="Comma 517 4 2 2" xfId="20477" xr:uid="{AB1CF4E7-3DFB-422A-ACB1-B281FFE2A577}"/>
    <cellStyle name="Comma 517 4 3" xfId="15301" xr:uid="{664AFBEA-EB76-4776-8BFE-9E2A7E849EA2}"/>
    <cellStyle name="Comma 517 5" xfId="5997" xr:uid="{59D00138-BFC6-47BC-A55A-8C77034F40E1}"/>
    <cellStyle name="Comma 517 5 2" xfId="16349" xr:uid="{B8D90E1C-866A-4043-96B5-2E94D903C70D}"/>
    <cellStyle name="Comma 517 6" xfId="11175" xr:uid="{064B9352-1B05-4AF2-B20A-6D4EB348DC2F}"/>
    <cellStyle name="Comma 518" xfId="758" xr:uid="{89D74325-176F-483D-8796-770B7705329F}"/>
    <cellStyle name="Comma 518 2" xfId="1796" xr:uid="{A77F90E7-34BD-40C8-A821-92EC679F7016}"/>
    <cellStyle name="Comma 518 2 2" xfId="3854" xr:uid="{ED4181E7-AD26-479C-8613-9DA79B5325F9}"/>
    <cellStyle name="Comma 518 2 2 2" xfId="9087" xr:uid="{D0E99AD6-FCA1-4824-93F1-BEC4136E4F6D}"/>
    <cellStyle name="Comma 518 2 2 2 2" xfId="19439" xr:uid="{D4A24FCE-5B29-422A-94A2-443FB030F8B0}"/>
    <cellStyle name="Comma 518 2 2 3" xfId="14264" xr:uid="{D5556F3C-91FC-469C-B04C-F637FC5739C2}"/>
    <cellStyle name="Comma 518 2 3" xfId="7029" xr:uid="{4B600DC1-4A73-4EC0-B2A9-DB6B70BEE0B9}"/>
    <cellStyle name="Comma 518 2 3 2" xfId="17381" xr:uid="{F3A38E77-C483-4A3A-AC76-D0A8E3DF0E52}"/>
    <cellStyle name="Comma 518 2 4" xfId="12206" xr:uid="{EED8FF70-4351-4DD5-A821-C202F45CCB13}"/>
    <cellStyle name="Comma 518 3" xfId="2824" xr:uid="{AF4BBBAC-E702-4CF3-8141-B8C18659F4B8}"/>
    <cellStyle name="Comma 518 3 2" xfId="8057" xr:uid="{D7F0374E-9339-4CFC-9FA4-9B2AA1500358}"/>
    <cellStyle name="Comma 518 3 2 2" xfId="18409" xr:uid="{7F415504-7149-4017-A4EC-0C1C44F06811}"/>
    <cellStyle name="Comma 518 3 3" xfId="13234" xr:uid="{778304DD-1A6E-4D15-8C85-928273F12456}"/>
    <cellStyle name="Comma 518 4" xfId="4950" xr:uid="{56FFBFCD-D851-427D-A1A6-9FE8D1A3CF41}"/>
    <cellStyle name="Comma 518 4 2" xfId="10126" xr:uid="{4516B796-EF87-4C48-8CEF-3D3EF27FAA7F}"/>
    <cellStyle name="Comma 518 4 2 2" xfId="20478" xr:uid="{A3F45849-D4F0-40D0-A71C-10D1ED6F262D}"/>
    <cellStyle name="Comma 518 4 3" xfId="15302" xr:uid="{C149C4F6-D9BE-48F4-AD13-61EA6A35EC7E}"/>
    <cellStyle name="Comma 518 5" xfId="5998" xr:uid="{163959A5-7A83-47D5-A536-4F85734992D9}"/>
    <cellStyle name="Comma 518 5 2" xfId="16350" xr:uid="{576A9759-F946-484E-A907-39D048A9E273}"/>
    <cellStyle name="Comma 518 6" xfId="11176" xr:uid="{05EC4374-0E0D-42F5-99B1-32C94A840681}"/>
    <cellStyle name="Comma 519" xfId="759" xr:uid="{C172A9FF-0FDB-46E2-8C8E-6AE8B7BEF351}"/>
    <cellStyle name="Comma 519 2" xfId="1797" xr:uid="{3FFF86FB-7C8B-4E89-B8FC-E8C5CDB500F1}"/>
    <cellStyle name="Comma 519 2 2" xfId="3855" xr:uid="{80A09E9B-EA1F-45B2-99D8-32E3767E62DA}"/>
    <cellStyle name="Comma 519 2 2 2" xfId="9088" xr:uid="{16FC3ECA-97C7-46F5-A241-4FF4596AFAEB}"/>
    <cellStyle name="Comma 519 2 2 2 2" xfId="19440" xr:uid="{4E3674AB-E5E3-4F4E-9A3A-407D64258548}"/>
    <cellStyle name="Comma 519 2 2 3" xfId="14265" xr:uid="{D5A53673-2A3B-4460-B8AC-6EC8771277A6}"/>
    <cellStyle name="Comma 519 2 3" xfId="7030" xr:uid="{EA60D474-BBDA-49EE-8E26-C8A3642DD1F8}"/>
    <cellStyle name="Comma 519 2 3 2" xfId="17382" xr:uid="{D3728EDD-B56C-4314-870C-CB0465F5E8A0}"/>
    <cellStyle name="Comma 519 2 4" xfId="12207" xr:uid="{EA02296D-EDA4-4C77-8D2B-CDF562C54132}"/>
    <cellStyle name="Comma 519 3" xfId="2825" xr:uid="{C85445AA-DF43-435A-B02F-C6B7E0270BA6}"/>
    <cellStyle name="Comma 519 3 2" xfId="8058" xr:uid="{2E9D5D11-ED61-492D-8830-A2482B9A4756}"/>
    <cellStyle name="Comma 519 3 2 2" xfId="18410" xr:uid="{F7F778F4-D768-4848-AB20-4B4BE7724427}"/>
    <cellStyle name="Comma 519 3 3" xfId="13235" xr:uid="{42849BE3-A249-4CB8-9740-D193B9B6E3C9}"/>
    <cellStyle name="Comma 519 4" xfId="4951" xr:uid="{0F65E51E-C7CB-4D1C-B203-E60D86BAA4A7}"/>
    <cellStyle name="Comma 519 4 2" xfId="10127" xr:uid="{4794C0F8-0ED4-4761-8394-60CA00F1C7E7}"/>
    <cellStyle name="Comma 519 4 2 2" xfId="20479" xr:uid="{93AE576A-28D9-4A57-AFDB-BA38A395BCAB}"/>
    <cellStyle name="Comma 519 4 3" xfId="15303" xr:uid="{88CE8609-BD98-4B4A-A24B-6998FD29BC20}"/>
    <cellStyle name="Comma 519 5" xfId="5999" xr:uid="{9320DFFC-74BE-4E92-A9D9-C4B5AFC9D948}"/>
    <cellStyle name="Comma 519 5 2" xfId="16351" xr:uid="{46C207A3-0219-41C0-B096-1EC42525A936}"/>
    <cellStyle name="Comma 519 6" xfId="11177" xr:uid="{32253C80-C00D-4CFD-9114-5039E1737C90}"/>
    <cellStyle name="Comma 52" xfId="252" xr:uid="{938BCF59-7D58-427A-B771-F712A5D0297F}"/>
    <cellStyle name="Comma 52 2" xfId="1330" xr:uid="{CA14B0C6-73F8-48C4-91AC-1DE4005A7D40}"/>
    <cellStyle name="Comma 52 2 2" xfId="3388" xr:uid="{C47F7E4F-D411-4782-894F-46F2488FA0FB}"/>
    <cellStyle name="Comma 52 2 2 2" xfId="8621" xr:uid="{D52168AE-CFC3-4E55-A6A8-B6545F3CF311}"/>
    <cellStyle name="Comma 52 2 2 2 2" xfId="18973" xr:uid="{2D0B228F-502C-486B-8D6A-90EB416FC20C}"/>
    <cellStyle name="Comma 52 2 2 3" xfId="13798" xr:uid="{79D242F5-2A22-45D3-AD19-1DD9A247453B}"/>
    <cellStyle name="Comma 52 2 3" xfId="6563" xr:uid="{10E6BD23-88A0-4EEF-BFC8-7E4DE1D2516B}"/>
    <cellStyle name="Comma 52 2 3 2" xfId="16915" xr:uid="{72A582F8-D4EE-4CF4-84F9-030A516F4894}"/>
    <cellStyle name="Comma 52 2 4" xfId="11740" xr:uid="{FAAAEC4E-A32B-49EF-926C-4479011E552F}"/>
    <cellStyle name="Comma 52 3" xfId="2358" xr:uid="{1B680C67-A1CA-4596-816F-DAE9DD1C9AD6}"/>
    <cellStyle name="Comma 52 3 2" xfId="7591" xr:uid="{BF0B70A6-BED8-465B-BB71-043C5369BF9C}"/>
    <cellStyle name="Comma 52 3 2 2" xfId="17943" xr:uid="{0EFBCB69-770D-4BA5-9DA3-1CE6AEED05CD}"/>
    <cellStyle name="Comma 52 3 3" xfId="12768" xr:uid="{1BBBABA5-8F9E-4901-AE06-D74A76FC0FE8}"/>
    <cellStyle name="Comma 52 4" xfId="4484" xr:uid="{47A3FE1E-ACCD-4D1C-972A-E86CCA37D3D0}"/>
    <cellStyle name="Comma 52 4 2" xfId="9660" xr:uid="{2FEB6F00-7CB6-4011-8B69-5E26C3411D56}"/>
    <cellStyle name="Comma 52 4 2 2" xfId="20012" xr:uid="{E0811920-A67F-439A-9EF2-25F91602D854}"/>
    <cellStyle name="Comma 52 4 3" xfId="14836" xr:uid="{ED8E3B40-F443-4BC1-8328-F6A8359A9F0A}"/>
    <cellStyle name="Comma 52 5" xfId="5532" xr:uid="{77F73B93-9666-4690-870F-53A95CD6D3ED}"/>
    <cellStyle name="Comma 52 5 2" xfId="15884" xr:uid="{2650A9C1-C6DE-4620-9526-F75DD2F9B5A2}"/>
    <cellStyle name="Comma 52 6" xfId="10710" xr:uid="{9EAADF5B-C07F-4E53-A058-B88A1BE34351}"/>
    <cellStyle name="Comma 520" xfId="760" xr:uid="{78D8D2C5-8398-4B8A-9AC1-080F5880B993}"/>
    <cellStyle name="Comma 520 2" xfId="1798" xr:uid="{BFFE7CED-7C40-4BB0-BDFA-75C29F6CBF02}"/>
    <cellStyle name="Comma 520 2 2" xfId="3856" xr:uid="{384B09FD-72A0-476A-9D70-B66D92F1421D}"/>
    <cellStyle name="Comma 520 2 2 2" xfId="9089" xr:uid="{CF6AACBB-0F89-4B4E-9BF6-7BFBA6F4B56D}"/>
    <cellStyle name="Comma 520 2 2 2 2" xfId="19441" xr:uid="{3272EF53-5F63-4918-BFBE-EFCD888D0244}"/>
    <cellStyle name="Comma 520 2 2 3" xfId="14266" xr:uid="{15ADD86F-24BE-4282-9D9B-278FAE3E5319}"/>
    <cellStyle name="Comma 520 2 3" xfId="7031" xr:uid="{74E113C4-6D39-4AF5-9071-C93C9C0C79A8}"/>
    <cellStyle name="Comma 520 2 3 2" xfId="17383" xr:uid="{AB5139DE-A4F9-4C71-9F36-EFBCE86EA0A5}"/>
    <cellStyle name="Comma 520 2 4" xfId="12208" xr:uid="{18DC6FB4-9BD8-43A9-BBA9-6E7DD801BC68}"/>
    <cellStyle name="Comma 520 3" xfId="2826" xr:uid="{573BBF51-85F7-4030-847A-616ACA0ECF1B}"/>
    <cellStyle name="Comma 520 3 2" xfId="8059" xr:uid="{F8E76081-6150-41BF-A3BC-6AC30C5FBA86}"/>
    <cellStyle name="Comma 520 3 2 2" xfId="18411" xr:uid="{94E5E26F-02D3-492B-94BA-1836E3892A37}"/>
    <cellStyle name="Comma 520 3 3" xfId="13236" xr:uid="{936DC6A4-7019-468E-BDC0-1C319833585E}"/>
    <cellStyle name="Comma 520 4" xfId="4952" xr:uid="{B2CE5A07-F69D-4CA1-86E4-4AAC706586C5}"/>
    <cellStyle name="Comma 520 4 2" xfId="10128" xr:uid="{D21E49C0-943D-426F-A62F-A50D3CBA7D20}"/>
    <cellStyle name="Comma 520 4 2 2" xfId="20480" xr:uid="{2E9C7FB9-DB83-4C02-B6CC-CEB8F6591CB4}"/>
    <cellStyle name="Comma 520 4 3" xfId="15304" xr:uid="{7B77BB59-E940-462F-9E96-293FE3B3B93F}"/>
    <cellStyle name="Comma 520 5" xfId="6000" xr:uid="{76127D95-743E-4C2E-8498-5636F8DCB6CD}"/>
    <cellStyle name="Comma 520 5 2" xfId="16352" xr:uid="{0ADEB8A0-D7F0-4F21-9BAD-24D22B3343B8}"/>
    <cellStyle name="Comma 520 6" xfId="11178" xr:uid="{B16F4FC0-5BE9-4356-B06B-282E363477EE}"/>
    <cellStyle name="Comma 521" xfId="761" xr:uid="{A21EC3A8-F77B-4AF1-9D62-78C4985A748A}"/>
    <cellStyle name="Comma 521 2" xfId="1799" xr:uid="{B8560118-2C22-4A34-8873-94EAC2E9478F}"/>
    <cellStyle name="Comma 521 2 2" xfId="3857" xr:uid="{A2565C41-BC9F-4D64-B56C-A155EB57B475}"/>
    <cellStyle name="Comma 521 2 2 2" xfId="9090" xr:uid="{943359B7-5F17-4C30-903B-B7000CBBCBDE}"/>
    <cellStyle name="Comma 521 2 2 2 2" xfId="19442" xr:uid="{F42FDD90-2A78-45E3-83BC-BC3DA322F21B}"/>
    <cellStyle name="Comma 521 2 2 3" xfId="14267" xr:uid="{92BB3EBD-FCF7-41F3-BEA7-653A62DA223C}"/>
    <cellStyle name="Comma 521 2 3" xfId="7032" xr:uid="{A945D59B-43E4-46FB-9AC6-0AAAD15E26C2}"/>
    <cellStyle name="Comma 521 2 3 2" xfId="17384" xr:uid="{DDFD2A4A-71D4-43B1-A37E-022C7F205DC4}"/>
    <cellStyle name="Comma 521 2 4" xfId="12209" xr:uid="{40F79F05-4E8A-4BB5-924F-B5BDC8720D55}"/>
    <cellStyle name="Comma 521 3" xfId="2827" xr:uid="{B0894FA6-72B1-4E50-8C35-5E4EB16D0B23}"/>
    <cellStyle name="Comma 521 3 2" xfId="8060" xr:uid="{9F96190D-825E-47EC-ACDD-1C7E0EC7D42E}"/>
    <cellStyle name="Comma 521 3 2 2" xfId="18412" xr:uid="{1B7E25D2-F6E6-4A6A-9F86-CE498BC09910}"/>
    <cellStyle name="Comma 521 3 3" xfId="13237" xr:uid="{A8100C59-35CB-4593-9833-399F849703CF}"/>
    <cellStyle name="Comma 521 4" xfId="4953" xr:uid="{16B9121C-87EE-47C4-B951-4591176E0E61}"/>
    <cellStyle name="Comma 521 4 2" xfId="10129" xr:uid="{ED2A1E6E-0465-4CBD-B9E4-17573DEF8042}"/>
    <cellStyle name="Comma 521 4 2 2" xfId="20481" xr:uid="{D4939368-DA8E-4246-8EE3-8774704610C2}"/>
    <cellStyle name="Comma 521 4 3" xfId="15305" xr:uid="{9C5F9B2D-DBE2-4F6F-859C-4D014F8F268C}"/>
    <cellStyle name="Comma 521 5" xfId="6001" xr:uid="{8293A14C-D331-4219-BA5B-1429A6812658}"/>
    <cellStyle name="Comma 521 5 2" xfId="16353" xr:uid="{D33AE2C4-3CCD-40F4-9DF2-1720D2CFB56F}"/>
    <cellStyle name="Comma 521 6" xfId="11179" xr:uid="{E869A10E-F254-407A-BE72-4FE929774BF2}"/>
    <cellStyle name="Comma 522" xfId="762" xr:uid="{E9BFCE2F-9CD6-4FE0-ABC3-B86210D4CA01}"/>
    <cellStyle name="Comma 522 2" xfId="1800" xr:uid="{21E204D4-7399-4E49-80AE-7186FEB136A0}"/>
    <cellStyle name="Comma 522 2 2" xfId="3858" xr:uid="{B2A73608-98E1-4524-89A7-CDE94805AFDB}"/>
    <cellStyle name="Comma 522 2 2 2" xfId="9091" xr:uid="{68F99D6D-1983-4502-8BB0-00E167D682CE}"/>
    <cellStyle name="Comma 522 2 2 2 2" xfId="19443" xr:uid="{79203CE4-3D6A-42AE-B9BC-7361CF632FE0}"/>
    <cellStyle name="Comma 522 2 2 3" xfId="14268" xr:uid="{F00CBE81-C0D9-4400-8D77-AA19F6F261DC}"/>
    <cellStyle name="Comma 522 2 3" xfId="7033" xr:uid="{2FE9429D-7A0A-4D3F-9D9E-A90C514D302A}"/>
    <cellStyle name="Comma 522 2 3 2" xfId="17385" xr:uid="{400BEB7F-4F13-4DFE-A852-18873689AABC}"/>
    <cellStyle name="Comma 522 2 4" xfId="12210" xr:uid="{4EB3528C-8FC8-44EE-8DB0-8F9D965054D6}"/>
    <cellStyle name="Comma 522 3" xfId="2828" xr:uid="{DDC02D7F-07FB-49DA-A98A-98572820B9F4}"/>
    <cellStyle name="Comma 522 3 2" xfId="8061" xr:uid="{FD1890D4-8264-4B19-B093-102199F8AFAE}"/>
    <cellStyle name="Comma 522 3 2 2" xfId="18413" xr:uid="{6B5F700B-F2E3-4995-A2EF-6A4296F169C9}"/>
    <cellStyle name="Comma 522 3 3" xfId="13238" xr:uid="{8D2C23B1-9EA2-4F13-BA12-44AE671F05FD}"/>
    <cellStyle name="Comma 522 4" xfId="4954" xr:uid="{652DE2E1-4D2F-4C0E-829E-29816E9FADBF}"/>
    <cellStyle name="Comma 522 4 2" xfId="10130" xr:uid="{C6D88B03-F413-440C-83B7-04452114FF4D}"/>
    <cellStyle name="Comma 522 4 2 2" xfId="20482" xr:uid="{225F719F-8073-4B98-8290-AE9A11F592E6}"/>
    <cellStyle name="Comma 522 4 3" xfId="15306" xr:uid="{462EB2A3-1F35-4ABE-BD75-231EA4F314B1}"/>
    <cellStyle name="Comma 522 5" xfId="6002" xr:uid="{C5035562-7A15-4F8F-96B5-43A75E269785}"/>
    <cellStyle name="Comma 522 5 2" xfId="16354" xr:uid="{475C07D1-046B-4D48-931E-8BA0B9773B4E}"/>
    <cellStyle name="Comma 522 6" xfId="11180" xr:uid="{D6B6B57A-D30D-4443-B4B6-23F8CD304BA9}"/>
    <cellStyle name="Comma 523" xfId="763" xr:uid="{26B04B63-ED10-47D4-B3C6-F70C41DACD34}"/>
    <cellStyle name="Comma 523 2" xfId="1801" xr:uid="{3C736712-41D2-4F02-8AC8-42130AFF9B6A}"/>
    <cellStyle name="Comma 523 2 2" xfId="3859" xr:uid="{73E53D05-C5FD-4D09-9962-08DC0E88B975}"/>
    <cellStyle name="Comma 523 2 2 2" xfId="9092" xr:uid="{15265AB6-5FA7-404B-AF6F-DBB41BB56C6B}"/>
    <cellStyle name="Comma 523 2 2 2 2" xfId="19444" xr:uid="{73363A92-E9E6-4398-8435-2478938909C5}"/>
    <cellStyle name="Comma 523 2 2 3" xfId="14269" xr:uid="{61577E5E-2791-4C7A-8B5D-792B6ABB5B97}"/>
    <cellStyle name="Comma 523 2 3" xfId="7034" xr:uid="{FD26022C-C9F2-42F8-BCB8-7D39E155A0D7}"/>
    <cellStyle name="Comma 523 2 3 2" xfId="17386" xr:uid="{E64B6620-79D4-446A-8BBF-31C0BFFB2F01}"/>
    <cellStyle name="Comma 523 2 4" xfId="12211" xr:uid="{911BE154-C0D9-4E7E-91BF-2C410D828E82}"/>
    <cellStyle name="Comma 523 3" xfId="2829" xr:uid="{8886CD32-4ACF-4956-8271-E69087005BA7}"/>
    <cellStyle name="Comma 523 3 2" xfId="8062" xr:uid="{834689DD-C2B1-4E23-86A2-4BA46799A150}"/>
    <cellStyle name="Comma 523 3 2 2" xfId="18414" xr:uid="{54391156-3D09-4C3D-86E9-78A50E2B0879}"/>
    <cellStyle name="Comma 523 3 3" xfId="13239" xr:uid="{BA2F220A-4237-4621-AA27-96CFD5DD8B84}"/>
    <cellStyle name="Comma 523 4" xfId="4955" xr:uid="{A0E986E0-FC28-4F61-9A78-76D04AB1968B}"/>
    <cellStyle name="Comma 523 4 2" xfId="10131" xr:uid="{2D9C876B-00E4-414E-B8BC-66FA98A7E747}"/>
    <cellStyle name="Comma 523 4 2 2" xfId="20483" xr:uid="{334D01E1-9163-44CA-BC3C-C20195EB6B56}"/>
    <cellStyle name="Comma 523 4 3" xfId="15307" xr:uid="{7FB971D5-D775-467F-9909-4876A1FB3F3A}"/>
    <cellStyle name="Comma 523 5" xfId="6003" xr:uid="{1197143A-B636-4C3D-8601-531278EA07F9}"/>
    <cellStyle name="Comma 523 5 2" xfId="16355" xr:uid="{439C5F93-C190-4755-AD5E-31AB7CFE093F}"/>
    <cellStyle name="Comma 523 6" xfId="11181" xr:uid="{97DDC133-940C-4698-A93B-66AD0C746F2F}"/>
    <cellStyle name="Comma 524" xfId="764" xr:uid="{A590DDF7-85FB-4D85-8DEB-04E9AE9A50BA}"/>
    <cellStyle name="Comma 524 2" xfId="1802" xr:uid="{77C54B97-8BDF-448B-9528-55A41A5BE573}"/>
    <cellStyle name="Comma 524 2 2" xfId="3860" xr:uid="{2D5F1292-778A-46DC-836C-EE1521CF7029}"/>
    <cellStyle name="Comma 524 2 2 2" xfId="9093" xr:uid="{297FA436-7AC8-4F71-B8BB-9BB170FCD3A0}"/>
    <cellStyle name="Comma 524 2 2 2 2" xfId="19445" xr:uid="{3159DD97-9866-4DD0-8EA8-536B7C08444F}"/>
    <cellStyle name="Comma 524 2 2 3" xfId="14270" xr:uid="{5B1140D3-6306-4A8B-B59F-0E7A4D20CDAB}"/>
    <cellStyle name="Comma 524 2 3" xfId="7035" xr:uid="{D89B3EC5-631B-4ED5-A141-F8D7F7ED4962}"/>
    <cellStyle name="Comma 524 2 3 2" xfId="17387" xr:uid="{F31676D7-2B49-44B2-9BD4-532499809B3F}"/>
    <cellStyle name="Comma 524 2 4" xfId="12212" xr:uid="{9BCBF411-704B-4068-9DA8-196E31FA7EF6}"/>
    <cellStyle name="Comma 524 3" xfId="2830" xr:uid="{CE30C4FF-8424-4E02-8957-D4ACB10A2F1B}"/>
    <cellStyle name="Comma 524 3 2" xfId="8063" xr:uid="{CD348F18-32DA-4B7A-B46E-7CC65F031384}"/>
    <cellStyle name="Comma 524 3 2 2" xfId="18415" xr:uid="{2E672BED-610B-4426-8106-E43E5F152833}"/>
    <cellStyle name="Comma 524 3 3" xfId="13240" xr:uid="{4E14AE95-E072-47EF-8432-77184726450A}"/>
    <cellStyle name="Comma 524 4" xfId="4956" xr:uid="{AF1C947A-DD01-40D1-BAE8-360672A964CB}"/>
    <cellStyle name="Comma 524 4 2" xfId="10132" xr:uid="{2F4EA06A-859E-49CD-85E0-7CC04B99D413}"/>
    <cellStyle name="Comma 524 4 2 2" xfId="20484" xr:uid="{46E99C9D-F3B0-4F2A-AEB6-80B055641B3F}"/>
    <cellStyle name="Comma 524 4 3" xfId="15308" xr:uid="{0DA149EA-962D-45E5-818F-CE621D729D9B}"/>
    <cellStyle name="Comma 524 5" xfId="6004" xr:uid="{BDE8E58F-DA39-4154-B549-A0EC6C191421}"/>
    <cellStyle name="Comma 524 5 2" xfId="16356" xr:uid="{5A0353AE-E60A-4977-8B42-0E3D9016AC32}"/>
    <cellStyle name="Comma 524 6" xfId="11182" xr:uid="{19AE6593-7A7F-4EDC-BED2-1E3848079981}"/>
    <cellStyle name="Comma 525" xfId="765" xr:uid="{94773558-7C4A-48D0-BA0F-8E59E1C12F08}"/>
    <cellStyle name="Comma 525 2" xfId="1803" xr:uid="{C86F6A37-FD62-43B0-BEEA-8DC9FCB495E2}"/>
    <cellStyle name="Comma 525 2 2" xfId="3861" xr:uid="{B550029D-F63C-4970-8DE3-1347069791F0}"/>
    <cellStyle name="Comma 525 2 2 2" xfId="9094" xr:uid="{6AEE0480-8ECF-4364-B543-DA63AF229EE4}"/>
    <cellStyle name="Comma 525 2 2 2 2" xfId="19446" xr:uid="{E544440D-D0FB-469A-949B-AD1401D1A505}"/>
    <cellStyle name="Comma 525 2 2 3" xfId="14271" xr:uid="{568064FB-57A7-4925-AAED-219BCA97CD5F}"/>
    <cellStyle name="Comma 525 2 3" xfId="7036" xr:uid="{566122E3-D057-4667-974F-C9D487724BFA}"/>
    <cellStyle name="Comma 525 2 3 2" xfId="17388" xr:uid="{15A2F3B9-F17E-4B4F-ADA2-47F0B86E302D}"/>
    <cellStyle name="Comma 525 2 4" xfId="12213" xr:uid="{3CEA0AFC-5D2C-439A-BC4E-2C0882B563B2}"/>
    <cellStyle name="Comma 525 3" xfId="2831" xr:uid="{6EC6EAD4-6E33-49D6-9D4E-E1C2E41F24D7}"/>
    <cellStyle name="Comma 525 3 2" xfId="8064" xr:uid="{DDD7EC59-00A7-43CD-8FDC-645895649DE8}"/>
    <cellStyle name="Comma 525 3 2 2" xfId="18416" xr:uid="{16B0DB94-1748-4A60-8095-509D47B6A20C}"/>
    <cellStyle name="Comma 525 3 3" xfId="13241" xr:uid="{943C27EB-983B-4CA7-A6AF-3433EE65C306}"/>
    <cellStyle name="Comma 525 4" xfId="4957" xr:uid="{B8EB5C44-192E-4DB7-B66B-146A2E66E914}"/>
    <cellStyle name="Comma 525 4 2" xfId="10133" xr:uid="{10C30CE8-7A29-4C0E-A65D-34BD282435FA}"/>
    <cellStyle name="Comma 525 4 2 2" xfId="20485" xr:uid="{326AB2E5-921C-449E-AB68-FD9AA9E56CE1}"/>
    <cellStyle name="Comma 525 4 3" xfId="15309" xr:uid="{FA6A618B-3DD9-49FB-BCA9-5DC0AEBEECF6}"/>
    <cellStyle name="Comma 525 5" xfId="6005" xr:uid="{1525C598-05F1-4CE9-BAFC-805EE5B787B6}"/>
    <cellStyle name="Comma 525 5 2" xfId="16357" xr:uid="{133D2B4C-6998-4DEB-A016-819A2BBFB05F}"/>
    <cellStyle name="Comma 525 6" xfId="11183" xr:uid="{C5A2B83A-AD40-43AE-85F5-6FE20935CB40}"/>
    <cellStyle name="Comma 526" xfId="766" xr:uid="{ABFFD028-7AD3-472C-8590-CBD3E39FF2D7}"/>
    <cellStyle name="Comma 526 2" xfId="1804" xr:uid="{67AA0028-5041-4658-8AB4-3CE918F055CE}"/>
    <cellStyle name="Comma 526 2 2" xfId="3862" xr:uid="{9894E6B4-FA6B-4172-BABF-34390717300A}"/>
    <cellStyle name="Comma 526 2 2 2" xfId="9095" xr:uid="{AD11F643-ED4D-4F77-B894-E2FD89D1B128}"/>
    <cellStyle name="Comma 526 2 2 2 2" xfId="19447" xr:uid="{F10A0139-C97C-4EA0-A96C-1EF5BD2969BA}"/>
    <cellStyle name="Comma 526 2 2 3" xfId="14272" xr:uid="{479246D4-54A2-4F18-914D-E442CC531DD8}"/>
    <cellStyle name="Comma 526 2 3" xfId="7037" xr:uid="{7BE8096D-7959-4874-982F-92639A577DE9}"/>
    <cellStyle name="Comma 526 2 3 2" xfId="17389" xr:uid="{8FDE4C1A-E674-4D2B-9760-2B051302808E}"/>
    <cellStyle name="Comma 526 2 4" xfId="12214" xr:uid="{7C1787C0-2C73-44D1-9F5F-CDE51D187AA9}"/>
    <cellStyle name="Comma 526 3" xfId="2832" xr:uid="{0012C121-06CB-4F2D-9BF9-148E60AD1986}"/>
    <cellStyle name="Comma 526 3 2" xfId="8065" xr:uid="{1687A725-3B79-4456-B82C-C24755B31995}"/>
    <cellStyle name="Comma 526 3 2 2" xfId="18417" xr:uid="{0AFF97E7-6F26-42FB-925E-5B0A14A11F25}"/>
    <cellStyle name="Comma 526 3 3" xfId="13242" xr:uid="{0D232D15-74B4-4016-93BE-743853B0257A}"/>
    <cellStyle name="Comma 526 4" xfId="4958" xr:uid="{9E4ED74B-B5BD-4D28-8091-99574A3D38F8}"/>
    <cellStyle name="Comma 526 4 2" xfId="10134" xr:uid="{FFA4B164-9945-40E6-BC47-28E126FD085A}"/>
    <cellStyle name="Comma 526 4 2 2" xfId="20486" xr:uid="{8FA534B2-8CC6-4EBB-A41B-23A225EE94E6}"/>
    <cellStyle name="Comma 526 4 3" xfId="15310" xr:uid="{DE3CAD34-9AF3-41CC-8762-18E8B9C8798A}"/>
    <cellStyle name="Comma 526 5" xfId="6006" xr:uid="{41389125-3A2A-4C3E-B68D-BEDCF5293A70}"/>
    <cellStyle name="Comma 526 5 2" xfId="16358" xr:uid="{CF958AEA-BF86-4134-A232-59FFC3D0C33E}"/>
    <cellStyle name="Comma 526 6" xfId="11184" xr:uid="{AB7930BD-F2B9-4AFA-AACC-11AB95573F0C}"/>
    <cellStyle name="Comma 527" xfId="767" xr:uid="{634871AA-F320-4444-A3D6-32014C2DDFE9}"/>
    <cellStyle name="Comma 527 2" xfId="1805" xr:uid="{66F2651F-71C1-43F6-8BDF-B7B318BD99B2}"/>
    <cellStyle name="Comma 527 2 2" xfId="3863" xr:uid="{B59754FF-0110-48E9-93CF-3DD586DA4D96}"/>
    <cellStyle name="Comma 527 2 2 2" xfId="9096" xr:uid="{06FAA4FF-4E03-4565-8693-96FBBAD549AE}"/>
    <cellStyle name="Comma 527 2 2 2 2" xfId="19448" xr:uid="{148666BB-01A0-41FA-A7D2-EEC4778ACC47}"/>
    <cellStyle name="Comma 527 2 2 3" xfId="14273" xr:uid="{670AB82C-CA18-4C4B-A9BB-73B67C8C7580}"/>
    <cellStyle name="Comma 527 2 3" xfId="7038" xr:uid="{6DED22EA-7884-4C4D-B7E2-4D7AB3A2F693}"/>
    <cellStyle name="Comma 527 2 3 2" xfId="17390" xr:uid="{0FE8B4F4-DEF9-4144-819B-1D4A8166D162}"/>
    <cellStyle name="Comma 527 2 4" xfId="12215" xr:uid="{D2ED0C2B-5F10-406C-9874-11774907FA44}"/>
    <cellStyle name="Comma 527 3" xfId="2833" xr:uid="{2A95BA0E-5530-4BA0-8F5F-887188A87BC4}"/>
    <cellStyle name="Comma 527 3 2" xfId="8066" xr:uid="{5D1AE064-D965-4408-A37F-164E8D384774}"/>
    <cellStyle name="Comma 527 3 2 2" xfId="18418" xr:uid="{8021EBC8-1AC7-4581-A77F-C007D1252031}"/>
    <cellStyle name="Comma 527 3 3" xfId="13243" xr:uid="{52D01255-26AA-4857-A106-4A73FF016468}"/>
    <cellStyle name="Comma 527 4" xfId="4959" xr:uid="{E55C1F21-42DD-44CE-A924-02A092675A89}"/>
    <cellStyle name="Comma 527 4 2" xfId="10135" xr:uid="{6AB14973-479F-4006-BED2-E2424F6C1655}"/>
    <cellStyle name="Comma 527 4 2 2" xfId="20487" xr:uid="{01B58E37-9047-45DB-888C-7C5E6FA42AA9}"/>
    <cellStyle name="Comma 527 4 3" xfId="15311" xr:uid="{5FD3A96F-07E2-4E8E-A3CA-5AAD419D47D6}"/>
    <cellStyle name="Comma 527 5" xfId="6007" xr:uid="{DF8E6C55-CA85-4D3A-90DE-6D5AD9CE1391}"/>
    <cellStyle name="Comma 527 5 2" xfId="16359" xr:uid="{E4540153-C2CB-49FD-844C-303E94F0E49D}"/>
    <cellStyle name="Comma 527 6" xfId="11185" xr:uid="{66920BAE-435E-4468-9EFA-32373BD69AA2}"/>
    <cellStyle name="Comma 528" xfId="768" xr:uid="{14BBB30F-C48C-42B3-8D50-363620022C95}"/>
    <cellStyle name="Comma 528 2" xfId="1806" xr:uid="{5AFE7A86-232B-490A-A755-A8541482FA0F}"/>
    <cellStyle name="Comma 528 2 2" xfId="3864" xr:uid="{1DFBDD78-8494-49A0-AAF6-BED6448EEE64}"/>
    <cellStyle name="Comma 528 2 2 2" xfId="9097" xr:uid="{FCADD766-3265-44BC-9DD7-36B307446CCF}"/>
    <cellStyle name="Comma 528 2 2 2 2" xfId="19449" xr:uid="{7D32D54A-B2EF-49C4-8138-532CBFA5A8B9}"/>
    <cellStyle name="Comma 528 2 2 3" xfId="14274" xr:uid="{9162F65A-88D3-4313-9265-702F97FA7E8F}"/>
    <cellStyle name="Comma 528 2 3" xfId="7039" xr:uid="{D6C072B6-047A-4588-BB3E-EA66BC82F1B0}"/>
    <cellStyle name="Comma 528 2 3 2" xfId="17391" xr:uid="{7C0B5461-76AA-4E84-863F-7F7761F929E1}"/>
    <cellStyle name="Comma 528 2 4" xfId="12216" xr:uid="{9524F9B7-7705-4D73-9361-C44A911074EB}"/>
    <cellStyle name="Comma 528 3" xfId="2834" xr:uid="{7FCCE808-F7AB-4F23-8AF5-0B4EAF7802E5}"/>
    <cellStyle name="Comma 528 3 2" xfId="8067" xr:uid="{735A2031-05A6-46C7-824B-2B552C27F490}"/>
    <cellStyle name="Comma 528 3 2 2" xfId="18419" xr:uid="{AA5496E1-3822-45B3-A7DE-79F6E21FBDFC}"/>
    <cellStyle name="Comma 528 3 3" xfId="13244" xr:uid="{75FF8A5A-E985-4CCD-9C7C-9AC4B09ACEBB}"/>
    <cellStyle name="Comma 528 4" xfId="4960" xr:uid="{D2025DD2-7F22-4562-AA8A-91BEB43CD092}"/>
    <cellStyle name="Comma 528 4 2" xfId="10136" xr:uid="{717D7EDA-F8B2-493A-956B-70C5F40C9110}"/>
    <cellStyle name="Comma 528 4 2 2" xfId="20488" xr:uid="{E95BC957-3B78-4F28-8228-0F7AACD72242}"/>
    <cellStyle name="Comma 528 4 3" xfId="15312" xr:uid="{95193F64-786B-4159-B7E1-D122176D8800}"/>
    <cellStyle name="Comma 528 5" xfId="6008" xr:uid="{81B6709F-0BA6-439C-9A8E-4B2BE6CA96F0}"/>
    <cellStyle name="Comma 528 5 2" xfId="16360" xr:uid="{42B29F31-7B19-4615-B6C4-9C9C93B113E2}"/>
    <cellStyle name="Comma 528 6" xfId="11186" xr:uid="{71A8C859-D453-49C2-B4A0-36E3FB8C07AB}"/>
    <cellStyle name="Comma 529" xfId="769" xr:uid="{073C5EDD-E8AA-47EA-A338-942F07856BF2}"/>
    <cellStyle name="Comma 529 2" xfId="1807" xr:uid="{FD36DFDB-665B-4F02-89F9-79C647C42D07}"/>
    <cellStyle name="Comma 529 2 2" xfId="3865" xr:uid="{9918654E-0221-4AC0-87F6-02643CC2F2F6}"/>
    <cellStyle name="Comma 529 2 2 2" xfId="9098" xr:uid="{586303AA-6916-4CA4-ABBE-BE143ECEC5F6}"/>
    <cellStyle name="Comma 529 2 2 2 2" xfId="19450" xr:uid="{8B54AFF1-E8D6-4D1B-8B09-4D9ADFED43BD}"/>
    <cellStyle name="Comma 529 2 2 3" xfId="14275" xr:uid="{98CC30B0-3816-47A9-AD9C-E2EA69830E41}"/>
    <cellStyle name="Comma 529 2 3" xfId="7040" xr:uid="{F9C14730-6B58-49EA-A2E7-E36112B65B14}"/>
    <cellStyle name="Comma 529 2 3 2" xfId="17392" xr:uid="{855205FC-251E-445A-9A53-C23BCEF681C2}"/>
    <cellStyle name="Comma 529 2 4" xfId="12217" xr:uid="{5B708A64-AC56-47CA-A1F3-69BF985877C9}"/>
    <cellStyle name="Comma 529 3" xfId="2835" xr:uid="{BE2E91E4-7CA8-42C4-A619-89F18B402457}"/>
    <cellStyle name="Comma 529 3 2" xfId="8068" xr:uid="{37704998-AAF9-422B-9500-2289585B303C}"/>
    <cellStyle name="Comma 529 3 2 2" xfId="18420" xr:uid="{683C2F22-0F6B-4857-930B-CE11280CFC9A}"/>
    <cellStyle name="Comma 529 3 3" xfId="13245" xr:uid="{63D1F9A9-7B0E-4B5A-B8B2-0D1DD3E8EC66}"/>
    <cellStyle name="Comma 529 4" xfId="4961" xr:uid="{3D94C246-B5B1-4157-B8BE-462EF86FBB53}"/>
    <cellStyle name="Comma 529 4 2" xfId="10137" xr:uid="{52C9D849-BAD7-4263-9CFA-4DD073D89988}"/>
    <cellStyle name="Comma 529 4 2 2" xfId="20489" xr:uid="{F719AD8E-9FD5-44A6-9270-E8CD9B965D75}"/>
    <cellStyle name="Comma 529 4 3" xfId="15313" xr:uid="{8CB5F585-871A-42EC-A47E-31D48388CDD8}"/>
    <cellStyle name="Comma 529 5" xfId="6009" xr:uid="{118F80BE-9AFD-47E1-BFB3-1F8B27CE1F30}"/>
    <cellStyle name="Comma 529 5 2" xfId="16361" xr:uid="{1CD14BB4-5ECD-454A-AAD6-25BA527E8B3E}"/>
    <cellStyle name="Comma 529 6" xfId="11187" xr:uid="{08AD92EC-4ADE-4BBD-99D5-1241E784142B}"/>
    <cellStyle name="Comma 53" xfId="253" xr:uid="{BFD67465-7281-4544-87A1-1FA7C4FD3217}"/>
    <cellStyle name="Comma 53 2" xfId="1331" xr:uid="{7A5D034A-F2C4-4DC6-816F-1EB91487E5BB}"/>
    <cellStyle name="Comma 53 2 2" xfId="3389" xr:uid="{E4C00A3B-84BB-4168-A299-DE4E989B364B}"/>
    <cellStyle name="Comma 53 2 2 2" xfId="8622" xr:uid="{77446161-9F0A-4FAA-B375-5F2A916BC7E3}"/>
    <cellStyle name="Comma 53 2 2 2 2" xfId="18974" xr:uid="{4926E6CE-CE6A-461E-9EBC-825BAF95FCBD}"/>
    <cellStyle name="Comma 53 2 2 3" xfId="13799" xr:uid="{546CB4CE-556A-46A4-8C69-ABB5E1B47B94}"/>
    <cellStyle name="Comma 53 2 3" xfId="6564" xr:uid="{78ED4DF2-601B-4B57-AB41-F7347D67FD6A}"/>
    <cellStyle name="Comma 53 2 3 2" xfId="16916" xr:uid="{8601469E-B825-4CC4-8D94-B1A1BCDC14EF}"/>
    <cellStyle name="Comma 53 2 4" xfId="11741" xr:uid="{4F22AC97-10D8-46AA-8917-C7EF20F804D3}"/>
    <cellStyle name="Comma 53 3" xfId="2359" xr:uid="{0141D5F3-782F-4D2A-8D72-0412FFF87124}"/>
    <cellStyle name="Comma 53 3 2" xfId="7592" xr:uid="{ECE76623-F543-4987-B0A6-76475ACBE576}"/>
    <cellStyle name="Comma 53 3 2 2" xfId="17944" xr:uid="{02CF3BEC-F1B4-4A1A-A31E-43192252107D}"/>
    <cellStyle name="Comma 53 3 3" xfId="12769" xr:uid="{97B035B6-5A7E-4E16-BDE0-F9F1DCE70C8C}"/>
    <cellStyle name="Comma 53 4" xfId="4485" xr:uid="{C552E4F0-0D3D-4E1F-BB00-AAC698ED5B78}"/>
    <cellStyle name="Comma 53 4 2" xfId="9661" xr:uid="{E6BF0B53-80A3-49FE-8A9A-C4B075D39E88}"/>
    <cellStyle name="Comma 53 4 2 2" xfId="20013" xr:uid="{7AF0C4B2-0E98-405B-82C9-6DE1825336C7}"/>
    <cellStyle name="Comma 53 4 3" xfId="14837" xr:uid="{A1FAD7F6-ED01-4431-A8E2-76FDA488B4DA}"/>
    <cellStyle name="Comma 53 5" xfId="5533" xr:uid="{E9C16605-E81A-45D9-B2A5-A31073843470}"/>
    <cellStyle name="Comma 53 5 2" xfId="15885" xr:uid="{DEF33366-E78A-489A-AC97-A0AAC887E40F}"/>
    <cellStyle name="Comma 53 6" xfId="10711" xr:uid="{7DE21ED0-6416-4A29-B89C-668E20B5304C}"/>
    <cellStyle name="Comma 530" xfId="770" xr:uid="{5FEE3394-0BD9-45F0-8503-512AE9287817}"/>
    <cellStyle name="Comma 530 2" xfId="1808" xr:uid="{13072A17-6F85-4AA2-9BE8-87A056FB8822}"/>
    <cellStyle name="Comma 530 2 2" xfId="3866" xr:uid="{D4BBD995-7329-4F71-A9A3-C4DE4D08C2B4}"/>
    <cellStyle name="Comma 530 2 2 2" xfId="9099" xr:uid="{D8167D21-023D-43A1-8542-9F8952F3F858}"/>
    <cellStyle name="Comma 530 2 2 2 2" xfId="19451" xr:uid="{5D273A3D-8463-4157-9CEB-F3464645963F}"/>
    <cellStyle name="Comma 530 2 2 3" xfId="14276" xr:uid="{6D0DB078-8174-43A3-8CE3-AF89F0A3449A}"/>
    <cellStyle name="Comma 530 2 3" xfId="7041" xr:uid="{F4068E24-3B3B-4B5C-BEB0-BDBDB97FE6DD}"/>
    <cellStyle name="Comma 530 2 3 2" xfId="17393" xr:uid="{489D9906-7D61-48CD-9DCD-2BA6DD50F2D7}"/>
    <cellStyle name="Comma 530 2 4" xfId="12218" xr:uid="{77B8469E-3ABE-437A-A279-AEAB65A9487F}"/>
    <cellStyle name="Comma 530 3" xfId="2836" xr:uid="{DADA7C6F-AD25-496E-997E-EFB550313580}"/>
    <cellStyle name="Comma 530 3 2" xfId="8069" xr:uid="{76B965ED-B301-4800-9FCF-925584CA6FB3}"/>
    <cellStyle name="Comma 530 3 2 2" xfId="18421" xr:uid="{598A0214-DDF3-425B-8197-F0A37CFF040D}"/>
    <cellStyle name="Comma 530 3 3" xfId="13246" xr:uid="{C4B3894F-A453-4FCB-9F90-8D4E40B8C9CE}"/>
    <cellStyle name="Comma 530 4" xfId="4962" xr:uid="{E7783997-2674-43B0-906B-04270CB07D7D}"/>
    <cellStyle name="Comma 530 4 2" xfId="10138" xr:uid="{624F4F37-6A46-4B63-8E14-D11685C1B5BD}"/>
    <cellStyle name="Comma 530 4 2 2" xfId="20490" xr:uid="{34CD92D2-F72C-4AA2-ADA8-C43A3098518D}"/>
    <cellStyle name="Comma 530 4 3" xfId="15314" xr:uid="{9EEB2363-E434-4CE5-967F-97D1AECE87B8}"/>
    <cellStyle name="Comma 530 5" xfId="6010" xr:uid="{80BE3B2F-686C-4F3E-9C5F-20C98A7AF8A3}"/>
    <cellStyle name="Comma 530 5 2" xfId="16362" xr:uid="{4D57F82B-B1B8-403C-8D31-C9F5E45651EB}"/>
    <cellStyle name="Comma 530 6" xfId="11188" xr:uid="{0BDDEC7C-97BA-4726-B4E1-3BBE1E2EAAA9}"/>
    <cellStyle name="Comma 531" xfId="771" xr:uid="{FB52DC29-E7BF-488B-BD61-636A179BEFB8}"/>
    <cellStyle name="Comma 531 2" xfId="1809" xr:uid="{0B6DB976-C539-4CA5-B995-6C2F80C10A4F}"/>
    <cellStyle name="Comma 531 2 2" xfId="3867" xr:uid="{E8576030-5FEE-48C1-A28A-AA5AD3DA8807}"/>
    <cellStyle name="Comma 531 2 2 2" xfId="9100" xr:uid="{B35BA1E0-E47D-4D11-9A81-2F0C617F5A22}"/>
    <cellStyle name="Comma 531 2 2 2 2" xfId="19452" xr:uid="{026EC94A-1CBD-4D04-A04B-5DC29FA4BA84}"/>
    <cellStyle name="Comma 531 2 2 3" xfId="14277" xr:uid="{B7857F55-BCBE-4B41-8BCD-EE4EB5CE45E4}"/>
    <cellStyle name="Comma 531 2 3" xfId="7042" xr:uid="{51EDD211-3C28-4991-986D-92566C7D326B}"/>
    <cellStyle name="Comma 531 2 3 2" xfId="17394" xr:uid="{528C3458-2173-429D-AB45-838436CADABA}"/>
    <cellStyle name="Comma 531 2 4" xfId="12219" xr:uid="{49D60573-6F3F-4722-851C-34B16DDE4ABA}"/>
    <cellStyle name="Comma 531 3" xfId="2837" xr:uid="{D8087B78-36A2-4099-A697-2765634D517A}"/>
    <cellStyle name="Comma 531 3 2" xfId="8070" xr:uid="{53A7F85D-99B0-461C-B86D-F59C7BF8BFC9}"/>
    <cellStyle name="Comma 531 3 2 2" xfId="18422" xr:uid="{BC61F60A-1314-4EAC-84D5-C828743457AD}"/>
    <cellStyle name="Comma 531 3 3" xfId="13247" xr:uid="{6B2550CB-5F19-46B3-9C70-AA72F42CCF40}"/>
    <cellStyle name="Comma 531 4" xfId="4963" xr:uid="{71035252-10D4-4305-A3F8-889E3DF02F8F}"/>
    <cellStyle name="Comma 531 4 2" xfId="10139" xr:uid="{1D22C5C0-BFFD-4299-A1E9-8D1A74098D36}"/>
    <cellStyle name="Comma 531 4 2 2" xfId="20491" xr:uid="{72E48D2A-8578-44EB-A5F9-098C087A8395}"/>
    <cellStyle name="Comma 531 4 3" xfId="15315" xr:uid="{D7DFC31B-9548-4E7C-9A10-1795874ACD03}"/>
    <cellStyle name="Comma 531 5" xfId="6011" xr:uid="{392305A0-67A9-4E2D-97EC-F86FC852EC7D}"/>
    <cellStyle name="Comma 531 5 2" xfId="16363" xr:uid="{C2B98733-0AA4-47BF-B7DC-596EC1F7474A}"/>
    <cellStyle name="Comma 531 6" xfId="11189" xr:uid="{0CEFBDEE-7741-4063-A12D-75E5FBD28BDB}"/>
    <cellStyle name="Comma 532" xfId="772" xr:uid="{A76DDA00-7345-4DC5-A832-0A9F8D56FA57}"/>
    <cellStyle name="Comma 532 2" xfId="1810" xr:uid="{34510D4B-C116-4184-9C74-1F68452083BD}"/>
    <cellStyle name="Comma 532 2 2" xfId="3868" xr:uid="{99553414-7242-442D-A7BC-35379F4FB67D}"/>
    <cellStyle name="Comma 532 2 2 2" xfId="9101" xr:uid="{0CE3C559-C774-4283-B3CB-06322D309807}"/>
    <cellStyle name="Comma 532 2 2 2 2" xfId="19453" xr:uid="{8BBBF885-494C-4DB2-A227-24362983FA87}"/>
    <cellStyle name="Comma 532 2 2 3" xfId="14278" xr:uid="{C6E37A35-A774-40C7-9311-40BD3CF4D405}"/>
    <cellStyle name="Comma 532 2 3" xfId="7043" xr:uid="{C7FB340A-AE82-4598-B5C5-99C62F100473}"/>
    <cellStyle name="Comma 532 2 3 2" xfId="17395" xr:uid="{6EF68CE5-5E15-4CEE-893B-AFB892B46A6B}"/>
    <cellStyle name="Comma 532 2 4" xfId="12220" xr:uid="{F59BB6F3-AC17-4C9B-B7AF-E2152A828865}"/>
    <cellStyle name="Comma 532 3" xfId="2838" xr:uid="{D56CD063-EBB9-486F-AC07-0283AE9E898E}"/>
    <cellStyle name="Comma 532 3 2" xfId="8071" xr:uid="{B9683A9A-5B95-4191-9581-A268AB3308B3}"/>
    <cellStyle name="Comma 532 3 2 2" xfId="18423" xr:uid="{E05BC261-47A4-4769-A7E4-FDA92EF44412}"/>
    <cellStyle name="Comma 532 3 3" xfId="13248" xr:uid="{39942FC8-EB50-4DC3-9EFC-49A9F5F6D299}"/>
    <cellStyle name="Comma 532 4" xfId="4964" xr:uid="{C1A2EF16-65E2-49D7-881B-CD1F4130F73E}"/>
    <cellStyle name="Comma 532 4 2" xfId="10140" xr:uid="{BE7A78A1-48C1-4340-B904-65C66BDDBC18}"/>
    <cellStyle name="Comma 532 4 2 2" xfId="20492" xr:uid="{EB8DD56D-7D69-42FD-BC09-D54B348D4505}"/>
    <cellStyle name="Comma 532 4 3" xfId="15316" xr:uid="{BBF7BF40-F69C-4E38-B71D-4367B4DBA573}"/>
    <cellStyle name="Comma 532 5" xfId="6012" xr:uid="{847AEDFA-B4CB-4CD1-88C0-037443D50A12}"/>
    <cellStyle name="Comma 532 5 2" xfId="16364" xr:uid="{F397481E-2B4B-404F-8C10-4FCBAB43B5E8}"/>
    <cellStyle name="Comma 532 6" xfId="11190" xr:uid="{1459DD20-8B22-4CF9-BB15-959FBD53C01D}"/>
    <cellStyle name="Comma 533" xfId="773" xr:uid="{697693E9-885D-4F55-AD76-DFB7D252C366}"/>
    <cellStyle name="Comma 533 2" xfId="1811" xr:uid="{8B7914C6-9916-4F78-A9F5-2C0CA3F0C346}"/>
    <cellStyle name="Comma 533 2 2" xfId="3869" xr:uid="{288FF1FF-44E7-4BC3-9637-C79A0B5287F0}"/>
    <cellStyle name="Comma 533 2 2 2" xfId="9102" xr:uid="{FD39434C-4701-481E-B1D2-ED74B7199584}"/>
    <cellStyle name="Comma 533 2 2 2 2" xfId="19454" xr:uid="{4711191C-CEB2-4658-ADF2-3CC494DDB86B}"/>
    <cellStyle name="Comma 533 2 2 3" xfId="14279" xr:uid="{BFD1404C-FD34-4AFA-98BB-E55434D40B73}"/>
    <cellStyle name="Comma 533 2 3" xfId="7044" xr:uid="{48D8AFF1-693A-4591-AC94-97A10BFCCE49}"/>
    <cellStyle name="Comma 533 2 3 2" xfId="17396" xr:uid="{507911E9-9BCF-4B71-9819-BE63BD3605C2}"/>
    <cellStyle name="Comma 533 2 4" xfId="12221" xr:uid="{2E07A501-90F1-46A1-8B85-AE5E37115D52}"/>
    <cellStyle name="Comma 533 3" xfId="2839" xr:uid="{4ACB732B-6C8D-43A6-B30C-AC940D204584}"/>
    <cellStyle name="Comma 533 3 2" xfId="8072" xr:uid="{97E3A0EC-E9FB-46A1-96C1-F25286E94E16}"/>
    <cellStyle name="Comma 533 3 2 2" xfId="18424" xr:uid="{83C4FF70-B730-4DDA-A5C2-63BA295074DD}"/>
    <cellStyle name="Comma 533 3 3" xfId="13249" xr:uid="{E6E3B0DD-5E0F-4601-8B76-591EADE3AA18}"/>
    <cellStyle name="Comma 533 4" xfId="4965" xr:uid="{E17969E2-C30C-496C-AE8D-DA49CACE7966}"/>
    <cellStyle name="Comma 533 4 2" xfId="10141" xr:uid="{4609D17C-87D1-4087-8797-FCDE3442D485}"/>
    <cellStyle name="Comma 533 4 2 2" xfId="20493" xr:uid="{DA35CA66-16C5-4FAD-A383-99AC08D2AB02}"/>
    <cellStyle name="Comma 533 4 3" xfId="15317" xr:uid="{998E37DC-370D-4011-9CDD-5926DA8B42BD}"/>
    <cellStyle name="Comma 533 5" xfId="6013" xr:uid="{E1F457F0-9946-4E5B-AD66-051BD7DABB1E}"/>
    <cellStyle name="Comma 533 5 2" xfId="16365" xr:uid="{782913FA-DB4A-45B8-9224-570A95A5FDD8}"/>
    <cellStyle name="Comma 533 6" xfId="11191" xr:uid="{470A544E-1F34-4B06-812A-90DC187F24BA}"/>
    <cellStyle name="Comma 534" xfId="774" xr:uid="{DE3503FD-F0C4-4ECC-AA69-6D38D192D3D5}"/>
    <cellStyle name="Comma 534 2" xfId="1812" xr:uid="{DE2EBF0C-1C52-4BDD-96F4-1AEE4A2DE24E}"/>
    <cellStyle name="Comma 534 2 2" xfId="3870" xr:uid="{5D1EEFC3-0F6D-4538-ADAA-E8A06DB0827E}"/>
    <cellStyle name="Comma 534 2 2 2" xfId="9103" xr:uid="{AF153A55-2E2F-4371-A08F-C9038EA8BC88}"/>
    <cellStyle name="Comma 534 2 2 2 2" xfId="19455" xr:uid="{7096EAFD-1100-4C3B-BE90-DB8BBBE5A832}"/>
    <cellStyle name="Comma 534 2 2 3" xfId="14280" xr:uid="{5EC2DFF0-7490-4DB8-81A4-3A47DDDF1899}"/>
    <cellStyle name="Comma 534 2 3" xfId="7045" xr:uid="{F3E88E9B-A5BD-4441-B098-2EA208B35410}"/>
    <cellStyle name="Comma 534 2 3 2" xfId="17397" xr:uid="{2495DB3F-98D5-46B2-92B0-F7721FE6063D}"/>
    <cellStyle name="Comma 534 2 4" xfId="12222" xr:uid="{64DFAED1-CB9F-409C-927A-1E6491376479}"/>
    <cellStyle name="Comma 534 3" xfId="2840" xr:uid="{470379AF-2F2F-4DD3-AA08-C19370BDBF49}"/>
    <cellStyle name="Comma 534 3 2" xfId="8073" xr:uid="{DE686B78-D58A-4168-9956-566938805FA1}"/>
    <cellStyle name="Comma 534 3 2 2" xfId="18425" xr:uid="{5F5180D4-F281-4E33-8021-5EBF5A53C8A0}"/>
    <cellStyle name="Comma 534 3 3" xfId="13250" xr:uid="{34C7450E-CB25-4EEA-812D-53B9278726C9}"/>
    <cellStyle name="Comma 534 4" xfId="4966" xr:uid="{10D56235-396F-4688-8D42-244FE313F973}"/>
    <cellStyle name="Comma 534 4 2" xfId="10142" xr:uid="{9F374EDA-B148-423E-B4F3-9FF062D2E95C}"/>
    <cellStyle name="Comma 534 4 2 2" xfId="20494" xr:uid="{0B176D0C-5B84-40FB-AAFF-AF6D9596C35A}"/>
    <cellStyle name="Comma 534 4 3" xfId="15318" xr:uid="{8DA5525B-0CC3-4DC8-9E7B-9BC8C611DDE4}"/>
    <cellStyle name="Comma 534 5" xfId="6014" xr:uid="{62B438B5-A326-4F2E-8727-217C8E1EE64A}"/>
    <cellStyle name="Comma 534 5 2" xfId="16366" xr:uid="{97370C0C-D304-4047-93E4-CECBA7E6944E}"/>
    <cellStyle name="Comma 534 6" xfId="11192" xr:uid="{03A22C7D-1EFC-42A4-90EC-6A62FAE05D05}"/>
    <cellStyle name="Comma 535" xfId="775" xr:uid="{78407D34-6F1F-4C0D-B70A-5F27ACB91C6E}"/>
    <cellStyle name="Comma 535 2" xfId="1813" xr:uid="{4B046AC9-4C22-434B-A856-058EDE4A48C6}"/>
    <cellStyle name="Comma 535 2 2" xfId="3871" xr:uid="{9547C5AF-6CFD-4E2D-A4F7-1F949DB028A4}"/>
    <cellStyle name="Comma 535 2 2 2" xfId="9104" xr:uid="{610BB388-01CE-4A19-83F5-CEFB9318DB44}"/>
    <cellStyle name="Comma 535 2 2 2 2" xfId="19456" xr:uid="{99047F20-4EC3-47BE-B667-E27A1BD2E9F3}"/>
    <cellStyle name="Comma 535 2 2 3" xfId="14281" xr:uid="{296DF468-A095-4880-959B-6FD338A61679}"/>
    <cellStyle name="Comma 535 2 3" xfId="7046" xr:uid="{5115EE23-6EAE-46BF-8950-BD2D7866CF4F}"/>
    <cellStyle name="Comma 535 2 3 2" xfId="17398" xr:uid="{05C725E3-1403-400D-AE54-966939A9B2F3}"/>
    <cellStyle name="Comma 535 2 4" xfId="12223" xr:uid="{FEF169DB-A9AD-44CC-A836-CEF470970524}"/>
    <cellStyle name="Comma 535 3" xfId="2841" xr:uid="{686FA14F-0D3B-4A2E-ADE8-7782FA653919}"/>
    <cellStyle name="Comma 535 3 2" xfId="8074" xr:uid="{C14E7947-37CF-4A5D-B328-39DCF5DA04FB}"/>
    <cellStyle name="Comma 535 3 2 2" xfId="18426" xr:uid="{3805DA21-82F5-48DD-BD0E-31E25C9321E0}"/>
    <cellStyle name="Comma 535 3 3" xfId="13251" xr:uid="{F885889C-8443-4F60-8079-618D8688AB27}"/>
    <cellStyle name="Comma 535 4" xfId="4967" xr:uid="{A93AACC7-59E0-4F91-8C67-F9461ED80118}"/>
    <cellStyle name="Comma 535 4 2" xfId="10143" xr:uid="{1C4D08DE-B421-4A91-85BF-034963C632EF}"/>
    <cellStyle name="Comma 535 4 2 2" xfId="20495" xr:uid="{8C5E2E73-3DF6-45F5-B4BD-E7D73336FF92}"/>
    <cellStyle name="Comma 535 4 3" xfId="15319" xr:uid="{258EA467-3367-444A-A3C0-8A07150647B3}"/>
    <cellStyle name="Comma 535 5" xfId="6015" xr:uid="{5DD6ABBA-AC03-4CB2-9517-0475E0F631C1}"/>
    <cellStyle name="Comma 535 5 2" xfId="16367" xr:uid="{54B6875B-3A0A-43E5-9033-17B33B9E37B3}"/>
    <cellStyle name="Comma 535 6" xfId="11193" xr:uid="{8EB0218A-3ACE-4A69-B97A-D0E6A1DF1670}"/>
    <cellStyle name="Comma 536" xfId="776" xr:uid="{31DAD934-B02B-4162-B8FF-222C933A3D43}"/>
    <cellStyle name="Comma 536 2" xfId="1814" xr:uid="{CA4C1D75-9FB0-4E57-AE81-61F03162BA55}"/>
    <cellStyle name="Comma 536 2 2" xfId="3872" xr:uid="{FEC2D308-05B5-4702-B154-B043C4FBE9BA}"/>
    <cellStyle name="Comma 536 2 2 2" xfId="9105" xr:uid="{119C95B1-C4FF-4F98-92FB-F654299817F3}"/>
    <cellStyle name="Comma 536 2 2 2 2" xfId="19457" xr:uid="{6A0EB407-4FB4-4137-91C2-28524690EE7D}"/>
    <cellStyle name="Comma 536 2 2 3" xfId="14282" xr:uid="{0307EA29-584A-48F6-8176-5D4D07F3710E}"/>
    <cellStyle name="Comma 536 2 3" xfId="7047" xr:uid="{5946D9E1-5140-44EF-A7BC-B15506BE8911}"/>
    <cellStyle name="Comma 536 2 3 2" xfId="17399" xr:uid="{100DC1D8-DA82-4792-97AC-AC40B25CDED2}"/>
    <cellStyle name="Comma 536 2 4" xfId="12224" xr:uid="{96BAAE85-B2A4-423D-A5CD-2920914CD3A8}"/>
    <cellStyle name="Comma 536 3" xfId="2842" xr:uid="{5B73B649-B25D-4543-82E0-B24620DE4E8E}"/>
    <cellStyle name="Comma 536 3 2" xfId="8075" xr:uid="{7EB29DA5-978A-4CD4-9BE8-C4FBF7409B44}"/>
    <cellStyle name="Comma 536 3 2 2" xfId="18427" xr:uid="{54080A04-A457-4DF6-B0DB-AAC289CF2EE7}"/>
    <cellStyle name="Comma 536 3 3" xfId="13252" xr:uid="{13198C55-0FAB-43D3-8A8F-BC7B778D262C}"/>
    <cellStyle name="Comma 536 4" xfId="4968" xr:uid="{E4C482A4-F7FD-4C21-8F5D-D757584A9F0D}"/>
    <cellStyle name="Comma 536 4 2" xfId="10144" xr:uid="{11D97CF5-AF19-4BA1-AD64-5174DFBE4D6F}"/>
    <cellStyle name="Comma 536 4 2 2" xfId="20496" xr:uid="{7B51035F-C758-43E9-9BE1-71682950937A}"/>
    <cellStyle name="Comma 536 4 3" xfId="15320" xr:uid="{A36E02EE-64ED-48B2-A6B9-AA37C053515D}"/>
    <cellStyle name="Comma 536 5" xfId="6016" xr:uid="{488CCE48-A5BA-44A5-8656-D2C438C13B72}"/>
    <cellStyle name="Comma 536 5 2" xfId="16368" xr:uid="{6F89388C-6AF0-41A8-B8B2-804DB9E41F7F}"/>
    <cellStyle name="Comma 536 6" xfId="11194" xr:uid="{7F240922-8793-4DE8-A457-119261089531}"/>
    <cellStyle name="Comma 537" xfId="777" xr:uid="{E92C7D35-8AA1-48EB-8ED6-A35746955DD6}"/>
    <cellStyle name="Comma 537 2" xfId="1815" xr:uid="{FBDEF8D3-3FBC-45EE-A88C-70F42B944615}"/>
    <cellStyle name="Comma 537 2 2" xfId="3873" xr:uid="{B7D6AFF2-5E42-425A-84EF-DE6EB28F6FE7}"/>
    <cellStyle name="Comma 537 2 2 2" xfId="9106" xr:uid="{BEA7639C-E362-4A69-96EC-2C995DAD4EFE}"/>
    <cellStyle name="Comma 537 2 2 2 2" xfId="19458" xr:uid="{8C4DDF50-7D37-445C-A9D2-DEB02D40C099}"/>
    <cellStyle name="Comma 537 2 2 3" xfId="14283" xr:uid="{C3E7A00F-658E-4BC2-8DAC-15AB6FCD0E54}"/>
    <cellStyle name="Comma 537 2 3" xfId="7048" xr:uid="{022DA812-BA59-4F60-B2D1-40243DEDDF8C}"/>
    <cellStyle name="Comma 537 2 3 2" xfId="17400" xr:uid="{6520FAE0-0755-4A84-A579-40F58E32CCD9}"/>
    <cellStyle name="Comma 537 2 4" xfId="12225" xr:uid="{89478352-B3F7-4973-8A67-D52B9D63A5B4}"/>
    <cellStyle name="Comma 537 3" xfId="2843" xr:uid="{81C28C16-399F-4224-B692-0826602A3C7E}"/>
    <cellStyle name="Comma 537 3 2" xfId="8076" xr:uid="{FF41966C-F6FC-446B-AB85-BE34C1B9AB08}"/>
    <cellStyle name="Comma 537 3 2 2" xfId="18428" xr:uid="{8EA3B5B5-4273-4D70-91F5-84CCF35C2F1C}"/>
    <cellStyle name="Comma 537 3 3" xfId="13253" xr:uid="{76721EDE-00B1-464B-B80B-57A86AAA6153}"/>
    <cellStyle name="Comma 537 4" xfId="4969" xr:uid="{37AD8B05-E63F-4E50-8414-0F4884A54560}"/>
    <cellStyle name="Comma 537 4 2" xfId="10145" xr:uid="{D64E642D-9612-4A20-8BD7-385DCDC71264}"/>
    <cellStyle name="Comma 537 4 2 2" xfId="20497" xr:uid="{5F860102-AF62-48EA-9C6C-0E59A4831428}"/>
    <cellStyle name="Comma 537 4 3" xfId="15321" xr:uid="{67B5C489-9CDD-493E-A6DC-42429C7E1D87}"/>
    <cellStyle name="Comma 537 5" xfId="6017" xr:uid="{10F6DB8C-870D-46D0-B1F4-26468C47AE2E}"/>
    <cellStyle name="Comma 537 5 2" xfId="16369" xr:uid="{DC8C403E-84C6-4891-9894-3D5BF1D96417}"/>
    <cellStyle name="Comma 537 6" xfId="11195" xr:uid="{945DB82A-C5C8-4E31-B4BA-D5703BDE7489}"/>
    <cellStyle name="Comma 538" xfId="778" xr:uid="{B11D011D-980A-41E3-8A6C-3D34AA6F051F}"/>
    <cellStyle name="Comma 538 2" xfId="1816" xr:uid="{C2E0EA1C-C8F9-49D3-A2CA-36E56424D33E}"/>
    <cellStyle name="Comma 538 2 2" xfId="3874" xr:uid="{B87A3C60-BE00-457A-B73D-DE4218889884}"/>
    <cellStyle name="Comma 538 2 2 2" xfId="9107" xr:uid="{0838A648-73BD-4B4D-8233-78906B03D383}"/>
    <cellStyle name="Comma 538 2 2 2 2" xfId="19459" xr:uid="{EBAE4AAD-3F4C-4251-A216-634526D77088}"/>
    <cellStyle name="Comma 538 2 2 3" xfId="14284" xr:uid="{BA6ED160-4D83-4941-B435-C108FFE68710}"/>
    <cellStyle name="Comma 538 2 3" xfId="7049" xr:uid="{9E0DB00B-417D-4A39-AB0D-D3E0470B5E93}"/>
    <cellStyle name="Comma 538 2 3 2" xfId="17401" xr:uid="{970E3F75-0830-4DDD-AE7D-FE0C4BA15F91}"/>
    <cellStyle name="Comma 538 2 4" xfId="12226" xr:uid="{9D4DBF88-F845-4284-A02E-6237D9309A51}"/>
    <cellStyle name="Comma 538 3" xfId="2844" xr:uid="{00131EBD-628C-473F-AF0F-04D6876DA7FF}"/>
    <cellStyle name="Comma 538 3 2" xfId="8077" xr:uid="{8EBD828E-9C96-445F-BFF5-7F64AFE23180}"/>
    <cellStyle name="Comma 538 3 2 2" xfId="18429" xr:uid="{51B75DDA-19AB-4AAE-99B9-7E4A5D90863A}"/>
    <cellStyle name="Comma 538 3 3" xfId="13254" xr:uid="{BCAFF546-20AE-47BD-A3E8-5D8CE558EC07}"/>
    <cellStyle name="Comma 538 4" xfId="4970" xr:uid="{6970DF5F-31C5-4C13-B482-E15FB2B40721}"/>
    <cellStyle name="Comma 538 4 2" xfId="10146" xr:uid="{1DCDA055-A451-45D3-A308-B1D3C26F5CF7}"/>
    <cellStyle name="Comma 538 4 2 2" xfId="20498" xr:uid="{5DDC736E-AB21-48CB-AA1D-BDB313983437}"/>
    <cellStyle name="Comma 538 4 3" xfId="15322" xr:uid="{E5B81E1D-CB5B-416F-8F2A-0E4310AB37FF}"/>
    <cellStyle name="Comma 538 5" xfId="6018" xr:uid="{37FAA64F-A287-45E2-94CC-DC5CE4EAFF71}"/>
    <cellStyle name="Comma 538 5 2" xfId="16370" xr:uid="{419DB52F-96DB-4C85-99AF-D12E1C5100C3}"/>
    <cellStyle name="Comma 538 6" xfId="11196" xr:uid="{8756DD6E-0FF8-4B01-A599-3574E36D4C28}"/>
    <cellStyle name="Comma 539" xfId="779" xr:uid="{61316178-4607-4423-8E48-7C7899919BB8}"/>
    <cellStyle name="Comma 539 2" xfId="1817" xr:uid="{1CC2CB7C-4E3E-4A39-9675-BDC321C75CD4}"/>
    <cellStyle name="Comma 539 2 2" xfId="3875" xr:uid="{B44F16EC-033F-407F-A0B5-84A1E2B2D88B}"/>
    <cellStyle name="Comma 539 2 2 2" xfId="9108" xr:uid="{98F79D80-903C-4889-BDD2-0B1A52FEE6B6}"/>
    <cellStyle name="Comma 539 2 2 2 2" xfId="19460" xr:uid="{946A3B00-0D4C-4FCE-921E-95D5EEE33A1B}"/>
    <cellStyle name="Comma 539 2 2 3" xfId="14285" xr:uid="{D4273DD6-B0C5-42B4-9B83-375237794035}"/>
    <cellStyle name="Comma 539 2 3" xfId="7050" xr:uid="{9B11A002-A811-412C-B294-8BFB4FC576A9}"/>
    <cellStyle name="Comma 539 2 3 2" xfId="17402" xr:uid="{2A6AE671-3A1A-409D-8327-FF4D450F2605}"/>
    <cellStyle name="Comma 539 2 4" xfId="12227" xr:uid="{48691281-23DD-4427-9BD5-0C26098B0C34}"/>
    <cellStyle name="Comma 539 3" xfId="2845" xr:uid="{6248DE25-128D-4AEA-B743-EAC398CEDBC4}"/>
    <cellStyle name="Comma 539 3 2" xfId="8078" xr:uid="{90D9C2CD-AA1D-4855-9DC6-D37DD8C4CA9C}"/>
    <cellStyle name="Comma 539 3 2 2" xfId="18430" xr:uid="{71769E0B-9DD3-4CE5-B5B4-76AE2CD44264}"/>
    <cellStyle name="Comma 539 3 3" xfId="13255" xr:uid="{A46E52F2-C44C-4589-937F-0B5464B7586D}"/>
    <cellStyle name="Comma 539 4" xfId="4971" xr:uid="{278FB552-E53C-46CA-B6BE-166BF2F1FE21}"/>
    <cellStyle name="Comma 539 4 2" xfId="10147" xr:uid="{C46E2C6C-1A40-4DD2-9674-1F379861F5D5}"/>
    <cellStyle name="Comma 539 4 2 2" xfId="20499" xr:uid="{F02571FE-F928-4885-ADAE-2F2B3266B477}"/>
    <cellStyle name="Comma 539 4 3" xfId="15323" xr:uid="{DFCDC04D-15AC-495D-A2C9-916F10D2B11D}"/>
    <cellStyle name="Comma 539 5" xfId="6019" xr:uid="{BF62E0E4-1ADC-4BD1-B023-4C1656C8D584}"/>
    <cellStyle name="Comma 539 5 2" xfId="16371" xr:uid="{F93789E6-7953-402E-AF87-3E5A49DA17A8}"/>
    <cellStyle name="Comma 539 6" xfId="11197" xr:uid="{6C4DFD2F-7287-42E5-AABA-4B5FA81672CF}"/>
    <cellStyle name="Comma 54" xfId="254" xr:uid="{8A55ED37-E972-4987-BB6E-20A4DD3BB13A}"/>
    <cellStyle name="Comma 54 2" xfId="1332" xr:uid="{E4F65EB9-DC80-40C8-931E-7A25FFD79295}"/>
    <cellStyle name="Comma 54 2 2" xfId="3390" xr:uid="{CA903C43-B97F-4761-BCCA-6FA6921186AF}"/>
    <cellStyle name="Comma 54 2 2 2" xfId="8623" xr:uid="{C599EE82-249C-4DC3-931A-E7DCA7703CC4}"/>
    <cellStyle name="Comma 54 2 2 2 2" xfId="18975" xr:uid="{49554F21-914F-4355-81C9-F0D1867C2F30}"/>
    <cellStyle name="Comma 54 2 2 3" xfId="13800" xr:uid="{2A5A607A-41EC-4479-A217-1650D7EEAA80}"/>
    <cellStyle name="Comma 54 2 3" xfId="6565" xr:uid="{B7A57FB6-E578-4C24-BA8C-721371EDF4C0}"/>
    <cellStyle name="Comma 54 2 3 2" xfId="16917" xr:uid="{E549F887-DCE2-4899-91C6-BF04E70F6F2D}"/>
    <cellStyle name="Comma 54 2 4" xfId="11742" xr:uid="{E2956099-ED26-4AED-8F35-3716E30632CE}"/>
    <cellStyle name="Comma 54 3" xfId="2360" xr:uid="{FB42142A-2D65-4807-85B4-FCBD9550714F}"/>
    <cellStyle name="Comma 54 3 2" xfId="7593" xr:uid="{04BF16D7-F522-4CCB-8D0C-7BA6B453FFA9}"/>
    <cellStyle name="Comma 54 3 2 2" xfId="17945" xr:uid="{2CBFEE81-492C-4F7B-9DC0-84E6B8A92056}"/>
    <cellStyle name="Comma 54 3 3" xfId="12770" xr:uid="{D96A7F31-0981-406A-9515-B780D02FC500}"/>
    <cellStyle name="Comma 54 4" xfId="4486" xr:uid="{06492472-9270-4B84-B778-E1137F6DA15A}"/>
    <cellStyle name="Comma 54 4 2" xfId="9662" xr:uid="{5F9BEE6A-47C3-469F-85AB-FE71242892E8}"/>
    <cellStyle name="Comma 54 4 2 2" xfId="20014" xr:uid="{16FEF65B-AED5-4FC4-BBF5-C02C76E02019}"/>
    <cellStyle name="Comma 54 4 3" xfId="14838" xr:uid="{604F3F3D-7A6F-49AA-B932-F83109855506}"/>
    <cellStyle name="Comma 54 5" xfId="5534" xr:uid="{1B593564-6063-4B21-A9C8-6DC68FE03BD8}"/>
    <cellStyle name="Comma 54 5 2" xfId="15886" xr:uid="{E991F7D9-34C7-45CF-8255-C7229F537043}"/>
    <cellStyle name="Comma 54 6" xfId="10712" xr:uid="{A75CE42F-DF90-429E-9F7E-1E00F7C5923A}"/>
    <cellStyle name="Comma 540" xfId="780" xr:uid="{A144F807-1270-40A7-8E41-008629069D7A}"/>
    <cellStyle name="Comma 540 2" xfId="1818" xr:uid="{633FA7AA-1D5A-4CCD-AF75-F63F212CA4FF}"/>
    <cellStyle name="Comma 540 2 2" xfId="3876" xr:uid="{27C01E31-CEE6-4B3E-BCFA-636E48B4094E}"/>
    <cellStyle name="Comma 540 2 2 2" xfId="9109" xr:uid="{66977CE8-D9C6-42BF-81DE-DE2E8B29ED28}"/>
    <cellStyle name="Comma 540 2 2 2 2" xfId="19461" xr:uid="{3A5EDFBC-F718-4522-A50C-63705DB92A27}"/>
    <cellStyle name="Comma 540 2 2 3" xfId="14286" xr:uid="{BAF40F5D-DE44-48EC-8D18-BC22BA36D326}"/>
    <cellStyle name="Comma 540 2 3" xfId="7051" xr:uid="{9AAFD2F3-9F76-47EE-8F17-28C9BDB2B3C9}"/>
    <cellStyle name="Comma 540 2 3 2" xfId="17403" xr:uid="{3020B826-3F80-4C6D-B4D2-A66CBFFC6234}"/>
    <cellStyle name="Comma 540 2 4" xfId="12228" xr:uid="{925AA4AF-1A41-4189-882B-B6995584B131}"/>
    <cellStyle name="Comma 540 3" xfId="2846" xr:uid="{622F04A0-83C0-47F9-8F4D-720BA26179E3}"/>
    <cellStyle name="Comma 540 3 2" xfId="8079" xr:uid="{8CF416B6-980B-4D80-A2B1-60E422408B1F}"/>
    <cellStyle name="Comma 540 3 2 2" xfId="18431" xr:uid="{CD10CA85-29DC-403A-BDBC-9365A2B73193}"/>
    <cellStyle name="Comma 540 3 3" xfId="13256" xr:uid="{7B1AA619-50B7-4109-BC7C-2AC9BA494328}"/>
    <cellStyle name="Comma 540 4" xfId="4972" xr:uid="{7C9505A3-F412-4EB5-8422-366C65FD1DE2}"/>
    <cellStyle name="Comma 540 4 2" xfId="10148" xr:uid="{C06D7BDA-D8A5-4185-ACBF-F6D0EDB7689C}"/>
    <cellStyle name="Comma 540 4 2 2" xfId="20500" xr:uid="{DC0B98B0-C520-4C2B-9DE1-0BF91CC7B7B5}"/>
    <cellStyle name="Comma 540 4 3" xfId="15324" xr:uid="{F77610CD-E50B-43ED-8BDC-CB07FD9337AF}"/>
    <cellStyle name="Comma 540 5" xfId="6020" xr:uid="{DF2C27F7-0A05-40DF-93E5-60935A1F308B}"/>
    <cellStyle name="Comma 540 5 2" xfId="16372" xr:uid="{F91082AB-95A7-499B-B8F6-0945449CC377}"/>
    <cellStyle name="Comma 540 6" xfId="11198" xr:uid="{F4F7A687-8EC9-47AC-9FE9-7A86AE819195}"/>
    <cellStyle name="Comma 541" xfId="781" xr:uid="{84BF507F-F304-46E5-A343-A1E3EDC35E3A}"/>
    <cellStyle name="Comma 541 2" xfId="1819" xr:uid="{E2D13F14-3888-4883-8258-DDFA9CBC2BD9}"/>
    <cellStyle name="Comma 541 2 2" xfId="3877" xr:uid="{F32B8FC5-54D6-420D-A22F-36A384727D76}"/>
    <cellStyle name="Comma 541 2 2 2" xfId="9110" xr:uid="{EF71EE9C-2E3A-4D63-9B22-727545F4D224}"/>
    <cellStyle name="Comma 541 2 2 2 2" xfId="19462" xr:uid="{E8146EED-FC60-4E5D-BBA9-BC9E634AED81}"/>
    <cellStyle name="Comma 541 2 2 3" xfId="14287" xr:uid="{D7E4E8A5-F5E1-41F7-B163-A53E23266F04}"/>
    <cellStyle name="Comma 541 2 3" xfId="7052" xr:uid="{879B137C-3EE7-4C31-A160-68CFE12BDF9C}"/>
    <cellStyle name="Comma 541 2 3 2" xfId="17404" xr:uid="{52912102-0BC7-4BE8-8944-FB880B559DC0}"/>
    <cellStyle name="Comma 541 2 4" xfId="12229" xr:uid="{5F321140-081D-4B03-930E-94557C12FB7D}"/>
    <cellStyle name="Comma 541 3" xfId="2847" xr:uid="{FC57D20E-E361-4DEF-82C0-23450F2BBD7B}"/>
    <cellStyle name="Comma 541 3 2" xfId="8080" xr:uid="{71D921AF-DE4D-4F4D-AFAF-BA9A7DF4686B}"/>
    <cellStyle name="Comma 541 3 2 2" xfId="18432" xr:uid="{9ED18036-0F1A-4347-93DC-C48B64375377}"/>
    <cellStyle name="Comma 541 3 3" xfId="13257" xr:uid="{DAA2F096-5625-47B8-8EC8-9E11EE890537}"/>
    <cellStyle name="Comma 541 4" xfId="4973" xr:uid="{85B4CCC7-B34E-4FD6-901A-81D3A14E49B2}"/>
    <cellStyle name="Comma 541 4 2" xfId="10149" xr:uid="{C1BC5C13-8EC7-490E-AFA2-2D1426C36BDA}"/>
    <cellStyle name="Comma 541 4 2 2" xfId="20501" xr:uid="{A44CC1F7-FB4F-459B-A30B-3C4FE1CF3A10}"/>
    <cellStyle name="Comma 541 4 3" xfId="15325" xr:uid="{731A8D48-891F-4CB2-A9F3-F6DF456CC526}"/>
    <cellStyle name="Comma 541 5" xfId="6021" xr:uid="{D9C22DCA-B4E7-485D-A8F0-3089D26700A2}"/>
    <cellStyle name="Comma 541 5 2" xfId="16373" xr:uid="{9148E151-8C9F-4927-8F09-A8FD0C594B4B}"/>
    <cellStyle name="Comma 541 6" xfId="11199" xr:uid="{CD63B064-2765-4EA0-A82B-C49BACB752DD}"/>
    <cellStyle name="Comma 542" xfId="782" xr:uid="{6702E2F4-6C02-40CD-BB4B-FE56B05FC00C}"/>
    <cellStyle name="Comma 542 2" xfId="1820" xr:uid="{218ADD3E-0F86-4762-B783-C23324109117}"/>
    <cellStyle name="Comma 542 2 2" xfId="3878" xr:uid="{CC943558-675B-4E9C-AFD0-8372D30227B7}"/>
    <cellStyle name="Comma 542 2 2 2" xfId="9111" xr:uid="{3F40AF0F-630F-4E0B-A750-C3F38EA88065}"/>
    <cellStyle name="Comma 542 2 2 2 2" xfId="19463" xr:uid="{02B4FA69-E9D4-407E-86E8-2D115AD8F139}"/>
    <cellStyle name="Comma 542 2 2 3" xfId="14288" xr:uid="{D9DFD6EC-80E0-42DD-96F0-9C4BF180A598}"/>
    <cellStyle name="Comma 542 2 3" xfId="7053" xr:uid="{E1BC3765-C07A-41AD-9EA4-37B95D62183E}"/>
    <cellStyle name="Comma 542 2 3 2" xfId="17405" xr:uid="{31A47999-9A3A-45DE-84EA-3EB3FAAA223E}"/>
    <cellStyle name="Comma 542 2 4" xfId="12230" xr:uid="{1B9622BF-218F-4F7C-B6E2-DBBF00CC629D}"/>
    <cellStyle name="Comma 542 3" xfId="2848" xr:uid="{CE395349-FA31-47D1-A3AF-5320B93D4B85}"/>
    <cellStyle name="Comma 542 3 2" xfId="8081" xr:uid="{FAEA34C2-3610-409C-B6D7-974EE9DC9328}"/>
    <cellStyle name="Comma 542 3 2 2" xfId="18433" xr:uid="{618CE8A7-EEA7-4997-9A70-6EAF4CDC74A4}"/>
    <cellStyle name="Comma 542 3 3" xfId="13258" xr:uid="{D760B409-D9CE-4938-932D-58D634F6E0F1}"/>
    <cellStyle name="Comma 542 4" xfId="4974" xr:uid="{0FBD428E-BBAB-4B07-837E-338764BAD860}"/>
    <cellStyle name="Comma 542 4 2" xfId="10150" xr:uid="{65BB8E3D-3801-408D-B418-F863624F73E3}"/>
    <cellStyle name="Comma 542 4 2 2" xfId="20502" xr:uid="{015BA617-978F-47EE-BD8A-27CA63F78D3A}"/>
    <cellStyle name="Comma 542 4 3" xfId="15326" xr:uid="{95176D80-37E3-48B9-ADC5-EDB91965D1AA}"/>
    <cellStyle name="Comma 542 5" xfId="6022" xr:uid="{E9326D18-2BD4-4739-A648-5A08F572817E}"/>
    <cellStyle name="Comma 542 5 2" xfId="16374" xr:uid="{AAD15A86-5EF3-4AEA-AD30-F0A9D87EE0AF}"/>
    <cellStyle name="Comma 542 6" xfId="11200" xr:uid="{1380364C-4B2C-4281-ADE3-6A846C2D96DB}"/>
    <cellStyle name="Comma 543" xfId="783" xr:uid="{EC770E69-D36C-4CA5-A1A9-D5EEAA4421AC}"/>
    <cellStyle name="Comma 543 2" xfId="1821" xr:uid="{8E352A44-F6C8-4E51-9508-A6B16C62357A}"/>
    <cellStyle name="Comma 543 2 2" xfId="3879" xr:uid="{84BDBC6A-1B45-4E4B-9F29-640F754F44DF}"/>
    <cellStyle name="Comma 543 2 2 2" xfId="9112" xr:uid="{073F321B-F778-4E71-9A14-1EEBCC2CD59D}"/>
    <cellStyle name="Comma 543 2 2 2 2" xfId="19464" xr:uid="{C24933BB-2580-4C1E-AD70-6F3E3D2AE34A}"/>
    <cellStyle name="Comma 543 2 2 3" xfId="14289" xr:uid="{E0D15878-0A69-4259-94B0-3776762C3C49}"/>
    <cellStyle name="Comma 543 2 3" xfId="7054" xr:uid="{51866667-B901-483C-98F1-EE9933285AD5}"/>
    <cellStyle name="Comma 543 2 3 2" xfId="17406" xr:uid="{4E28079B-8C0A-4466-8624-E5D99E1FA56E}"/>
    <cellStyle name="Comma 543 2 4" xfId="12231" xr:uid="{7A4EA706-FB63-43B3-828B-92705850F92A}"/>
    <cellStyle name="Comma 543 3" xfId="2849" xr:uid="{8DDFFD40-2EFC-4084-B0EB-6D7238512B01}"/>
    <cellStyle name="Comma 543 3 2" xfId="8082" xr:uid="{228F7DA5-8ABA-4FB0-85DB-C9FF0EC670D4}"/>
    <cellStyle name="Comma 543 3 2 2" xfId="18434" xr:uid="{6CEA6493-BF92-45CB-951B-140EC505CAF7}"/>
    <cellStyle name="Comma 543 3 3" xfId="13259" xr:uid="{EBEE35C0-579B-4E62-AC62-1AF89D4D73B0}"/>
    <cellStyle name="Comma 543 4" xfId="4975" xr:uid="{E94848DF-A0B0-42D8-B584-354137A9BBBA}"/>
    <cellStyle name="Comma 543 4 2" xfId="10151" xr:uid="{C8EE1A7C-B2F7-419F-ABC0-59056F54406D}"/>
    <cellStyle name="Comma 543 4 2 2" xfId="20503" xr:uid="{FD79FC4B-A80F-4252-BA0F-E2B9DEE743C9}"/>
    <cellStyle name="Comma 543 4 3" xfId="15327" xr:uid="{D62E284E-0D66-42A5-B1E5-C7E6E7CE1DC8}"/>
    <cellStyle name="Comma 543 5" xfId="6023" xr:uid="{1FC329AE-6840-48CD-A632-5B25F4A2BBDB}"/>
    <cellStyle name="Comma 543 5 2" xfId="16375" xr:uid="{6C17D19E-A5CB-4B8D-A5F7-CE0411E3FE5A}"/>
    <cellStyle name="Comma 543 6" xfId="11201" xr:uid="{784A472A-E547-4EC2-888A-A099CD73A6C7}"/>
    <cellStyle name="Comma 544" xfId="784" xr:uid="{D65DCB0B-633B-4208-940B-24009D4DA7B8}"/>
    <cellStyle name="Comma 544 2" xfId="1822" xr:uid="{953026DE-EFC7-452D-9427-E48811547D06}"/>
    <cellStyle name="Comma 544 2 2" xfId="3880" xr:uid="{103CAD40-225D-4B47-89B8-16DBE3C98F8A}"/>
    <cellStyle name="Comma 544 2 2 2" xfId="9113" xr:uid="{9A870144-9D8A-48C9-9D9E-BC834FCCED31}"/>
    <cellStyle name="Comma 544 2 2 2 2" xfId="19465" xr:uid="{6564AD45-B2F6-4DFA-BB72-123EA229A1E1}"/>
    <cellStyle name="Comma 544 2 2 3" xfId="14290" xr:uid="{77B62DE8-C5C2-4397-815B-DB768A8768A1}"/>
    <cellStyle name="Comma 544 2 3" xfId="7055" xr:uid="{41FFF786-0EE7-4FEB-93D0-427F2DBE6B90}"/>
    <cellStyle name="Comma 544 2 3 2" xfId="17407" xr:uid="{89079E9B-8D3D-401F-8D6D-B25CA81B3DC1}"/>
    <cellStyle name="Comma 544 2 4" xfId="12232" xr:uid="{B90CC7C1-A928-4EF5-80DF-B1B43426B73C}"/>
    <cellStyle name="Comma 544 3" xfId="2850" xr:uid="{12E882C2-B62F-4923-BD77-5C8EA69EB2F7}"/>
    <cellStyle name="Comma 544 3 2" xfId="8083" xr:uid="{AD2CA398-A2CB-4ADD-BF14-FB86E487E4A3}"/>
    <cellStyle name="Comma 544 3 2 2" xfId="18435" xr:uid="{F515CC59-5D10-41AE-850A-F58F924750FB}"/>
    <cellStyle name="Comma 544 3 3" xfId="13260" xr:uid="{FFC88708-865E-4501-A1F3-659C7C1CDD86}"/>
    <cellStyle name="Comma 544 4" xfId="4976" xr:uid="{A09D58C1-FE6A-4A9A-9813-4240EF9EDE45}"/>
    <cellStyle name="Comma 544 4 2" xfId="10152" xr:uid="{53E752E8-AA00-4C48-B31E-FD654D624206}"/>
    <cellStyle name="Comma 544 4 2 2" xfId="20504" xr:uid="{05E0EDCB-2FA2-4A76-9233-A564D348D8C1}"/>
    <cellStyle name="Comma 544 4 3" xfId="15328" xr:uid="{73ACB977-961C-4F91-B6ED-883066276551}"/>
    <cellStyle name="Comma 544 5" xfId="6024" xr:uid="{269A3FAC-8770-4A29-96B4-1FDC4D3FF144}"/>
    <cellStyle name="Comma 544 5 2" xfId="16376" xr:uid="{1CC09308-26EA-4707-92C1-FD119CE5871E}"/>
    <cellStyle name="Comma 544 6" xfId="11202" xr:uid="{542B95A5-03DE-4DDF-8E8B-C05BC25C7E0E}"/>
    <cellStyle name="Comma 545" xfId="785" xr:uid="{F5EC1569-0FF3-4823-B367-F40ED3C9964D}"/>
    <cellStyle name="Comma 545 2" xfId="1823" xr:uid="{1A8E3E1C-3D23-46A2-A6D9-15F07DB5A8A8}"/>
    <cellStyle name="Comma 545 2 2" xfId="3881" xr:uid="{86BEC232-A0B9-4C11-A061-ACF354A5A2D1}"/>
    <cellStyle name="Comma 545 2 2 2" xfId="9114" xr:uid="{909A9F45-76F2-4B65-8D65-D141E49896FF}"/>
    <cellStyle name="Comma 545 2 2 2 2" xfId="19466" xr:uid="{B43322A7-1E3D-4B8D-A143-266C87B7ADBC}"/>
    <cellStyle name="Comma 545 2 2 3" xfId="14291" xr:uid="{83061030-8CC0-42CE-8BD1-89BB20E5B48A}"/>
    <cellStyle name="Comma 545 2 3" xfId="7056" xr:uid="{45F0F987-6572-44FC-8788-97854249D5B3}"/>
    <cellStyle name="Comma 545 2 3 2" xfId="17408" xr:uid="{C679AA52-4C51-439C-B01F-91D353EF0FF7}"/>
    <cellStyle name="Comma 545 2 4" xfId="12233" xr:uid="{F30210B7-326A-409D-9F69-D73D0AC3580A}"/>
    <cellStyle name="Comma 545 3" xfId="2851" xr:uid="{0A1B698C-68FF-456B-A567-94850C5B2130}"/>
    <cellStyle name="Comma 545 3 2" xfId="8084" xr:uid="{FB3C5B39-A6B6-4490-B13F-DC7C51DEC4DE}"/>
    <cellStyle name="Comma 545 3 2 2" xfId="18436" xr:uid="{DFB56BD5-AFCA-4B56-A2B6-FD0F61EC12FA}"/>
    <cellStyle name="Comma 545 3 3" xfId="13261" xr:uid="{CED98559-DB91-48AD-828C-D6E6CB588F53}"/>
    <cellStyle name="Comma 545 4" xfId="4977" xr:uid="{AF17CADB-D7FD-4CBB-A0CB-1BF24E2452C1}"/>
    <cellStyle name="Comma 545 4 2" xfId="10153" xr:uid="{30CAF800-8551-4D90-ADCC-96876811C91F}"/>
    <cellStyle name="Comma 545 4 2 2" xfId="20505" xr:uid="{6D096237-B3D7-4BF4-AFE8-262BAA53009B}"/>
    <cellStyle name="Comma 545 4 3" xfId="15329" xr:uid="{AB27D712-5238-4643-969F-E8EBA99E36FC}"/>
    <cellStyle name="Comma 545 5" xfId="6025" xr:uid="{A51B3207-5CB4-42D8-84B5-B5191C5C07B4}"/>
    <cellStyle name="Comma 545 5 2" xfId="16377" xr:uid="{8663A26E-A0E6-4101-B211-9EA4C03E8A45}"/>
    <cellStyle name="Comma 545 6" xfId="11203" xr:uid="{49A5C693-6C84-491D-BA52-E3D50E2190C2}"/>
    <cellStyle name="Comma 546" xfId="786" xr:uid="{B140CD0A-3E98-46B9-803B-DE0EB255800C}"/>
    <cellStyle name="Comma 546 2" xfId="1824" xr:uid="{39D45855-AC47-4C4D-A07A-BCD29A7F0871}"/>
    <cellStyle name="Comma 546 2 2" xfId="3882" xr:uid="{2C3D8628-E02E-4FCA-A883-0AD526C89288}"/>
    <cellStyle name="Comma 546 2 2 2" xfId="9115" xr:uid="{14988B6E-CE51-42FA-8692-2EFBD3EA4D0E}"/>
    <cellStyle name="Comma 546 2 2 2 2" xfId="19467" xr:uid="{AADA200F-6764-40DB-B4D7-A36F3E851C42}"/>
    <cellStyle name="Comma 546 2 2 3" xfId="14292" xr:uid="{8D974CC2-D5B6-4D06-BDCC-5C153D9C708A}"/>
    <cellStyle name="Comma 546 2 3" xfId="7057" xr:uid="{30C62935-23A3-4B9D-A51C-E9F6928F8552}"/>
    <cellStyle name="Comma 546 2 3 2" xfId="17409" xr:uid="{255A7717-828A-430A-8F69-DE0C745E6E55}"/>
    <cellStyle name="Comma 546 2 4" xfId="12234" xr:uid="{9751C266-EFDE-4B3A-9B52-9AEECE6ED744}"/>
    <cellStyle name="Comma 546 3" xfId="2852" xr:uid="{C22293DE-CCE9-43D1-A2B2-7DFE29CD5A7B}"/>
    <cellStyle name="Comma 546 3 2" xfId="8085" xr:uid="{16D07DCF-D2C2-4161-94D6-C82D10BDDC69}"/>
    <cellStyle name="Comma 546 3 2 2" xfId="18437" xr:uid="{17F6031C-A8F2-4DDA-8536-6BC9483919D8}"/>
    <cellStyle name="Comma 546 3 3" xfId="13262" xr:uid="{45B7D7B2-62B7-482B-872D-9889476320DC}"/>
    <cellStyle name="Comma 546 4" xfId="4978" xr:uid="{11560D2D-BF31-4F1B-BBAC-7D57668BCAE8}"/>
    <cellStyle name="Comma 546 4 2" xfId="10154" xr:uid="{407B1BE1-5088-48AE-99C2-C16B45833AF2}"/>
    <cellStyle name="Comma 546 4 2 2" xfId="20506" xr:uid="{A6687BE6-E896-4153-852D-79BE175FEC65}"/>
    <cellStyle name="Comma 546 4 3" xfId="15330" xr:uid="{E0B91942-E5A5-45FD-AA2D-558361CF788B}"/>
    <cellStyle name="Comma 546 5" xfId="6026" xr:uid="{5257A1BC-30C8-4538-A49D-60F5987CCCD0}"/>
    <cellStyle name="Comma 546 5 2" xfId="16378" xr:uid="{F18B1BD1-C083-4349-A49C-282D10B8DB3B}"/>
    <cellStyle name="Comma 546 6" xfId="11204" xr:uid="{1C289368-186A-4381-8C47-9361930BF73B}"/>
    <cellStyle name="Comma 547" xfId="787" xr:uid="{C6256860-DADC-4E1D-87FD-8E7B22135826}"/>
    <cellStyle name="Comma 547 2" xfId="1825" xr:uid="{F7F3468F-A07A-49E3-8931-C4C927B8462C}"/>
    <cellStyle name="Comma 547 2 2" xfId="3883" xr:uid="{37BA3DED-B54C-4D59-9E4D-1FB207DE6DC1}"/>
    <cellStyle name="Comma 547 2 2 2" xfId="9116" xr:uid="{24A378BF-8592-45DE-9194-CE993CB4508B}"/>
    <cellStyle name="Comma 547 2 2 2 2" xfId="19468" xr:uid="{3A1C21A4-9C85-4E8A-808C-43FCACF6B411}"/>
    <cellStyle name="Comma 547 2 2 3" xfId="14293" xr:uid="{8A274696-906A-48D4-84DA-1D81A7A2EB53}"/>
    <cellStyle name="Comma 547 2 3" xfId="7058" xr:uid="{88BB9BAF-5750-4140-B4DD-68B68498414B}"/>
    <cellStyle name="Comma 547 2 3 2" xfId="17410" xr:uid="{1455290E-E654-4DD4-A966-CBC292A123B7}"/>
    <cellStyle name="Comma 547 2 4" xfId="12235" xr:uid="{BAC7E940-AA36-4F63-BEF3-E2447E50B9C7}"/>
    <cellStyle name="Comma 547 3" xfId="2853" xr:uid="{49EBB586-9A7D-4473-ABA1-4DFE27566E41}"/>
    <cellStyle name="Comma 547 3 2" xfId="8086" xr:uid="{AB636D44-D1F4-498E-B129-7E99228595FB}"/>
    <cellStyle name="Comma 547 3 2 2" xfId="18438" xr:uid="{8F30AF57-D19F-48E0-9B9A-165C589E8F59}"/>
    <cellStyle name="Comma 547 3 3" xfId="13263" xr:uid="{93F006CD-25B1-42C3-8B36-B9E4AEDD1F41}"/>
    <cellStyle name="Comma 547 4" xfId="4979" xr:uid="{1628FB6B-3EBD-4D7B-8786-88A2B340A89B}"/>
    <cellStyle name="Comma 547 4 2" xfId="10155" xr:uid="{092122D6-4D99-4F7F-9362-EF12E14AB363}"/>
    <cellStyle name="Comma 547 4 2 2" xfId="20507" xr:uid="{A640FD03-51C1-4CE8-AF80-A279CF14A15C}"/>
    <cellStyle name="Comma 547 4 3" xfId="15331" xr:uid="{4BB70ADE-9460-414B-85DF-80DDA03BEF9A}"/>
    <cellStyle name="Comma 547 5" xfId="6027" xr:uid="{E8AF0753-6EB5-4DED-A1B1-071018B3C32E}"/>
    <cellStyle name="Comma 547 5 2" xfId="16379" xr:uid="{46365EC8-9DD6-438C-B706-2BB64F1F0BD4}"/>
    <cellStyle name="Comma 547 6" xfId="11205" xr:uid="{23E8CF5F-6EEA-4424-A781-B21DE86F20EA}"/>
    <cellStyle name="Comma 548" xfId="788" xr:uid="{D6AC7CAC-347A-4E77-8847-558B8F342D3A}"/>
    <cellStyle name="Comma 548 2" xfId="1826" xr:uid="{F76149DB-1B11-4239-B8DC-705E58547F04}"/>
    <cellStyle name="Comma 548 2 2" xfId="3884" xr:uid="{DD62811E-7B9E-4CAE-945E-F53C371915B4}"/>
    <cellStyle name="Comma 548 2 2 2" xfId="9117" xr:uid="{5725C9DD-25FD-432E-8F61-82D9770BF0B2}"/>
    <cellStyle name="Comma 548 2 2 2 2" xfId="19469" xr:uid="{EEE28E65-2F6A-4656-ADCA-FCD37E6095CD}"/>
    <cellStyle name="Comma 548 2 2 3" xfId="14294" xr:uid="{82C6DDE2-338E-4149-A8B4-6332B12492F2}"/>
    <cellStyle name="Comma 548 2 3" xfId="7059" xr:uid="{A5F102ED-87F0-40FA-9C96-72062931239C}"/>
    <cellStyle name="Comma 548 2 3 2" xfId="17411" xr:uid="{0D673C95-78FF-4AC9-918C-A35892CBD690}"/>
    <cellStyle name="Comma 548 2 4" xfId="12236" xr:uid="{72D04177-34E1-4356-9A85-A23BF2EF0272}"/>
    <cellStyle name="Comma 548 3" xfId="2854" xr:uid="{E5C68A5F-8303-4C09-A7AB-1B2710DA885E}"/>
    <cellStyle name="Comma 548 3 2" xfId="8087" xr:uid="{6B6D70C0-2715-4CA6-B7F2-576E49EF2909}"/>
    <cellStyle name="Comma 548 3 2 2" xfId="18439" xr:uid="{708D2640-216F-4D84-B55E-C41C9DA94BDB}"/>
    <cellStyle name="Comma 548 3 3" xfId="13264" xr:uid="{BD63E491-453A-49FB-8F97-954E587B7F7D}"/>
    <cellStyle name="Comma 548 4" xfId="4980" xr:uid="{0104A22A-BD75-49C0-B871-5EA97C183AF6}"/>
    <cellStyle name="Comma 548 4 2" xfId="10156" xr:uid="{03D63EBC-6B5D-45BF-A517-99A1088BFDA7}"/>
    <cellStyle name="Comma 548 4 2 2" xfId="20508" xr:uid="{74B436B1-012D-4E01-8E73-F03BB47481C9}"/>
    <cellStyle name="Comma 548 4 3" xfId="15332" xr:uid="{7EB55ECC-6B51-4291-8322-77C4528B2A16}"/>
    <cellStyle name="Comma 548 5" xfId="6028" xr:uid="{71A87F9B-9820-4242-82E2-6705DE296C8E}"/>
    <cellStyle name="Comma 548 5 2" xfId="16380" xr:uid="{A1C2D07A-201F-4FB3-BC24-6D3A43456112}"/>
    <cellStyle name="Comma 548 6" xfId="11206" xr:uid="{5BA4B288-0F7D-447C-88ED-6C8B5E8E22FF}"/>
    <cellStyle name="Comma 549" xfId="789" xr:uid="{53D1515E-B774-459A-A06A-D342E50B405D}"/>
    <cellStyle name="Comma 549 2" xfId="1827" xr:uid="{0397546E-E8F0-4487-A9F2-C6B8A5A465BA}"/>
    <cellStyle name="Comma 549 2 2" xfId="3885" xr:uid="{D3254366-D4A9-4636-9B95-ACA237FCDDEA}"/>
    <cellStyle name="Comma 549 2 2 2" xfId="9118" xr:uid="{1CBF98F9-43C4-4BF5-B17B-DF69F0CD9C1E}"/>
    <cellStyle name="Comma 549 2 2 2 2" xfId="19470" xr:uid="{9B877057-3DA9-487F-9B5D-083CFB2E1AC3}"/>
    <cellStyle name="Comma 549 2 2 3" xfId="14295" xr:uid="{43924895-E122-4E84-BB34-3F1949D34C1D}"/>
    <cellStyle name="Comma 549 2 3" xfId="7060" xr:uid="{47A421E3-B336-4AAB-9486-DA3820E992E6}"/>
    <cellStyle name="Comma 549 2 3 2" xfId="17412" xr:uid="{BF5628EA-B0DA-4EB7-85C2-E473F8D4457D}"/>
    <cellStyle name="Comma 549 2 4" xfId="12237" xr:uid="{99CE0091-114E-4261-9FC5-6B058BC3C378}"/>
    <cellStyle name="Comma 549 3" xfId="2855" xr:uid="{810CDAAC-24A1-4F75-A5A6-005AC3285981}"/>
    <cellStyle name="Comma 549 3 2" xfId="8088" xr:uid="{48004375-B148-45E8-845B-2797853DA736}"/>
    <cellStyle name="Comma 549 3 2 2" xfId="18440" xr:uid="{D63C20AE-236E-4AB3-9344-2F09D191A886}"/>
    <cellStyle name="Comma 549 3 3" xfId="13265" xr:uid="{DB32BFB6-8B99-450B-B9E6-5AC056B99944}"/>
    <cellStyle name="Comma 549 4" xfId="4981" xr:uid="{50FAA7D3-35B8-4B6E-8402-B4EE0B67CD9A}"/>
    <cellStyle name="Comma 549 4 2" xfId="10157" xr:uid="{B7B63EFD-0F26-4B73-994C-A5BC8F119864}"/>
    <cellStyle name="Comma 549 4 2 2" xfId="20509" xr:uid="{D66C9850-08F5-4B39-9BB8-39B141EC0724}"/>
    <cellStyle name="Comma 549 4 3" xfId="15333" xr:uid="{CC5F1E82-DE6B-4F73-AEA0-D33C15A7CB6A}"/>
    <cellStyle name="Comma 549 5" xfId="6029" xr:uid="{A19CC48A-F254-4302-83B4-9B24B9F5EC99}"/>
    <cellStyle name="Comma 549 5 2" xfId="16381" xr:uid="{BCD04EE4-64C7-4CF5-A7FC-2ED6B4263631}"/>
    <cellStyle name="Comma 549 6" xfId="11207" xr:uid="{B79DAED9-3579-4182-9EB5-8B3739EE3367}"/>
    <cellStyle name="Comma 55" xfId="255" xr:uid="{D767BAB2-6BBD-4140-8F9A-F3D5476AF0CC}"/>
    <cellStyle name="Comma 55 2" xfId="1333" xr:uid="{E02969B4-41A3-484D-AD96-FEFE6547DC58}"/>
    <cellStyle name="Comma 55 2 2" xfId="3391" xr:uid="{2E809876-A7D0-43B5-A5AE-08C66715B707}"/>
    <cellStyle name="Comma 55 2 2 2" xfId="8624" xr:uid="{64B8CA50-DAD2-4245-AECF-FA5F1B417C8F}"/>
    <cellStyle name="Comma 55 2 2 2 2" xfId="18976" xr:uid="{F1DCBEEF-5464-41FA-8509-B529CB911EAB}"/>
    <cellStyle name="Comma 55 2 2 3" xfId="13801" xr:uid="{4539DA1E-A9EF-498F-9572-10E78CCFB2DC}"/>
    <cellStyle name="Comma 55 2 3" xfId="6566" xr:uid="{81A60FD3-A188-488F-A51A-3CBE10A26B8B}"/>
    <cellStyle name="Comma 55 2 3 2" xfId="16918" xr:uid="{6E4CAE5D-BA3A-47AA-86C3-3711C4769F23}"/>
    <cellStyle name="Comma 55 2 4" xfId="11743" xr:uid="{D0C8F16D-1F10-46C9-8331-735EBAE8162F}"/>
    <cellStyle name="Comma 55 3" xfId="2361" xr:uid="{FCC0446F-3D01-443A-AE18-BEBF2A0BAE9F}"/>
    <cellStyle name="Comma 55 3 2" xfId="7594" xr:uid="{2BCCA7A0-C6A3-4E9F-8E1A-C7467D083D5A}"/>
    <cellStyle name="Comma 55 3 2 2" xfId="17946" xr:uid="{86AE38E6-C220-4F60-B2B8-913041B5A8D8}"/>
    <cellStyle name="Comma 55 3 3" xfId="12771" xr:uid="{CA2CBC52-4AE2-4285-9751-1F9C280C8EF7}"/>
    <cellStyle name="Comma 55 4" xfId="4487" xr:uid="{4B085A25-C59E-4B29-9D25-6CADEE6BFA35}"/>
    <cellStyle name="Comma 55 4 2" xfId="9663" xr:uid="{8EA5C162-4212-46ED-8728-3B99CA59FD8D}"/>
    <cellStyle name="Comma 55 4 2 2" xfId="20015" xr:uid="{53BAE93A-DE5D-4E91-A8E9-5A4AE24BEF4F}"/>
    <cellStyle name="Comma 55 4 3" xfId="14839" xr:uid="{B32B45FB-6490-480D-8636-D8D2D1D98537}"/>
    <cellStyle name="Comma 55 5" xfId="5535" xr:uid="{FC7A5989-16DD-4394-B908-6D2D5DE39C40}"/>
    <cellStyle name="Comma 55 5 2" xfId="15887" xr:uid="{BF77AB0C-B2E4-48DF-8CF2-5D5D9809D037}"/>
    <cellStyle name="Comma 55 6" xfId="10713" xr:uid="{31A7DDB7-747F-43B1-92EF-D8055B030811}"/>
    <cellStyle name="Comma 550" xfId="790" xr:uid="{5A6C0356-0110-4C22-99B6-1BCFB9D213C8}"/>
    <cellStyle name="Comma 550 2" xfId="1828" xr:uid="{56AA2F59-876A-400E-A3EF-5F0D732E7879}"/>
    <cellStyle name="Comma 550 2 2" xfId="3886" xr:uid="{F3880389-CBB6-4A36-BBD9-92A3202E164E}"/>
    <cellStyle name="Comma 550 2 2 2" xfId="9119" xr:uid="{05C29A24-68C3-46F4-9D58-9BE20D7B59FE}"/>
    <cellStyle name="Comma 550 2 2 2 2" xfId="19471" xr:uid="{4F733F79-576A-42AD-96EA-E8163A8C0B3C}"/>
    <cellStyle name="Comma 550 2 2 3" xfId="14296" xr:uid="{D6A8AB22-FF70-4348-80B9-A0C4616C417E}"/>
    <cellStyle name="Comma 550 2 3" xfId="7061" xr:uid="{D9ED5448-2C78-4CE7-B9AE-C722BBCD204A}"/>
    <cellStyle name="Comma 550 2 3 2" xfId="17413" xr:uid="{C5835D63-2E67-4951-AAA9-76F173BCDDBE}"/>
    <cellStyle name="Comma 550 2 4" xfId="12238" xr:uid="{8B6A43B0-27AD-4787-B48D-EC9D8A9A93C9}"/>
    <cellStyle name="Comma 550 3" xfId="2856" xr:uid="{7D8851BD-6820-4281-AE38-12915196AD16}"/>
    <cellStyle name="Comma 550 3 2" xfId="8089" xr:uid="{14418793-8502-4ECB-8935-BA6559456560}"/>
    <cellStyle name="Comma 550 3 2 2" xfId="18441" xr:uid="{0940F579-484F-49E5-9165-6FEEE2A2AEA5}"/>
    <cellStyle name="Comma 550 3 3" xfId="13266" xr:uid="{D783BCEF-B4B8-491F-8248-F51E2706BBF4}"/>
    <cellStyle name="Comma 550 4" xfId="4982" xr:uid="{FB44108A-8601-4A2E-8A92-EC1EE8B5EBCE}"/>
    <cellStyle name="Comma 550 4 2" xfId="10158" xr:uid="{8C21ADE3-A558-43A6-9FC6-A843A0E2E4E9}"/>
    <cellStyle name="Comma 550 4 2 2" xfId="20510" xr:uid="{B4F4FCC1-299A-4953-A6F6-C3CC352124EF}"/>
    <cellStyle name="Comma 550 4 3" xfId="15334" xr:uid="{9F5F3278-4B99-4A78-9F2A-463BE44AC581}"/>
    <cellStyle name="Comma 550 5" xfId="6030" xr:uid="{6D24E074-65FD-43E5-AB81-2B19A0F0C8DA}"/>
    <cellStyle name="Comma 550 5 2" xfId="16382" xr:uid="{877466EC-9CA1-4805-B438-1C6D75746420}"/>
    <cellStyle name="Comma 550 6" xfId="11208" xr:uid="{093951F7-E8F9-4C7B-A191-4323F9F5EA11}"/>
    <cellStyle name="Comma 551" xfId="791" xr:uid="{DA3CE34B-48B9-4339-8FE7-407D81EECF05}"/>
    <cellStyle name="Comma 551 2" xfId="1829" xr:uid="{6986C131-08D3-431B-B63C-353622F2CD1E}"/>
    <cellStyle name="Comma 551 2 2" xfId="3887" xr:uid="{E77184D2-7E14-411D-82DF-889DEE17F69B}"/>
    <cellStyle name="Comma 551 2 2 2" xfId="9120" xr:uid="{A1F5B9A0-B260-4475-88CC-BF6777C0EE91}"/>
    <cellStyle name="Comma 551 2 2 2 2" xfId="19472" xr:uid="{F87F9916-256B-4C58-9AA3-5EB2A7C732CA}"/>
    <cellStyle name="Comma 551 2 2 3" xfId="14297" xr:uid="{5EEBC770-6D9C-43A9-A42B-C4D67F41D51E}"/>
    <cellStyle name="Comma 551 2 3" xfId="7062" xr:uid="{DE5A8A7E-4273-4991-B16D-165A93B6F6D4}"/>
    <cellStyle name="Comma 551 2 3 2" xfId="17414" xr:uid="{D99708ED-996C-4E9F-9624-6CA142B9A524}"/>
    <cellStyle name="Comma 551 2 4" xfId="12239" xr:uid="{A1CA2006-C52C-4AA1-85BF-0B08A88A0708}"/>
    <cellStyle name="Comma 551 3" xfId="2857" xr:uid="{62B8E84F-A4E2-4F6A-ADCA-DA16EE116477}"/>
    <cellStyle name="Comma 551 3 2" xfId="8090" xr:uid="{FFD456A1-1DD0-4D98-81FB-6A1BED398498}"/>
    <cellStyle name="Comma 551 3 2 2" xfId="18442" xr:uid="{E0F53DFB-C7B7-4D6F-AA66-C674C92DF6F3}"/>
    <cellStyle name="Comma 551 3 3" xfId="13267" xr:uid="{CB8C3725-32C9-46D3-87EC-380E0B7A3C3E}"/>
    <cellStyle name="Comma 551 4" xfId="4983" xr:uid="{B17D4D16-4602-4FD5-9DC7-7DCEBB57C40A}"/>
    <cellStyle name="Comma 551 4 2" xfId="10159" xr:uid="{01CE38EE-6D7C-4EF8-960A-CDA76617BFD4}"/>
    <cellStyle name="Comma 551 4 2 2" xfId="20511" xr:uid="{1099DA41-D8EE-44BE-A5BB-FF201498162D}"/>
    <cellStyle name="Comma 551 4 3" xfId="15335" xr:uid="{53364332-34E3-4E41-A3CC-82648718FBDD}"/>
    <cellStyle name="Comma 551 5" xfId="6031" xr:uid="{80813CE3-BF8A-44DD-B862-8DA214F21F0E}"/>
    <cellStyle name="Comma 551 5 2" xfId="16383" xr:uid="{7A8C94E7-9F45-45F0-ACA0-A428F1BF33A2}"/>
    <cellStyle name="Comma 551 6" xfId="11209" xr:uid="{2F6AABD7-F506-4F65-B3FB-7FE29D261010}"/>
    <cellStyle name="Comma 552" xfId="792" xr:uid="{2240168F-3A6E-4524-98AB-D7AFABE5081D}"/>
    <cellStyle name="Comma 552 2" xfId="1830" xr:uid="{519EB339-FF5B-4A7D-899D-ECA157BBD510}"/>
    <cellStyle name="Comma 552 2 2" xfId="3888" xr:uid="{12EA0929-451D-4731-8181-6DB2BBF128F2}"/>
    <cellStyle name="Comma 552 2 2 2" xfId="9121" xr:uid="{A9F77157-CBB4-4024-9379-A540D938ABF1}"/>
    <cellStyle name="Comma 552 2 2 2 2" xfId="19473" xr:uid="{F720B82C-91F8-41AF-B36F-6367393B0441}"/>
    <cellStyle name="Comma 552 2 2 3" xfId="14298" xr:uid="{8433DC6B-3BD8-42FE-BB0D-E2F5FF9B8811}"/>
    <cellStyle name="Comma 552 2 3" xfId="7063" xr:uid="{CA90D7B3-1120-4E0E-91DA-095F450E075E}"/>
    <cellStyle name="Comma 552 2 3 2" xfId="17415" xr:uid="{4EE8A234-2077-4F6B-B284-0ADC6CFA2F87}"/>
    <cellStyle name="Comma 552 2 4" xfId="12240" xr:uid="{9F76C2C3-7EE6-499C-B94B-FB6E51FA38A2}"/>
    <cellStyle name="Comma 552 3" xfId="2858" xr:uid="{F81DBA54-C0C6-4E12-8FFD-AE156170AD4F}"/>
    <cellStyle name="Comma 552 3 2" xfId="8091" xr:uid="{36E59930-4607-4B46-A1F7-3A0AB1FBEF8C}"/>
    <cellStyle name="Comma 552 3 2 2" xfId="18443" xr:uid="{3B7832E6-78A2-4847-9F67-2AB0F01FEECF}"/>
    <cellStyle name="Comma 552 3 3" xfId="13268" xr:uid="{CD280864-60FF-4510-8C20-91B5EECCA04B}"/>
    <cellStyle name="Comma 552 4" xfId="4984" xr:uid="{4EDF580E-8D90-428E-B82E-6ECC7631181B}"/>
    <cellStyle name="Comma 552 4 2" xfId="10160" xr:uid="{BE0BBD49-9E11-416C-8D6E-6F527149FE60}"/>
    <cellStyle name="Comma 552 4 2 2" xfId="20512" xr:uid="{D1F425AC-4CA2-4D0F-9F91-EDA43AD5C924}"/>
    <cellStyle name="Comma 552 4 3" xfId="15336" xr:uid="{FDF78874-06A6-43B1-AADC-7ECAAAFA74A5}"/>
    <cellStyle name="Comma 552 5" xfId="6032" xr:uid="{04639496-AEE4-47D8-926C-2092FD591003}"/>
    <cellStyle name="Comma 552 5 2" xfId="16384" xr:uid="{01C7DF94-35C1-43FB-95AA-80328111C625}"/>
    <cellStyle name="Comma 552 6" xfId="11210" xr:uid="{3024CDF0-590C-41FA-9463-F78A8235B38E}"/>
    <cellStyle name="Comma 553" xfId="793" xr:uid="{4C331D59-3C8D-486C-B8AF-D1ACC3D02D81}"/>
    <cellStyle name="Comma 553 2" xfId="1831" xr:uid="{F1B9F3E0-0306-4DC4-8F1A-435ED08C2698}"/>
    <cellStyle name="Comma 553 2 2" xfId="3889" xr:uid="{49A2E0E6-9B28-4AB7-8426-B71FD45BED9A}"/>
    <cellStyle name="Comma 553 2 2 2" xfId="9122" xr:uid="{4853C7DC-1B51-49A5-9899-27DEA05FA3B4}"/>
    <cellStyle name="Comma 553 2 2 2 2" xfId="19474" xr:uid="{69F28E45-9DF5-4A27-B22D-2D44860EA7B1}"/>
    <cellStyle name="Comma 553 2 2 3" xfId="14299" xr:uid="{27FCFB05-0F8D-476D-83AC-087CCC727CD9}"/>
    <cellStyle name="Comma 553 2 3" xfId="7064" xr:uid="{36EFB6C1-78D5-4D73-9F81-701A342C3CB0}"/>
    <cellStyle name="Comma 553 2 3 2" xfId="17416" xr:uid="{80F8EA19-E7CA-4FC2-B7A1-2BE458CA0D97}"/>
    <cellStyle name="Comma 553 2 4" xfId="12241" xr:uid="{91E3F649-274F-4C34-ACF0-67BAA197F4D3}"/>
    <cellStyle name="Comma 553 3" xfId="2859" xr:uid="{306D20F7-4222-4A29-AFC3-C65939FF2AAB}"/>
    <cellStyle name="Comma 553 3 2" xfId="8092" xr:uid="{4668743D-C644-41FF-8240-49D233DFBC82}"/>
    <cellStyle name="Comma 553 3 2 2" xfId="18444" xr:uid="{34E37BCF-E0C3-44D4-8F85-607F7986CED4}"/>
    <cellStyle name="Comma 553 3 3" xfId="13269" xr:uid="{7D8C76FD-FA9B-4033-BF34-59DBCB855BD4}"/>
    <cellStyle name="Comma 553 4" xfId="4985" xr:uid="{C4C42F01-ECB0-40EC-BF7A-73CDACC5DD13}"/>
    <cellStyle name="Comma 553 4 2" xfId="10161" xr:uid="{C1D94689-BA40-4D3E-8A5F-D4BCFC1A2EB7}"/>
    <cellStyle name="Comma 553 4 2 2" xfId="20513" xr:uid="{ED06D8CF-02C5-4035-ACED-71C658A4000F}"/>
    <cellStyle name="Comma 553 4 3" xfId="15337" xr:uid="{F14A54E8-663D-4345-8FFF-881754A944B7}"/>
    <cellStyle name="Comma 553 5" xfId="6033" xr:uid="{1037BC9C-2A9D-414A-8E84-7B644656E243}"/>
    <cellStyle name="Comma 553 5 2" xfId="16385" xr:uid="{77B3A22D-3F9B-49DE-A120-991D8F8B7F4F}"/>
    <cellStyle name="Comma 553 6" xfId="11211" xr:uid="{2107DAD0-21BE-49B0-BDF8-3CDFFBB7C854}"/>
    <cellStyle name="Comma 554" xfId="794" xr:uid="{99A005C7-DF53-4BDC-8470-D1A0B1B23FE5}"/>
    <cellStyle name="Comma 554 2" xfId="1832" xr:uid="{3A850A07-88AB-444B-ABD6-B56AE31E6AC6}"/>
    <cellStyle name="Comma 554 2 2" xfId="3890" xr:uid="{4E53EDC6-4D22-4429-BA07-5E39CA8A0BB6}"/>
    <cellStyle name="Comma 554 2 2 2" xfId="9123" xr:uid="{4B7331A5-A9A6-4159-A7D8-5A0555128129}"/>
    <cellStyle name="Comma 554 2 2 2 2" xfId="19475" xr:uid="{37EE4697-C7F3-478A-936C-D2E60D9E42C2}"/>
    <cellStyle name="Comma 554 2 2 3" xfId="14300" xr:uid="{052B6326-61E8-4279-A71B-149CE5CED8F6}"/>
    <cellStyle name="Comma 554 2 3" xfId="7065" xr:uid="{53277778-7B60-4831-95C6-9F0D4D57EB83}"/>
    <cellStyle name="Comma 554 2 3 2" xfId="17417" xr:uid="{6DEC2BE9-EFBD-4698-B525-1DBA28454CB6}"/>
    <cellStyle name="Comma 554 2 4" xfId="12242" xr:uid="{4B39BD4E-08F4-48FD-8234-FF9222C17B68}"/>
    <cellStyle name="Comma 554 3" xfId="2860" xr:uid="{E5EBECF6-E85A-4A95-B97B-F12032CFDC05}"/>
    <cellStyle name="Comma 554 3 2" xfId="8093" xr:uid="{7401A9F3-A2C6-4F85-A0F4-6F99D41D8804}"/>
    <cellStyle name="Comma 554 3 2 2" xfId="18445" xr:uid="{D1A84C49-5C24-4E27-BC90-45A5D334814F}"/>
    <cellStyle name="Comma 554 3 3" xfId="13270" xr:uid="{49F8C031-692B-4238-9C80-551B16CBB049}"/>
    <cellStyle name="Comma 554 4" xfId="4986" xr:uid="{AA77F3AA-E15E-4E0F-BAE3-AD7FE2FE9559}"/>
    <cellStyle name="Comma 554 4 2" xfId="10162" xr:uid="{EEC8A1A3-99F9-42A1-A1CA-8CB92FE41F3C}"/>
    <cellStyle name="Comma 554 4 2 2" xfId="20514" xr:uid="{ABF29B55-BC91-48A2-8BAE-C5DD60A17E14}"/>
    <cellStyle name="Comma 554 4 3" xfId="15338" xr:uid="{59582CF0-2576-42C9-94B5-25E3CFC9DB7A}"/>
    <cellStyle name="Comma 554 5" xfId="6034" xr:uid="{1F47F433-48AC-4292-8FEF-752AC03DD17E}"/>
    <cellStyle name="Comma 554 5 2" xfId="16386" xr:uid="{82B47722-050B-457F-8CE4-F1CD87947CAF}"/>
    <cellStyle name="Comma 554 6" xfId="11212" xr:uid="{1E20BE59-C9EB-4E0B-A891-AB7807DE9AB6}"/>
    <cellStyle name="Comma 555" xfId="795" xr:uid="{64B8C12B-B2CB-4C28-9CEC-776CB39EB544}"/>
    <cellStyle name="Comma 555 2" xfId="1833" xr:uid="{137CE877-6B6C-4290-B2B3-C81A55C7C681}"/>
    <cellStyle name="Comma 555 2 2" xfId="3891" xr:uid="{3C4C14A1-F2FF-4084-B57F-F809CC526390}"/>
    <cellStyle name="Comma 555 2 2 2" xfId="9124" xr:uid="{BE0538D2-F061-4EB4-9EA4-C4C6CF095F7B}"/>
    <cellStyle name="Comma 555 2 2 2 2" xfId="19476" xr:uid="{2AB36EF9-CE1B-4A3C-A8FD-8A3E0DE79629}"/>
    <cellStyle name="Comma 555 2 2 3" xfId="14301" xr:uid="{204EB5AE-8F01-4348-9340-B80C42E4FA81}"/>
    <cellStyle name="Comma 555 2 3" xfId="7066" xr:uid="{8A42FA53-69E2-40D8-AAA4-6E2FAFAA05A7}"/>
    <cellStyle name="Comma 555 2 3 2" xfId="17418" xr:uid="{A4F4627C-F7BC-450E-A1BF-C8A5EA5D6B8E}"/>
    <cellStyle name="Comma 555 2 4" xfId="12243" xr:uid="{D852EE41-3C08-462B-9F69-4CEF5E47A995}"/>
    <cellStyle name="Comma 555 3" xfId="2861" xr:uid="{C907ADB3-C0A3-4CA3-BEA1-C3E471EE352F}"/>
    <cellStyle name="Comma 555 3 2" xfId="8094" xr:uid="{86CE9DF2-9EFC-44CA-9440-8069BA7928AA}"/>
    <cellStyle name="Comma 555 3 2 2" xfId="18446" xr:uid="{EEDB1DFC-3FE3-468F-83CE-188755FB099D}"/>
    <cellStyle name="Comma 555 3 3" xfId="13271" xr:uid="{CAB60EEF-2058-46DA-A7BA-DBBCA546619D}"/>
    <cellStyle name="Comma 555 4" xfId="4987" xr:uid="{C76D7D41-9AEE-4934-8418-717711D29C66}"/>
    <cellStyle name="Comma 555 4 2" xfId="10163" xr:uid="{2D464793-6694-4558-9087-4D529A4F4A17}"/>
    <cellStyle name="Comma 555 4 2 2" xfId="20515" xr:uid="{C21F07C3-2404-4056-81C4-5976D35D8C13}"/>
    <cellStyle name="Comma 555 4 3" xfId="15339" xr:uid="{F17C77B0-CB9D-4E93-A7D2-C43CE40BC88B}"/>
    <cellStyle name="Comma 555 5" xfId="6035" xr:uid="{A439F3C5-3E3D-49BA-8A1E-4A7EF8AF9F60}"/>
    <cellStyle name="Comma 555 5 2" xfId="16387" xr:uid="{02BD8CE0-35E2-4E8D-B32C-2EBFF161BB5D}"/>
    <cellStyle name="Comma 555 6" xfId="11213" xr:uid="{C3FA4481-89AC-492A-A3B3-223E2DB632BC}"/>
    <cellStyle name="Comma 556" xfId="796" xr:uid="{028BDC8D-65DA-4A63-A491-8821EB18C3CF}"/>
    <cellStyle name="Comma 556 2" xfId="1834" xr:uid="{1988C8FB-6ECD-4718-BFD6-889D3C6ED20A}"/>
    <cellStyle name="Comma 556 2 2" xfId="3892" xr:uid="{B80ED1D7-3AF4-4674-BC32-457B38F88532}"/>
    <cellStyle name="Comma 556 2 2 2" xfId="9125" xr:uid="{BA360E8C-BCB2-4BEF-8A84-E6EF4FC4A09E}"/>
    <cellStyle name="Comma 556 2 2 2 2" xfId="19477" xr:uid="{F1CEE14F-54B7-4BB7-81C0-77E860893F8A}"/>
    <cellStyle name="Comma 556 2 2 3" xfId="14302" xr:uid="{893E0C2F-B913-4DE4-8445-748FD3251A4A}"/>
    <cellStyle name="Comma 556 2 3" xfId="7067" xr:uid="{2F548C44-447D-490F-89BF-5CB643DE1C12}"/>
    <cellStyle name="Comma 556 2 3 2" xfId="17419" xr:uid="{E2E5547D-506A-4E9D-A3F1-6D966230FF17}"/>
    <cellStyle name="Comma 556 2 4" xfId="12244" xr:uid="{686EC4E7-3091-4623-9AA2-C18492B0C328}"/>
    <cellStyle name="Comma 556 3" xfId="2862" xr:uid="{DC2938F8-E1C2-49F8-938F-4EEFEFDBCD2B}"/>
    <cellStyle name="Comma 556 3 2" xfId="8095" xr:uid="{337C543E-FDFB-405F-A8C5-2EE1FED39377}"/>
    <cellStyle name="Comma 556 3 2 2" xfId="18447" xr:uid="{8A7B0734-8E32-4683-96D7-A06B6D3E90C6}"/>
    <cellStyle name="Comma 556 3 3" xfId="13272" xr:uid="{45A07EB4-B33B-4ED0-9BE6-13DDD8D00A63}"/>
    <cellStyle name="Comma 556 4" xfId="4988" xr:uid="{27212F0D-1ABE-46E0-B2CA-D8313FF5435F}"/>
    <cellStyle name="Comma 556 4 2" xfId="10164" xr:uid="{535AAD54-20F2-44E1-B5FA-7813E0A1613C}"/>
    <cellStyle name="Comma 556 4 2 2" xfId="20516" xr:uid="{E3FBF496-2C7A-4B95-A249-5EEF4F787999}"/>
    <cellStyle name="Comma 556 4 3" xfId="15340" xr:uid="{CF231058-EEE2-4BCE-90B0-B7646E07B9FF}"/>
    <cellStyle name="Comma 556 5" xfId="6036" xr:uid="{939AE043-B071-412B-BF64-70AEA331B23F}"/>
    <cellStyle name="Comma 556 5 2" xfId="16388" xr:uid="{35C91613-F503-4916-90F6-364677390A2B}"/>
    <cellStyle name="Comma 556 6" xfId="11214" xr:uid="{750E7A8B-541E-4343-9386-20D77AD7ACCA}"/>
    <cellStyle name="Comma 557" xfId="797" xr:uid="{731B11EF-1F5B-4C0F-8D1E-3EF02F85A280}"/>
    <cellStyle name="Comma 557 2" xfId="1835" xr:uid="{F8811129-FE80-4CE8-ABFE-F56ABCE631B2}"/>
    <cellStyle name="Comma 557 2 2" xfId="3893" xr:uid="{9928CF16-DDA2-4BEF-B5C9-546F0AEB1096}"/>
    <cellStyle name="Comma 557 2 2 2" xfId="9126" xr:uid="{42A247F9-BA37-49D9-B737-66E2C23097E5}"/>
    <cellStyle name="Comma 557 2 2 2 2" xfId="19478" xr:uid="{14EFEF79-7221-4DB6-8CFD-21FCF77768B9}"/>
    <cellStyle name="Comma 557 2 2 3" xfId="14303" xr:uid="{575C9993-C538-457C-8899-4B4722036E03}"/>
    <cellStyle name="Comma 557 2 3" xfId="7068" xr:uid="{C2E90C8C-0795-40C8-947D-BE6E0C41F110}"/>
    <cellStyle name="Comma 557 2 3 2" xfId="17420" xr:uid="{2D36539B-40F5-4940-BC81-D456C164296E}"/>
    <cellStyle name="Comma 557 2 4" xfId="12245" xr:uid="{C8E71F8C-9E1D-4451-83EE-015CD7616145}"/>
    <cellStyle name="Comma 557 3" xfId="2863" xr:uid="{0599290B-8A8E-4077-81EC-E3D50AF505D6}"/>
    <cellStyle name="Comma 557 3 2" xfId="8096" xr:uid="{DF5F0DC0-19D1-4F68-A6CA-02287A427705}"/>
    <cellStyle name="Comma 557 3 2 2" xfId="18448" xr:uid="{7F25F662-119C-4F8E-9AB0-E31C1FAC28C8}"/>
    <cellStyle name="Comma 557 3 3" xfId="13273" xr:uid="{DB2EB9E5-ABB1-4210-AC4A-660448CA23AD}"/>
    <cellStyle name="Comma 557 4" xfId="4989" xr:uid="{77EA52F6-A6FD-497E-90B9-F1A581C183AE}"/>
    <cellStyle name="Comma 557 4 2" xfId="10165" xr:uid="{BE7B1617-1516-42AF-A460-2E02F07DB7E7}"/>
    <cellStyle name="Comma 557 4 2 2" xfId="20517" xr:uid="{BCFC521B-0785-4FFA-8BF5-2566D0DCB9A2}"/>
    <cellStyle name="Comma 557 4 3" xfId="15341" xr:uid="{3EBFBD13-A0E0-4A25-8658-973E805B02D7}"/>
    <cellStyle name="Comma 557 5" xfId="6037" xr:uid="{0C7FFE24-11DB-40DC-9F69-EECA6001934A}"/>
    <cellStyle name="Comma 557 5 2" xfId="16389" xr:uid="{A2C5FFE0-D7D6-4776-B3E4-672FCE780DFF}"/>
    <cellStyle name="Comma 557 6" xfId="11215" xr:uid="{E4F4F2B0-A601-4141-A300-EDF5363F9603}"/>
    <cellStyle name="Comma 558" xfId="798" xr:uid="{8D094889-AF6B-456A-B9B8-7F8600EC5F49}"/>
    <cellStyle name="Comma 558 2" xfId="1836" xr:uid="{954B1FD5-DA03-47E1-99C7-6D1EE02B843C}"/>
    <cellStyle name="Comma 558 2 2" xfId="3894" xr:uid="{ACA6F686-0CFA-400A-8800-157C67F29FE4}"/>
    <cellStyle name="Comma 558 2 2 2" xfId="9127" xr:uid="{45CC2CC7-5AF7-4FC6-BD67-4892888AFEA2}"/>
    <cellStyle name="Comma 558 2 2 2 2" xfId="19479" xr:uid="{6A194B0F-4761-48E4-976D-49E3BE0881B1}"/>
    <cellStyle name="Comma 558 2 2 3" xfId="14304" xr:uid="{04616AA9-E3D8-49D2-975E-C376B2B9D7BA}"/>
    <cellStyle name="Comma 558 2 3" xfId="7069" xr:uid="{571BB4A8-A6F9-4B4B-8E28-EFA133427ECD}"/>
    <cellStyle name="Comma 558 2 3 2" xfId="17421" xr:uid="{487343F5-6444-4C44-9658-165E2B18B1E5}"/>
    <cellStyle name="Comma 558 2 4" xfId="12246" xr:uid="{83346129-149A-4311-B074-42BDDDCFFF82}"/>
    <cellStyle name="Comma 558 3" xfId="2864" xr:uid="{423B73A1-199E-4C80-BFC1-EE87CDE5ABEF}"/>
    <cellStyle name="Comma 558 3 2" xfId="8097" xr:uid="{F03E8DE2-80F3-4D75-AD36-DCFB538536C0}"/>
    <cellStyle name="Comma 558 3 2 2" xfId="18449" xr:uid="{A299B367-8AC6-4F85-96E7-B47E2FADBF27}"/>
    <cellStyle name="Comma 558 3 3" xfId="13274" xr:uid="{EF9ADFB9-845F-44B3-9365-252F9CEE76A0}"/>
    <cellStyle name="Comma 558 4" xfId="4990" xr:uid="{5E915165-1BAB-44FB-A53D-D1584918449F}"/>
    <cellStyle name="Comma 558 4 2" xfId="10166" xr:uid="{2682F358-ECD6-4FAC-A190-DF22DF9A075E}"/>
    <cellStyle name="Comma 558 4 2 2" xfId="20518" xr:uid="{7B99F861-0E0C-4F11-B2D2-47134CD1C449}"/>
    <cellStyle name="Comma 558 4 3" xfId="15342" xr:uid="{4C37899C-2AE0-41A4-B2EF-3E4BAB003757}"/>
    <cellStyle name="Comma 558 5" xfId="6038" xr:uid="{E78ADDD9-E1B8-46DA-A3C3-C4E1BF5D60F1}"/>
    <cellStyle name="Comma 558 5 2" xfId="16390" xr:uid="{94FB940D-B60D-422E-888D-65152949ECDE}"/>
    <cellStyle name="Comma 558 6" xfId="11216" xr:uid="{8FD786ED-76A1-4DE0-8CF3-7B80C1FBE67B}"/>
    <cellStyle name="Comma 559" xfId="799" xr:uid="{05DF5617-4249-466C-B4FD-A43C11154A81}"/>
    <cellStyle name="Comma 559 2" xfId="1837" xr:uid="{7A7F0A30-FF35-470A-AD41-6542E19114D8}"/>
    <cellStyle name="Comma 559 2 2" xfId="3895" xr:uid="{99C7E55A-E49C-4561-9578-7458C5CBE66C}"/>
    <cellStyle name="Comma 559 2 2 2" xfId="9128" xr:uid="{9A2F26E8-4A1F-4005-B03D-770184D385ED}"/>
    <cellStyle name="Comma 559 2 2 2 2" xfId="19480" xr:uid="{1AE74D0A-8D18-43FA-B977-C3F539CD21A6}"/>
    <cellStyle name="Comma 559 2 2 3" xfId="14305" xr:uid="{4CF2668D-C563-4520-947E-0A33F1D140A9}"/>
    <cellStyle name="Comma 559 2 3" xfId="7070" xr:uid="{7FAE84AB-B7F1-453D-9BDB-2F60391BE85D}"/>
    <cellStyle name="Comma 559 2 3 2" xfId="17422" xr:uid="{D4E97168-F87C-4441-8F38-FA246527180E}"/>
    <cellStyle name="Comma 559 2 4" xfId="12247" xr:uid="{ABBFB018-33E7-4471-A5EF-2430E9EA4F9A}"/>
    <cellStyle name="Comma 559 3" xfId="2865" xr:uid="{200D2284-B99A-4061-AC45-C9E10A88B9A0}"/>
    <cellStyle name="Comma 559 3 2" xfId="8098" xr:uid="{877D2825-8B3A-48E9-8174-6A509D8C4447}"/>
    <cellStyle name="Comma 559 3 2 2" xfId="18450" xr:uid="{5B163A0B-2BF1-4652-A82C-EC0C8EC300FB}"/>
    <cellStyle name="Comma 559 3 3" xfId="13275" xr:uid="{704B60EA-2AA6-4792-8322-9D1035CA971F}"/>
    <cellStyle name="Comma 559 4" xfId="4991" xr:uid="{5E41651D-5B23-498D-9FA8-A5A7252FC6B7}"/>
    <cellStyle name="Comma 559 4 2" xfId="10167" xr:uid="{4EE8C3AC-B3B7-4EA1-B42E-F393CB3B109A}"/>
    <cellStyle name="Comma 559 4 2 2" xfId="20519" xr:uid="{0AD25C87-5593-40D3-9400-CEBDF759B0C1}"/>
    <cellStyle name="Comma 559 4 3" xfId="15343" xr:uid="{F082CEF6-417D-44AE-AEC1-94EFBC5944CA}"/>
    <cellStyle name="Comma 559 5" xfId="6039" xr:uid="{1DECE5E9-4171-426C-9611-29D8E72BD0D8}"/>
    <cellStyle name="Comma 559 5 2" xfId="16391" xr:uid="{7F7BD201-CC84-4881-95CC-4771CAA1405F}"/>
    <cellStyle name="Comma 559 6" xfId="11217" xr:uid="{6FAF63FB-F0F2-4C18-B2A9-B06B17FD5430}"/>
    <cellStyle name="Comma 56" xfId="256" xr:uid="{599B89A7-FEB3-4B9E-AC43-65838B359248}"/>
    <cellStyle name="Comma 56 2" xfId="1334" xr:uid="{EE6A81A3-6C11-42BE-8864-9BD61199C8DD}"/>
    <cellStyle name="Comma 56 2 2" xfId="3392" xr:uid="{98BE2643-BB6E-40A8-860E-97C0D37822B7}"/>
    <cellStyle name="Comma 56 2 2 2" xfId="8625" xr:uid="{E139EBA4-D42A-47C4-84A7-DD2C0956445B}"/>
    <cellStyle name="Comma 56 2 2 2 2" xfId="18977" xr:uid="{27DCBB14-899A-47C1-A481-08CD4062812A}"/>
    <cellStyle name="Comma 56 2 2 3" xfId="13802" xr:uid="{6CBC9B30-54A7-4A2B-B9BE-BE18067D67F5}"/>
    <cellStyle name="Comma 56 2 3" xfId="6567" xr:uid="{F91D2D14-0CB1-4F93-B50A-128E71CBF8D2}"/>
    <cellStyle name="Comma 56 2 3 2" xfId="16919" xr:uid="{E741742B-7E62-4AD4-A429-0712E37C31FB}"/>
    <cellStyle name="Comma 56 2 4" xfId="11744" xr:uid="{6E306D8F-AF32-4E24-8CF1-26DB8664836D}"/>
    <cellStyle name="Comma 56 3" xfId="2362" xr:uid="{CC9E2702-1AD1-40B3-856B-B54D658DAA6C}"/>
    <cellStyle name="Comma 56 3 2" xfId="7595" xr:uid="{106C2EA7-7973-4FDC-A05E-C884BB0201D5}"/>
    <cellStyle name="Comma 56 3 2 2" xfId="17947" xr:uid="{31214F70-9DEF-4058-A3BF-7A9C4DF70AA0}"/>
    <cellStyle name="Comma 56 3 3" xfId="12772" xr:uid="{04D08CEF-0432-457A-B28D-04BB6BA9D13E}"/>
    <cellStyle name="Comma 56 4" xfId="4488" xr:uid="{2C0FDAA4-3FD0-4623-9EAF-66163FD4F000}"/>
    <cellStyle name="Comma 56 4 2" xfId="9664" xr:uid="{992C2B3B-5F5D-4DBB-9714-49ABC6FA7D79}"/>
    <cellStyle name="Comma 56 4 2 2" xfId="20016" xr:uid="{61FA6764-FCFB-4BC8-8673-1E5E283104DD}"/>
    <cellStyle name="Comma 56 4 3" xfId="14840" xr:uid="{66D47C4B-BEA6-4827-942A-D0057A272782}"/>
    <cellStyle name="Comma 56 5" xfId="5536" xr:uid="{3970958D-8D7C-4E02-AC3F-F66081AC78D7}"/>
    <cellStyle name="Comma 56 5 2" xfId="15888" xr:uid="{E1291EF8-1AB7-479E-B5BD-379C885C0A70}"/>
    <cellStyle name="Comma 56 6" xfId="10714" xr:uid="{E85C67DA-4DFA-4525-81A1-428F143D7A7F}"/>
    <cellStyle name="Comma 560" xfId="800" xr:uid="{ACA3281F-9D25-4FEE-B225-F6DFCBF1F65A}"/>
    <cellStyle name="Comma 560 2" xfId="1838" xr:uid="{B2B49967-1472-4CBE-A287-7DB351D44919}"/>
    <cellStyle name="Comma 560 2 2" xfId="3896" xr:uid="{59021832-912B-4790-ADC7-A9D88B4C1862}"/>
    <cellStyle name="Comma 560 2 2 2" xfId="9129" xr:uid="{E4B8559E-0627-4D1F-B8A9-CE1FF25051BB}"/>
    <cellStyle name="Comma 560 2 2 2 2" xfId="19481" xr:uid="{4D263571-9BF4-4A1B-BF45-D8959078031A}"/>
    <cellStyle name="Comma 560 2 2 3" xfId="14306" xr:uid="{45817714-111B-4BB1-B163-17D5512A2D0A}"/>
    <cellStyle name="Comma 560 2 3" xfId="7071" xr:uid="{04653A14-57FD-49D3-A219-C72826BC4D8D}"/>
    <cellStyle name="Comma 560 2 3 2" xfId="17423" xr:uid="{92758F7A-51B2-4CC5-8459-94B3C7157682}"/>
    <cellStyle name="Comma 560 2 4" xfId="12248" xr:uid="{A5662452-BF8F-4ED4-AB78-614371B2B6B6}"/>
    <cellStyle name="Comma 560 3" xfId="2866" xr:uid="{B5AB56FE-DC3B-4BFD-B891-4865C12C1D1D}"/>
    <cellStyle name="Comma 560 3 2" xfId="8099" xr:uid="{736ABA60-7228-4645-A0AC-DE502413EFFB}"/>
    <cellStyle name="Comma 560 3 2 2" xfId="18451" xr:uid="{8CFE716F-B72F-4337-B1AE-D47803560F14}"/>
    <cellStyle name="Comma 560 3 3" xfId="13276" xr:uid="{B46A9D47-FF25-4AF9-A408-3B30C90BD0DE}"/>
    <cellStyle name="Comma 560 4" xfId="4992" xr:uid="{05B9E7AF-60FB-429E-80C8-529CCFDB5403}"/>
    <cellStyle name="Comma 560 4 2" xfId="10168" xr:uid="{0693024A-F1BB-43F3-A2D9-584BCF3DA657}"/>
    <cellStyle name="Comma 560 4 2 2" xfId="20520" xr:uid="{9D889573-2C91-4038-9C86-042AA8B33E3E}"/>
    <cellStyle name="Comma 560 4 3" xfId="15344" xr:uid="{89CC3198-A97B-4BD6-BB60-7E212E073768}"/>
    <cellStyle name="Comma 560 5" xfId="6040" xr:uid="{4AF7AD23-DC70-45E4-8813-A25C087D1DE2}"/>
    <cellStyle name="Comma 560 5 2" xfId="16392" xr:uid="{2B7794B5-1E9E-4AF9-A05C-EC379122BB3A}"/>
    <cellStyle name="Comma 560 6" xfId="11218" xr:uid="{9E72709A-3411-4104-8BC4-61B87BE067FB}"/>
    <cellStyle name="Comma 561" xfId="801" xr:uid="{5D13083C-637A-4F9E-AF17-942B1E5FBA93}"/>
    <cellStyle name="Comma 561 2" xfId="1839" xr:uid="{AF8B57B6-E9EA-4568-B3EC-18685C7C7CE9}"/>
    <cellStyle name="Comma 561 2 2" xfId="3897" xr:uid="{DDDE90C9-DB89-4EE2-ADB1-B95945950B88}"/>
    <cellStyle name="Comma 561 2 2 2" xfId="9130" xr:uid="{6B3A44D5-0185-421E-94F0-AF87714D8661}"/>
    <cellStyle name="Comma 561 2 2 2 2" xfId="19482" xr:uid="{00AAC013-1C8A-47A4-9995-DA7E3CE801F2}"/>
    <cellStyle name="Comma 561 2 2 3" xfId="14307" xr:uid="{323CB8C2-56DB-49EC-AB56-A1B91FC62EE9}"/>
    <cellStyle name="Comma 561 2 3" xfId="7072" xr:uid="{D4EC4693-6C98-4493-815C-2A850E24ACB5}"/>
    <cellStyle name="Comma 561 2 3 2" xfId="17424" xr:uid="{DA6B4266-F1B7-46BB-B1A6-DCFF4A5242D7}"/>
    <cellStyle name="Comma 561 2 4" xfId="12249" xr:uid="{A69C3D7D-8CA3-4FCE-AC18-483D6744F075}"/>
    <cellStyle name="Comma 561 3" xfId="2867" xr:uid="{55C88BC2-D4F3-4480-8E40-0A22871EAE65}"/>
    <cellStyle name="Comma 561 3 2" xfId="8100" xr:uid="{CFA11522-7C28-4AB3-B416-E2131CF128B1}"/>
    <cellStyle name="Comma 561 3 2 2" xfId="18452" xr:uid="{F1E91DC1-48B1-49A4-B25B-4DA728ED60C9}"/>
    <cellStyle name="Comma 561 3 3" xfId="13277" xr:uid="{DF55DC39-C173-415F-AC1F-10EE9470DFB5}"/>
    <cellStyle name="Comma 561 4" xfId="4993" xr:uid="{FFED2BCE-2AB0-403F-8ECC-B327BD57E391}"/>
    <cellStyle name="Comma 561 4 2" xfId="10169" xr:uid="{D84A3C04-406A-4A6C-A730-D0E87103AD14}"/>
    <cellStyle name="Comma 561 4 2 2" xfId="20521" xr:uid="{6AC5C1CB-5DEF-45B2-A42A-C2848FCEB237}"/>
    <cellStyle name="Comma 561 4 3" xfId="15345" xr:uid="{ED80E5E3-4ADF-4628-B634-08FC0BEDF72A}"/>
    <cellStyle name="Comma 561 5" xfId="6041" xr:uid="{3394F855-65F7-497C-9431-93C5C78AFC81}"/>
    <cellStyle name="Comma 561 5 2" xfId="16393" xr:uid="{67930946-DF0B-4667-BEDF-082CBD5DA60F}"/>
    <cellStyle name="Comma 561 6" xfId="11219" xr:uid="{8F82CC0A-D6DC-4D32-A8B9-D7E0812B3BBB}"/>
    <cellStyle name="Comma 562" xfId="802" xr:uid="{2DB08F97-A46D-4D40-8833-E8623782D044}"/>
    <cellStyle name="Comma 562 2" xfId="1840" xr:uid="{0AECE497-C1AC-4526-8900-D5F48CE58873}"/>
    <cellStyle name="Comma 562 2 2" xfId="3898" xr:uid="{551D592B-4E97-426B-A06D-FB43C1664ACA}"/>
    <cellStyle name="Comma 562 2 2 2" xfId="9131" xr:uid="{5C24C5CA-8ADA-407E-84A5-0C65292A70E8}"/>
    <cellStyle name="Comma 562 2 2 2 2" xfId="19483" xr:uid="{03A19E2E-5811-4919-8352-F2951F4268D2}"/>
    <cellStyle name="Comma 562 2 2 3" xfId="14308" xr:uid="{679CB578-5FF3-4EB1-A19E-94F1D271DC61}"/>
    <cellStyle name="Comma 562 2 3" xfId="7073" xr:uid="{07FD835E-CCA9-424F-ABC2-F550D0BB47E3}"/>
    <cellStyle name="Comma 562 2 3 2" xfId="17425" xr:uid="{6A35ED47-ECAA-41E4-81AD-3C012C84C40F}"/>
    <cellStyle name="Comma 562 2 4" xfId="12250" xr:uid="{C062F187-460D-4E13-BDAC-77BE87BE2C36}"/>
    <cellStyle name="Comma 562 3" xfId="2868" xr:uid="{A8AE4C7E-67C0-4F89-8A0B-ADA1DD01AEB7}"/>
    <cellStyle name="Comma 562 3 2" xfId="8101" xr:uid="{D613059D-7838-4394-B0C9-A2FD353CD98A}"/>
    <cellStyle name="Comma 562 3 2 2" xfId="18453" xr:uid="{D4F22A71-52D1-4EC7-A9BE-92070E71918C}"/>
    <cellStyle name="Comma 562 3 3" xfId="13278" xr:uid="{70120FD9-6D89-4A37-944E-10CFBAE83F5C}"/>
    <cellStyle name="Comma 562 4" xfId="4994" xr:uid="{64741B06-5FB1-4183-ABE0-7EAB82EA98B3}"/>
    <cellStyle name="Comma 562 4 2" xfId="10170" xr:uid="{A5ADF0C7-4F79-47D4-BF08-0B54FC82B39C}"/>
    <cellStyle name="Comma 562 4 2 2" xfId="20522" xr:uid="{BF140226-AD97-4CE2-8D9D-4247572E6661}"/>
    <cellStyle name="Comma 562 4 3" xfId="15346" xr:uid="{B6FC3228-A3FA-4435-AD01-AAC674E06167}"/>
    <cellStyle name="Comma 562 5" xfId="6042" xr:uid="{B1A5EF8B-B2CA-4CB4-AFD1-2D8671DA604F}"/>
    <cellStyle name="Comma 562 5 2" xfId="16394" xr:uid="{4AE1830C-01A7-4778-BA99-8201BF5F74CB}"/>
    <cellStyle name="Comma 562 6" xfId="11220" xr:uid="{C8771B80-BC68-4FE2-B533-1F4AF27D30E6}"/>
    <cellStyle name="Comma 563" xfId="803" xr:uid="{F41E7616-DF78-4AE0-8E3F-861FBACB3E3D}"/>
    <cellStyle name="Comma 563 2" xfId="1841" xr:uid="{35E29C53-BF6E-4E6C-9ED2-6352520F4832}"/>
    <cellStyle name="Comma 563 2 2" xfId="3899" xr:uid="{8B49C0FA-5B36-4EED-8572-2909AE810D7E}"/>
    <cellStyle name="Comma 563 2 2 2" xfId="9132" xr:uid="{71CE0867-332A-4E61-AC3F-9808BF4631C9}"/>
    <cellStyle name="Comma 563 2 2 2 2" xfId="19484" xr:uid="{3E665B29-CA4E-4313-9C5C-EB4C0E3D5FDE}"/>
    <cellStyle name="Comma 563 2 2 3" xfId="14309" xr:uid="{46E5F826-A711-4518-8F95-7DB170F5D8E9}"/>
    <cellStyle name="Comma 563 2 3" xfId="7074" xr:uid="{CB148711-0DC9-40CF-BE59-C40C520A311A}"/>
    <cellStyle name="Comma 563 2 3 2" xfId="17426" xr:uid="{38154DEE-D43D-4811-BCB7-74DF09D7E5CF}"/>
    <cellStyle name="Comma 563 2 4" xfId="12251" xr:uid="{EF2D4EF3-BC7C-4C60-9C84-69FF7E9FCBD9}"/>
    <cellStyle name="Comma 563 3" xfId="2869" xr:uid="{C3EB1786-6545-448A-8F44-D44F76E67787}"/>
    <cellStyle name="Comma 563 3 2" xfId="8102" xr:uid="{1BF4FFCE-FEE2-4F32-86CF-41006C0D8754}"/>
    <cellStyle name="Comma 563 3 2 2" xfId="18454" xr:uid="{0E5657DF-C484-4B3B-B9F6-3E9C3A680F47}"/>
    <cellStyle name="Comma 563 3 3" xfId="13279" xr:uid="{ADD74E3F-C063-4ADE-95AC-FC289FF771C1}"/>
    <cellStyle name="Comma 563 4" xfId="4995" xr:uid="{5191D6FD-B446-409E-A257-86906B1D42C6}"/>
    <cellStyle name="Comma 563 4 2" xfId="10171" xr:uid="{C2F9315B-05DB-4471-88CE-EECC19886B58}"/>
    <cellStyle name="Comma 563 4 2 2" xfId="20523" xr:uid="{F29F17D9-2FBB-41F9-8B53-7D5B8C792EA5}"/>
    <cellStyle name="Comma 563 4 3" xfId="15347" xr:uid="{2EA55E5D-C321-41A1-B523-AC7915921C40}"/>
    <cellStyle name="Comma 563 5" xfId="6043" xr:uid="{1D910BCE-B423-4483-952D-D9C9C37FFD0F}"/>
    <cellStyle name="Comma 563 5 2" xfId="16395" xr:uid="{2456F247-8B0B-42BE-90CD-6825216989CC}"/>
    <cellStyle name="Comma 563 6" xfId="11221" xr:uid="{DAA29DE8-5332-4160-ACB1-EE29148170C7}"/>
    <cellStyle name="Comma 564" xfId="804" xr:uid="{1DB85D85-261C-44BB-A04E-8B716724C38F}"/>
    <cellStyle name="Comma 564 2" xfId="1842" xr:uid="{756FD660-A744-4E2A-8E90-894EBB0CF5CC}"/>
    <cellStyle name="Comma 564 2 2" xfId="3900" xr:uid="{7C90B212-0644-4DD2-8D81-0D1E32C7883A}"/>
    <cellStyle name="Comma 564 2 2 2" xfId="9133" xr:uid="{4304EDC7-6ABA-4052-AA46-B80535913EC7}"/>
    <cellStyle name="Comma 564 2 2 2 2" xfId="19485" xr:uid="{2C032668-8651-4995-99A9-A36B8DAF67FF}"/>
    <cellStyle name="Comma 564 2 2 3" xfId="14310" xr:uid="{28E9EA3D-5D03-4461-AF67-4276EBD96BB8}"/>
    <cellStyle name="Comma 564 2 3" xfId="7075" xr:uid="{63EE29C5-70F1-4157-9EBA-4A6E668CA141}"/>
    <cellStyle name="Comma 564 2 3 2" xfId="17427" xr:uid="{C35F8FBE-A551-4B97-8F2F-8740183BE619}"/>
    <cellStyle name="Comma 564 2 4" xfId="12252" xr:uid="{3228B355-3A54-4880-8FFD-E613860EBBB7}"/>
    <cellStyle name="Comma 564 3" xfId="2870" xr:uid="{23A3C47F-8441-42B3-8DC1-FC5567DBD158}"/>
    <cellStyle name="Comma 564 3 2" xfId="8103" xr:uid="{364E95D3-43EB-43F9-8E2D-B82835EEF56E}"/>
    <cellStyle name="Comma 564 3 2 2" xfId="18455" xr:uid="{C2896B69-F731-4915-A020-A9849D0AF341}"/>
    <cellStyle name="Comma 564 3 3" xfId="13280" xr:uid="{5089F7E6-3451-4B7E-9B58-00255A9CB054}"/>
    <cellStyle name="Comma 564 4" xfId="4996" xr:uid="{897842A7-F0A0-451A-A965-F39BD71B3DFB}"/>
    <cellStyle name="Comma 564 4 2" xfId="10172" xr:uid="{E578DDCC-6465-4350-BF35-4F42B765E23E}"/>
    <cellStyle name="Comma 564 4 2 2" xfId="20524" xr:uid="{7E8F71B4-90AD-4DA1-8BD6-5626443C366A}"/>
    <cellStyle name="Comma 564 4 3" xfId="15348" xr:uid="{3681F459-686F-49AA-93FE-0604B3A7D5CC}"/>
    <cellStyle name="Comma 564 5" xfId="6044" xr:uid="{E7682E82-BD2E-425B-83E9-42C8B5F498D5}"/>
    <cellStyle name="Comma 564 5 2" xfId="16396" xr:uid="{A4A786FE-6D40-46AB-A1AF-0E9A01B83201}"/>
    <cellStyle name="Comma 564 6" xfId="11222" xr:uid="{B38C20AB-8809-41F2-ABAC-5469444FE590}"/>
    <cellStyle name="Comma 565" xfId="805" xr:uid="{7E67063B-F141-43B2-AEC6-0019D07AA715}"/>
    <cellStyle name="Comma 565 2" xfId="1843" xr:uid="{F95577A5-87F5-4B0D-A9CD-780624261176}"/>
    <cellStyle name="Comma 565 2 2" xfId="3901" xr:uid="{02C41A6C-2365-4D22-AC0F-989251C34E69}"/>
    <cellStyle name="Comma 565 2 2 2" xfId="9134" xr:uid="{351444B8-B030-49EC-B6D3-0591CE565F11}"/>
    <cellStyle name="Comma 565 2 2 2 2" xfId="19486" xr:uid="{59B0B3C6-AA09-471D-B7D7-45370E0D8A61}"/>
    <cellStyle name="Comma 565 2 2 3" xfId="14311" xr:uid="{5EC38042-E53A-4786-9510-52BAA0F6EA20}"/>
    <cellStyle name="Comma 565 2 3" xfId="7076" xr:uid="{42D3AC54-FE7B-45B4-9F48-D50983D9899F}"/>
    <cellStyle name="Comma 565 2 3 2" xfId="17428" xr:uid="{9B4E4A9F-9B4A-4B47-AC4A-6FC0236399DA}"/>
    <cellStyle name="Comma 565 2 4" xfId="12253" xr:uid="{3B30B477-194F-4DBA-A377-CBF132901C3A}"/>
    <cellStyle name="Comma 565 3" xfId="2871" xr:uid="{BEB9D90A-1B53-4589-BC5B-4AC7C77781B9}"/>
    <cellStyle name="Comma 565 3 2" xfId="8104" xr:uid="{D825C3E0-832E-4100-B72E-C62692D88B4A}"/>
    <cellStyle name="Comma 565 3 2 2" xfId="18456" xr:uid="{888E38C9-0123-45C0-9CDB-4CF85B9A2F51}"/>
    <cellStyle name="Comma 565 3 3" xfId="13281" xr:uid="{0C10CAE9-210D-46AA-9D08-D880968A198F}"/>
    <cellStyle name="Comma 565 4" xfId="4997" xr:uid="{0DF128B9-0248-4D92-9C1D-CEA7A90F88B9}"/>
    <cellStyle name="Comma 565 4 2" xfId="10173" xr:uid="{78EEB4DC-48F2-4329-B0BE-9CB29111A3C0}"/>
    <cellStyle name="Comma 565 4 2 2" xfId="20525" xr:uid="{99E32361-9DBD-4124-BF52-41A3862D73F0}"/>
    <cellStyle name="Comma 565 4 3" xfId="15349" xr:uid="{854AE3F1-097A-49D5-9CE7-64569C7031B9}"/>
    <cellStyle name="Comma 565 5" xfId="6045" xr:uid="{AA2B052F-ABC7-42BF-B456-E7E1049CD7E0}"/>
    <cellStyle name="Comma 565 5 2" xfId="16397" xr:uid="{1A4738E5-A36C-4016-8CF9-E38F8ACE04C3}"/>
    <cellStyle name="Comma 565 6" xfId="11223" xr:uid="{F3138735-FD2C-4294-B358-D5EC00C7595B}"/>
    <cellStyle name="Comma 566" xfId="806" xr:uid="{A30B849E-5268-4508-A291-5D129554C043}"/>
    <cellStyle name="Comma 566 2" xfId="1844" xr:uid="{D7569117-D445-4AE7-9458-0915C78E0D6B}"/>
    <cellStyle name="Comma 566 2 2" xfId="3902" xr:uid="{71F93D1B-05AD-464B-A3D8-EB2962A43BA6}"/>
    <cellStyle name="Comma 566 2 2 2" xfId="9135" xr:uid="{9D250A71-AD93-45E8-A100-447CA35BE45D}"/>
    <cellStyle name="Comma 566 2 2 2 2" xfId="19487" xr:uid="{7FD9DEDE-06C9-430D-880E-C8938E69F65F}"/>
    <cellStyle name="Comma 566 2 2 3" xfId="14312" xr:uid="{D9583A58-8856-4D45-98A9-E3267E55F593}"/>
    <cellStyle name="Comma 566 2 3" xfId="7077" xr:uid="{D7C085B0-1683-4BF2-AC4B-206A61D89CC7}"/>
    <cellStyle name="Comma 566 2 3 2" xfId="17429" xr:uid="{F2AE759B-7400-4AAF-AF96-55B19D20468A}"/>
    <cellStyle name="Comma 566 2 4" xfId="12254" xr:uid="{1B4416FF-E1BA-40D8-A31E-6D446D61C184}"/>
    <cellStyle name="Comma 566 3" xfId="2872" xr:uid="{E3F78989-B153-4BCF-824D-0A679841096D}"/>
    <cellStyle name="Comma 566 3 2" xfId="8105" xr:uid="{109A7EE0-7493-4DDA-80CE-7ACC72373853}"/>
    <cellStyle name="Comma 566 3 2 2" xfId="18457" xr:uid="{44D9A748-235C-4078-9C2D-96E955F2C2C7}"/>
    <cellStyle name="Comma 566 3 3" xfId="13282" xr:uid="{3D59F429-1257-45B7-9602-96F6D44DA007}"/>
    <cellStyle name="Comma 566 4" xfId="4998" xr:uid="{445B5615-24A3-4584-963C-1ACF14E6884F}"/>
    <cellStyle name="Comma 566 4 2" xfId="10174" xr:uid="{BF20AAC4-9A6E-4FEE-891B-018E0045A292}"/>
    <cellStyle name="Comma 566 4 2 2" xfId="20526" xr:uid="{727672CA-670C-4D9E-9576-FB1293851C83}"/>
    <cellStyle name="Comma 566 4 3" xfId="15350" xr:uid="{B5D2BDCF-44D3-4953-A0B5-493614D053D5}"/>
    <cellStyle name="Comma 566 5" xfId="6046" xr:uid="{F202D1D8-0F33-496E-931D-B8F26D7F65AE}"/>
    <cellStyle name="Comma 566 5 2" xfId="16398" xr:uid="{98F85400-1951-4101-B8A1-60F13E7F7579}"/>
    <cellStyle name="Comma 566 6" xfId="11224" xr:uid="{ADF16425-40EA-4565-A624-04DE0EFB1EDB}"/>
    <cellStyle name="Comma 567" xfId="807" xr:uid="{606447AA-D2F7-433D-98D3-A49C5DC23DD5}"/>
    <cellStyle name="Comma 567 2" xfId="1845" xr:uid="{E7283232-01D6-40EE-BB4A-2A9B80FA10BD}"/>
    <cellStyle name="Comma 567 2 2" xfId="3903" xr:uid="{1A13F67F-DFB0-4023-BECD-E3900000C915}"/>
    <cellStyle name="Comma 567 2 2 2" xfId="9136" xr:uid="{D3D001FA-F204-43D5-9799-6E0CD83AD29C}"/>
    <cellStyle name="Comma 567 2 2 2 2" xfId="19488" xr:uid="{88007EFC-E7DE-440B-9358-87293C0527E1}"/>
    <cellStyle name="Comma 567 2 2 3" xfId="14313" xr:uid="{B79B0958-6BBF-4486-A374-8D174600A1F6}"/>
    <cellStyle name="Comma 567 2 3" xfId="7078" xr:uid="{343C6986-3FDD-47F6-9DE6-B456BACB3782}"/>
    <cellStyle name="Comma 567 2 3 2" xfId="17430" xr:uid="{00D6F3DB-CDDD-45FB-B7E0-6289C1A5143B}"/>
    <cellStyle name="Comma 567 2 4" xfId="12255" xr:uid="{09DFF972-DDF0-4C04-AE5D-97958213DABB}"/>
    <cellStyle name="Comma 567 3" xfId="2873" xr:uid="{E8B55D10-9510-4BC4-98B6-B97EC36EE3F5}"/>
    <cellStyle name="Comma 567 3 2" xfId="8106" xr:uid="{D024F35F-0FE2-4B8A-97D8-897F59701B1E}"/>
    <cellStyle name="Comma 567 3 2 2" xfId="18458" xr:uid="{84B4DD84-DD22-4C56-BF68-50CA61CCC0A2}"/>
    <cellStyle name="Comma 567 3 3" xfId="13283" xr:uid="{C38AD0D9-8AC3-432D-9979-3DCE5FE4D5CB}"/>
    <cellStyle name="Comma 567 4" xfId="4999" xr:uid="{31F57721-C555-474D-9F58-84E4D193818F}"/>
    <cellStyle name="Comma 567 4 2" xfId="10175" xr:uid="{0FE36632-17CE-44C3-824C-6CF63D6801B7}"/>
    <cellStyle name="Comma 567 4 2 2" xfId="20527" xr:uid="{7A0CDB82-58DB-4B15-946F-9A1963C4C7D8}"/>
    <cellStyle name="Comma 567 4 3" xfId="15351" xr:uid="{C5935616-E084-4E87-8FCF-892B8B97F2D9}"/>
    <cellStyle name="Comma 567 5" xfId="6047" xr:uid="{BB74CE52-E0AA-4773-8370-6865CCC7EEB8}"/>
    <cellStyle name="Comma 567 5 2" xfId="16399" xr:uid="{FF769F32-3975-45F2-847D-43A1E85C40AD}"/>
    <cellStyle name="Comma 567 6" xfId="11225" xr:uid="{C2C76668-0A88-4479-9D3D-04C937BC5494}"/>
    <cellStyle name="Comma 568" xfId="808" xr:uid="{46F3E94D-EF4D-4E8D-9A4F-41171EB3082D}"/>
    <cellStyle name="Comma 568 2" xfId="1846" xr:uid="{5F163246-9398-42C7-9F2B-73803B8A42A2}"/>
    <cellStyle name="Comma 568 2 2" xfId="3904" xr:uid="{946EC1AC-7D9A-4D40-AAE2-8691DEE70A58}"/>
    <cellStyle name="Comma 568 2 2 2" xfId="9137" xr:uid="{8109E0FA-3569-4149-97EA-284942E2811B}"/>
    <cellStyle name="Comma 568 2 2 2 2" xfId="19489" xr:uid="{DFAD9805-1F2D-4191-8A73-B78AC31230C0}"/>
    <cellStyle name="Comma 568 2 2 3" xfId="14314" xr:uid="{EEDDF884-E266-4B60-83EC-A2DB18C44E5E}"/>
    <cellStyle name="Comma 568 2 3" xfId="7079" xr:uid="{14408110-94EF-4FDD-A85A-20B2F54CD1BB}"/>
    <cellStyle name="Comma 568 2 3 2" xfId="17431" xr:uid="{A2DF97EE-CBFE-438F-BB79-EEBDCEA70A5D}"/>
    <cellStyle name="Comma 568 2 4" xfId="12256" xr:uid="{9FAAC701-7F79-4663-8350-4661B5678577}"/>
    <cellStyle name="Comma 568 3" xfId="2874" xr:uid="{F198EED9-56F2-448E-8169-1E49EE922D4D}"/>
    <cellStyle name="Comma 568 3 2" xfId="8107" xr:uid="{D96017CE-7BF8-4ACA-9930-BB2D6D03ED7F}"/>
    <cellStyle name="Comma 568 3 2 2" xfId="18459" xr:uid="{6CD93097-4031-4E9D-ABC3-46F574246807}"/>
    <cellStyle name="Comma 568 3 3" xfId="13284" xr:uid="{295201CD-F407-4568-BB1A-0BF9497C3A73}"/>
    <cellStyle name="Comma 568 4" xfId="5000" xr:uid="{1002B2C0-0882-4D1B-8E4F-B9D8210334D4}"/>
    <cellStyle name="Comma 568 4 2" xfId="10176" xr:uid="{B1D35B97-B88C-49F0-BA93-BA34DAA96D0D}"/>
    <cellStyle name="Comma 568 4 2 2" xfId="20528" xr:uid="{055F8DBD-9D85-47F8-83FE-9FD09069DD73}"/>
    <cellStyle name="Comma 568 4 3" xfId="15352" xr:uid="{DF1710FD-045E-4057-9025-43E6EDC0FCB2}"/>
    <cellStyle name="Comma 568 5" xfId="6048" xr:uid="{F6F8BAC4-7E83-4CE2-AEF5-B23F315FAB47}"/>
    <cellStyle name="Comma 568 5 2" xfId="16400" xr:uid="{B2D74FB7-D868-4478-AD10-28F3D871FB4F}"/>
    <cellStyle name="Comma 568 6" xfId="11226" xr:uid="{EA94EA8F-07D7-4661-BE29-56D99577C5C8}"/>
    <cellStyle name="Comma 569" xfId="809" xr:uid="{C7512539-BB7F-4537-A7FE-29052AB09572}"/>
    <cellStyle name="Comma 569 2" xfId="1847" xr:uid="{3D87CB16-FF96-426E-AA6A-6CB9F065A704}"/>
    <cellStyle name="Comma 569 2 2" xfId="3905" xr:uid="{768DD51C-DDD6-4E35-AC3C-6FB7096EF3F0}"/>
    <cellStyle name="Comma 569 2 2 2" xfId="9138" xr:uid="{42F3AF9E-DFE8-481A-981E-53812EE4D81C}"/>
    <cellStyle name="Comma 569 2 2 2 2" xfId="19490" xr:uid="{5BF2E752-53B7-432A-91E2-97968F078EC9}"/>
    <cellStyle name="Comma 569 2 2 3" xfId="14315" xr:uid="{9074B882-488D-4A42-BB3C-389924D9F713}"/>
    <cellStyle name="Comma 569 2 3" xfId="7080" xr:uid="{92CA0A84-16E5-436D-916B-1630DAA480CB}"/>
    <cellStyle name="Comma 569 2 3 2" xfId="17432" xr:uid="{0259E270-2DDD-4F34-89C2-D5DB5FFE4794}"/>
    <cellStyle name="Comma 569 2 4" xfId="12257" xr:uid="{522FC29D-C21C-4081-95DB-CF47BAF33632}"/>
    <cellStyle name="Comma 569 3" xfId="2875" xr:uid="{6834936D-A911-471F-8278-3D4193BFD216}"/>
    <cellStyle name="Comma 569 3 2" xfId="8108" xr:uid="{1283EC8F-C582-400F-BBBD-601B28CD8782}"/>
    <cellStyle name="Comma 569 3 2 2" xfId="18460" xr:uid="{2F0537C9-1E7D-43C0-9B9A-48262C62CF28}"/>
    <cellStyle name="Comma 569 3 3" xfId="13285" xr:uid="{10C8C59F-17B5-451B-9110-5A4E867026A0}"/>
    <cellStyle name="Comma 569 4" xfId="5001" xr:uid="{61202EE1-CB57-4818-BCA0-D03420FFEEF0}"/>
    <cellStyle name="Comma 569 4 2" xfId="10177" xr:uid="{5F252FF7-4AD7-4F51-B9CA-3EBFF862ECEF}"/>
    <cellStyle name="Comma 569 4 2 2" xfId="20529" xr:uid="{A130A84E-6EBC-45FA-8258-45760209C8A9}"/>
    <cellStyle name="Comma 569 4 3" xfId="15353" xr:uid="{BF7CBAEC-8432-4330-A36F-5D4DE11D2992}"/>
    <cellStyle name="Comma 569 5" xfId="6049" xr:uid="{8D3D105E-6A90-48B2-AAE7-ACAA4A28FE1F}"/>
    <cellStyle name="Comma 569 5 2" xfId="16401" xr:uid="{880D3BD6-5A79-4711-AB9B-35CF042C2B89}"/>
    <cellStyle name="Comma 569 6" xfId="11227" xr:uid="{F09A916E-D4FC-40F6-9CF1-C3A67267339F}"/>
    <cellStyle name="Comma 57" xfId="257" xr:uid="{14C8D997-5937-4BE0-83BE-2F03D69DDBB4}"/>
    <cellStyle name="Comma 57 2" xfId="1335" xr:uid="{05AD2997-759C-4954-94CA-37DFAB9B8DFC}"/>
    <cellStyle name="Comma 57 2 2" xfId="3393" xr:uid="{612AD078-69E1-411F-8160-D2EFE6AFB3AB}"/>
    <cellStyle name="Comma 57 2 2 2" xfId="8626" xr:uid="{69E453D5-282C-4416-A75A-9974944EEE6C}"/>
    <cellStyle name="Comma 57 2 2 2 2" xfId="18978" xr:uid="{68F28E47-FEE2-4E66-A47F-C6B22FE058B5}"/>
    <cellStyle name="Comma 57 2 2 3" xfId="13803" xr:uid="{3980F15E-2CBA-4097-8850-77F1A24555BB}"/>
    <cellStyle name="Comma 57 2 3" xfId="6568" xr:uid="{C9FC5485-A066-4829-94EB-DAE461E239F2}"/>
    <cellStyle name="Comma 57 2 3 2" xfId="16920" xr:uid="{5E11FB54-4D14-45C7-A54E-5E1496649DB6}"/>
    <cellStyle name="Comma 57 2 4" xfId="11745" xr:uid="{418275D4-519D-407B-92A2-CFDA8A5182A6}"/>
    <cellStyle name="Comma 57 3" xfId="2363" xr:uid="{FB42A844-B111-4E0A-A8FC-D659025330B1}"/>
    <cellStyle name="Comma 57 3 2" xfId="7596" xr:uid="{3E5058C3-5708-400F-9DF8-1D83F708FD97}"/>
    <cellStyle name="Comma 57 3 2 2" xfId="17948" xr:uid="{D16C0C3A-0BBE-4B4C-8E57-7DB207615555}"/>
    <cellStyle name="Comma 57 3 3" xfId="12773" xr:uid="{EF55F17D-FDB5-4721-923B-00ED55FB4656}"/>
    <cellStyle name="Comma 57 4" xfId="4489" xr:uid="{7C2376D0-FE83-4EC4-AC2F-EC699603C248}"/>
    <cellStyle name="Comma 57 4 2" xfId="9665" xr:uid="{6251E97B-AC83-48D3-B948-2CEF1115B752}"/>
    <cellStyle name="Comma 57 4 2 2" xfId="20017" xr:uid="{E31FF71E-A3C2-4567-8411-98E7797BD717}"/>
    <cellStyle name="Comma 57 4 3" xfId="14841" xr:uid="{073BAFA0-5F0B-45AD-A5A2-DFCBF9382928}"/>
    <cellStyle name="Comma 57 5" xfId="5537" xr:uid="{5298EBCC-0548-4CC2-9140-E43E5F8D54C7}"/>
    <cellStyle name="Comma 57 5 2" xfId="15889" xr:uid="{65D5D19C-9441-489A-934A-FCDD3EBF6E1C}"/>
    <cellStyle name="Comma 57 6" xfId="10715" xr:uid="{0C52DA30-206F-44A6-8B46-AD5ED0EC6BFA}"/>
    <cellStyle name="Comma 570" xfId="810" xr:uid="{D4EFA335-5E8A-4A6D-81CC-76414F2EE42C}"/>
    <cellStyle name="Comma 570 2" xfId="1848" xr:uid="{D99D69BB-7CFA-472C-87E5-51787F10C775}"/>
    <cellStyle name="Comma 570 2 2" xfId="3906" xr:uid="{21867342-9971-4CDC-9FDC-90CF381E44BE}"/>
    <cellStyle name="Comma 570 2 2 2" xfId="9139" xr:uid="{773D03A9-8A54-413E-9646-4912013B83BC}"/>
    <cellStyle name="Comma 570 2 2 2 2" xfId="19491" xr:uid="{7B35F76C-A2C9-48A3-B990-E52FD1E51797}"/>
    <cellStyle name="Comma 570 2 2 3" xfId="14316" xr:uid="{5AB16175-5FAA-4C01-B172-841D2346DCF9}"/>
    <cellStyle name="Comma 570 2 3" xfId="7081" xr:uid="{7389F67A-3301-4D74-82B4-4F0D02810021}"/>
    <cellStyle name="Comma 570 2 3 2" xfId="17433" xr:uid="{DB4E545C-6876-42D5-B1D5-C59A0CDB7B43}"/>
    <cellStyle name="Comma 570 2 4" xfId="12258" xr:uid="{979191DB-250D-4748-8078-5B56ADD628ED}"/>
    <cellStyle name="Comma 570 3" xfId="2876" xr:uid="{7BB87A3C-82DC-4DA9-95E8-97127AE0DF0B}"/>
    <cellStyle name="Comma 570 3 2" xfId="8109" xr:uid="{46E54866-A51E-4468-AAB0-1B936BC55958}"/>
    <cellStyle name="Comma 570 3 2 2" xfId="18461" xr:uid="{5DF687A6-B4C1-40A0-A8C5-360094045634}"/>
    <cellStyle name="Comma 570 3 3" xfId="13286" xr:uid="{B25B7E9D-C438-4D60-B073-18433BDD15E3}"/>
    <cellStyle name="Comma 570 4" xfId="5002" xr:uid="{3292E57E-DB23-4AC3-8441-8FF57F5D6509}"/>
    <cellStyle name="Comma 570 4 2" xfId="10178" xr:uid="{6F17B9C1-56B7-4863-B47A-20482BB57C8A}"/>
    <cellStyle name="Comma 570 4 2 2" xfId="20530" xr:uid="{7812EE46-B54C-4D95-8E11-966A745B3AD5}"/>
    <cellStyle name="Comma 570 4 3" xfId="15354" xr:uid="{387D3E48-9E21-47BB-AE11-5D7C3BCBA445}"/>
    <cellStyle name="Comma 570 5" xfId="6050" xr:uid="{3FBF91AC-D240-44F0-9020-800D2E535819}"/>
    <cellStyle name="Comma 570 5 2" xfId="16402" xr:uid="{F3197BBE-2B7C-44C3-8DA1-2D4FAB4723C4}"/>
    <cellStyle name="Comma 570 6" xfId="11228" xr:uid="{54DA67E4-1112-4870-8B20-831CAD3C09CD}"/>
    <cellStyle name="Comma 571" xfId="811" xr:uid="{6F50F3F0-2F57-4671-8574-33439225288A}"/>
    <cellStyle name="Comma 571 2" xfId="1849" xr:uid="{924758F5-62F1-4DD6-9AF2-932EE3CE7742}"/>
    <cellStyle name="Comma 571 2 2" xfId="3907" xr:uid="{F50B0449-DB10-416D-93C8-541165AFB7D9}"/>
    <cellStyle name="Comma 571 2 2 2" xfId="9140" xr:uid="{24A869E2-05E8-4B38-96AE-2059EF09685F}"/>
    <cellStyle name="Comma 571 2 2 2 2" xfId="19492" xr:uid="{F7D73317-C3C3-4C87-B21C-EDECC50842B7}"/>
    <cellStyle name="Comma 571 2 2 3" xfId="14317" xr:uid="{AB8ED7ED-C012-4596-85FE-350D65101F7A}"/>
    <cellStyle name="Comma 571 2 3" xfId="7082" xr:uid="{C8818FE9-64CA-4F9B-A8A4-9F21EAEB143A}"/>
    <cellStyle name="Comma 571 2 3 2" xfId="17434" xr:uid="{D75E0EAB-6109-4B6F-B8A4-07C680CA43EF}"/>
    <cellStyle name="Comma 571 2 4" xfId="12259" xr:uid="{09AA7151-E71C-47D0-9549-A01C3FA6A047}"/>
    <cellStyle name="Comma 571 3" xfId="2877" xr:uid="{887708DA-BAFD-43BF-9C54-0C1379BDF6A8}"/>
    <cellStyle name="Comma 571 3 2" xfId="8110" xr:uid="{7DB7B516-990A-4A80-99D3-579B8B4B1DAC}"/>
    <cellStyle name="Comma 571 3 2 2" xfId="18462" xr:uid="{14AFA67C-66D3-4635-9343-91BAF1C54D94}"/>
    <cellStyle name="Comma 571 3 3" xfId="13287" xr:uid="{75CB981D-5EAD-4BB0-807A-64AFA9317779}"/>
    <cellStyle name="Comma 571 4" xfId="5003" xr:uid="{DE29BE8F-0EA2-4D68-990C-73F2C95369B8}"/>
    <cellStyle name="Comma 571 4 2" xfId="10179" xr:uid="{3CC0B7E4-AB79-40EB-BE72-BFDAD061EBC6}"/>
    <cellStyle name="Comma 571 4 2 2" xfId="20531" xr:uid="{C6DCFC42-9A54-4F97-9983-FAB255B3E7ED}"/>
    <cellStyle name="Comma 571 4 3" xfId="15355" xr:uid="{26D7CBFE-AA6B-416F-9969-CE809C87FCBB}"/>
    <cellStyle name="Comma 571 5" xfId="6051" xr:uid="{FCB4B8AC-46E5-421F-B9D9-197C0D84C5DF}"/>
    <cellStyle name="Comma 571 5 2" xfId="16403" xr:uid="{87E82EFC-E449-45F2-B472-652279467403}"/>
    <cellStyle name="Comma 571 6" xfId="11229" xr:uid="{65EFA623-D1EA-4C76-BF51-013A4FEB58A7}"/>
    <cellStyle name="Comma 572" xfId="812" xr:uid="{ECAD6E33-2944-4D3F-810C-FB186DC7DEC1}"/>
    <cellStyle name="Comma 572 2" xfId="1850" xr:uid="{1239D592-94B6-410B-B55B-1530C4DF4F1F}"/>
    <cellStyle name="Comma 572 2 2" xfId="3908" xr:uid="{721D68EC-D60F-4D93-851D-6D67DB7E3D23}"/>
    <cellStyle name="Comma 572 2 2 2" xfId="9141" xr:uid="{BC5BB29E-B296-40ED-9098-ADC9C158F5E2}"/>
    <cellStyle name="Comma 572 2 2 2 2" xfId="19493" xr:uid="{A172232A-2BB2-4A80-9B8C-B5DF45C4D951}"/>
    <cellStyle name="Comma 572 2 2 3" xfId="14318" xr:uid="{0314291F-D3AB-4730-B229-520FC28F2551}"/>
    <cellStyle name="Comma 572 2 3" xfId="7083" xr:uid="{4720BA5F-1616-4EA3-894C-887CDA84ABA5}"/>
    <cellStyle name="Comma 572 2 3 2" xfId="17435" xr:uid="{BB968992-D67A-4734-94AE-59CB16CEA958}"/>
    <cellStyle name="Comma 572 2 4" xfId="12260" xr:uid="{73F7F7E4-7034-4BDE-8A50-C36490EC8085}"/>
    <cellStyle name="Comma 572 3" xfId="2878" xr:uid="{65642748-764F-461D-8416-A38222CB72AA}"/>
    <cellStyle name="Comma 572 3 2" xfId="8111" xr:uid="{75D750E6-7727-4D7B-AE5C-38A7D7C37E2A}"/>
    <cellStyle name="Comma 572 3 2 2" xfId="18463" xr:uid="{B5F2FABC-51B4-41B2-813C-C4A89A9AFE69}"/>
    <cellStyle name="Comma 572 3 3" xfId="13288" xr:uid="{4F9D8083-18E1-4B42-BDEE-7E5CB7AC247A}"/>
    <cellStyle name="Comma 572 4" xfId="5004" xr:uid="{BA5EAF37-AC5F-4245-AAF2-B7F86ADB4939}"/>
    <cellStyle name="Comma 572 4 2" xfId="10180" xr:uid="{0E3E2AC1-D12E-4ADE-BA04-C56E184A1843}"/>
    <cellStyle name="Comma 572 4 2 2" xfId="20532" xr:uid="{EC50BCC2-A410-414E-82BF-A0C1A85199C0}"/>
    <cellStyle name="Comma 572 4 3" xfId="15356" xr:uid="{4E7439CB-21E7-4D1E-B3D0-BE269B39F5BD}"/>
    <cellStyle name="Comma 572 5" xfId="6052" xr:uid="{92E4924A-475A-4427-A757-80E96B9EF1B9}"/>
    <cellStyle name="Comma 572 5 2" xfId="16404" xr:uid="{C33480A6-389F-431C-B893-DBB7E90B9A96}"/>
    <cellStyle name="Comma 572 6" xfId="11230" xr:uid="{2A2EE28B-E530-441C-BB53-A655BF12A847}"/>
    <cellStyle name="Comma 573" xfId="813" xr:uid="{86C8CD0F-5C80-46A6-B0BC-91582395E946}"/>
    <cellStyle name="Comma 573 2" xfId="1851" xr:uid="{1C29D76F-3DA0-4586-9A4A-0BDD726589B2}"/>
    <cellStyle name="Comma 573 2 2" xfId="3909" xr:uid="{D28AEE86-7A0B-4468-B05D-ED9A8FB782FE}"/>
    <cellStyle name="Comma 573 2 2 2" xfId="9142" xr:uid="{1ADBD710-1387-42F2-BDC6-79F7736F9687}"/>
    <cellStyle name="Comma 573 2 2 2 2" xfId="19494" xr:uid="{C5B1D18B-4772-4960-B2E6-34F1914A9DB5}"/>
    <cellStyle name="Comma 573 2 2 3" xfId="14319" xr:uid="{A3ADD3B1-DF29-4FA5-BBD0-6D0CAF7CC410}"/>
    <cellStyle name="Comma 573 2 3" xfId="7084" xr:uid="{3A98C4FA-7816-43CD-B9AF-BEFC12EEBF47}"/>
    <cellStyle name="Comma 573 2 3 2" xfId="17436" xr:uid="{FB873D33-3832-40DC-9C9B-C23D0CFC1507}"/>
    <cellStyle name="Comma 573 2 4" xfId="12261" xr:uid="{9B1D6C31-89BA-4F12-A2C5-BE04B13FD075}"/>
    <cellStyle name="Comma 573 3" xfId="2879" xr:uid="{0289D39D-A852-46C7-BECD-D622B5DA6DA6}"/>
    <cellStyle name="Comma 573 3 2" xfId="8112" xr:uid="{37DBA238-7252-4999-B886-DE4AF5141E40}"/>
    <cellStyle name="Comma 573 3 2 2" xfId="18464" xr:uid="{362F7C81-AF14-450F-B76A-FBFE1795E764}"/>
    <cellStyle name="Comma 573 3 3" xfId="13289" xr:uid="{8D585A0C-088D-4E41-BBC8-F196B92EA2A0}"/>
    <cellStyle name="Comma 573 4" xfId="5005" xr:uid="{19812A30-6A88-456E-9550-651C38FFFBB3}"/>
    <cellStyle name="Comma 573 4 2" xfId="10181" xr:uid="{D67743F9-357F-476C-8ADD-9851509814F2}"/>
    <cellStyle name="Comma 573 4 2 2" xfId="20533" xr:uid="{984E3B90-22DD-4863-A3D8-D0299C6031B2}"/>
    <cellStyle name="Comma 573 4 3" xfId="15357" xr:uid="{54464FA5-BF15-471B-95E9-318704362ED6}"/>
    <cellStyle name="Comma 573 5" xfId="6053" xr:uid="{642D05F4-5058-4D3F-8406-8C403F7CD72A}"/>
    <cellStyle name="Comma 573 5 2" xfId="16405" xr:uid="{BB016732-DCAA-430A-9612-B00FD7D08E56}"/>
    <cellStyle name="Comma 573 6" xfId="11231" xr:uid="{DE7F6362-D3B3-44E6-81F1-8FE4523C5DCB}"/>
    <cellStyle name="Comma 574" xfId="814" xr:uid="{CBFB4F89-9B4A-4CA5-92EE-AF27BA162484}"/>
    <cellStyle name="Comma 574 2" xfId="1852" xr:uid="{96612003-D0B7-4CFC-BA90-5EA5EACCBAE4}"/>
    <cellStyle name="Comma 574 2 2" xfId="3910" xr:uid="{E4A24762-1532-4E43-973C-6A59062AE891}"/>
    <cellStyle name="Comma 574 2 2 2" xfId="9143" xr:uid="{49A39083-8120-44F0-A85E-B8F248247984}"/>
    <cellStyle name="Comma 574 2 2 2 2" xfId="19495" xr:uid="{58D7E22B-AF47-49DB-9BAD-75D422496390}"/>
    <cellStyle name="Comma 574 2 2 3" xfId="14320" xr:uid="{5BDD0243-58E4-4A6A-BC0B-6BECAAFE8CBA}"/>
    <cellStyle name="Comma 574 2 3" xfId="7085" xr:uid="{BE3D936F-5A3C-4246-BD62-9D16B26E42C6}"/>
    <cellStyle name="Comma 574 2 3 2" xfId="17437" xr:uid="{C9AE715A-1EB1-4E73-9C06-1C9225FF7B3A}"/>
    <cellStyle name="Comma 574 2 4" xfId="12262" xr:uid="{2E12754C-2C9B-4C13-BE32-A7B65FF11B15}"/>
    <cellStyle name="Comma 574 3" xfId="2880" xr:uid="{A6A32F64-78EB-44F8-BF6C-52F312ABC16F}"/>
    <cellStyle name="Comma 574 3 2" xfId="8113" xr:uid="{C0300512-5B26-4657-9AE1-D5C7CFEA7388}"/>
    <cellStyle name="Comma 574 3 2 2" xfId="18465" xr:uid="{28E5F0E5-7C12-4073-B95F-C59F4370B936}"/>
    <cellStyle name="Comma 574 3 3" xfId="13290" xr:uid="{46125A7A-D034-41F4-A693-8D7C976E98C7}"/>
    <cellStyle name="Comma 574 4" xfId="5006" xr:uid="{9CA86BF8-AD94-499C-8335-C1AAC1B51C65}"/>
    <cellStyle name="Comma 574 4 2" xfId="10182" xr:uid="{4475EA1F-ED5A-468F-A93C-D91D788A23BC}"/>
    <cellStyle name="Comma 574 4 2 2" xfId="20534" xr:uid="{983D7BD6-279A-47A0-9F19-C481C74128BA}"/>
    <cellStyle name="Comma 574 4 3" xfId="15358" xr:uid="{DD674DA4-0AD5-4E8E-B815-12A90B526EF6}"/>
    <cellStyle name="Comma 574 5" xfId="6054" xr:uid="{C0642F8E-5EC7-4D49-9758-98903D29AD7F}"/>
    <cellStyle name="Comma 574 5 2" xfId="16406" xr:uid="{5D34097B-C36F-4E43-B51B-61F16EC58091}"/>
    <cellStyle name="Comma 574 6" xfId="11232" xr:uid="{B76AF257-4A9A-4FFF-8E79-969EE51EB0C8}"/>
    <cellStyle name="Comma 575" xfId="815" xr:uid="{8112CFF1-A80A-4A9C-83D1-6F5F8E507598}"/>
    <cellStyle name="Comma 575 2" xfId="1853" xr:uid="{523B8A68-1B09-433B-8F37-0795BAD79AEF}"/>
    <cellStyle name="Comma 575 2 2" xfId="3911" xr:uid="{CB1D2903-6363-4D04-A79C-C6806FE05807}"/>
    <cellStyle name="Comma 575 2 2 2" xfId="9144" xr:uid="{E55E4DC2-0D75-40FD-8414-6F7DF3EFA9B3}"/>
    <cellStyle name="Comma 575 2 2 2 2" xfId="19496" xr:uid="{2B732DBC-641D-4E38-A951-A7AD5E2FD6B9}"/>
    <cellStyle name="Comma 575 2 2 3" xfId="14321" xr:uid="{44270E69-52F3-4C91-8C0F-8901A5AED1BE}"/>
    <cellStyle name="Comma 575 2 3" xfId="7086" xr:uid="{57C817A1-869C-4AF5-80A8-9228AF6A2E85}"/>
    <cellStyle name="Comma 575 2 3 2" xfId="17438" xr:uid="{264E58C8-4CA5-4A65-B4BB-6EA7ACE0CD60}"/>
    <cellStyle name="Comma 575 2 4" xfId="12263" xr:uid="{D2EDB9F6-3043-433D-93DC-8FC63E4634C8}"/>
    <cellStyle name="Comma 575 3" xfId="2881" xr:uid="{79EE2003-4173-44F3-81C9-B8C33BD5944F}"/>
    <cellStyle name="Comma 575 3 2" xfId="8114" xr:uid="{A4F3CAB1-03CD-49B7-9E15-BCB8A502EAAB}"/>
    <cellStyle name="Comma 575 3 2 2" xfId="18466" xr:uid="{784AD50A-7B03-407B-BE32-1461C0CCF5FF}"/>
    <cellStyle name="Comma 575 3 3" xfId="13291" xr:uid="{6E9892B2-C5CC-4DE1-9F44-300FA0ADDC7E}"/>
    <cellStyle name="Comma 575 4" xfId="5007" xr:uid="{EBDCAF60-B31C-423B-979A-7D0C829AFB5A}"/>
    <cellStyle name="Comma 575 4 2" xfId="10183" xr:uid="{4633B136-F734-4FD6-80AC-095EE4EF7C64}"/>
    <cellStyle name="Comma 575 4 2 2" xfId="20535" xr:uid="{3A94B9BE-89B8-4165-B57A-4B6D8BCA9267}"/>
    <cellStyle name="Comma 575 4 3" xfId="15359" xr:uid="{70C78230-3204-4794-9AE4-1C46B105A522}"/>
    <cellStyle name="Comma 575 5" xfId="6055" xr:uid="{C9D86F03-6C34-4CB7-80D0-0AB8AC20EEAA}"/>
    <cellStyle name="Comma 575 5 2" xfId="16407" xr:uid="{329E1DDB-225A-4369-BDB6-09E445263E7B}"/>
    <cellStyle name="Comma 575 6" xfId="11233" xr:uid="{638DEAB7-E883-495B-A443-5E0D0A8FCCAA}"/>
    <cellStyle name="Comma 576" xfId="816" xr:uid="{0A9241B4-4556-44AA-9D14-80C66CBCA7A3}"/>
    <cellStyle name="Comma 576 2" xfId="1854" xr:uid="{2D5125B3-4E4C-4583-BC27-571795E15430}"/>
    <cellStyle name="Comma 576 2 2" xfId="3912" xr:uid="{27A4A745-CD23-4064-BEAC-9E5C15956430}"/>
    <cellStyle name="Comma 576 2 2 2" xfId="9145" xr:uid="{9B4C76E9-4833-4630-87D1-139489F9AF2A}"/>
    <cellStyle name="Comma 576 2 2 2 2" xfId="19497" xr:uid="{222BD6EA-0F6B-46BB-8A72-CD9AD2BB296C}"/>
    <cellStyle name="Comma 576 2 2 3" xfId="14322" xr:uid="{AC620A88-919D-450A-885E-4E38F6F3CF76}"/>
    <cellStyle name="Comma 576 2 3" xfId="7087" xr:uid="{07740FBC-5A59-463A-9CC8-114C0DAEA922}"/>
    <cellStyle name="Comma 576 2 3 2" xfId="17439" xr:uid="{AC4AF583-6F14-4BD4-A82D-94E3A05CB1EE}"/>
    <cellStyle name="Comma 576 2 4" xfId="12264" xr:uid="{7EE76DE7-51F0-4C52-885F-BD87B4D79E2B}"/>
    <cellStyle name="Comma 576 3" xfId="2882" xr:uid="{A514A408-7F85-4048-A64F-028A06F86516}"/>
    <cellStyle name="Comma 576 3 2" xfId="8115" xr:uid="{7E741633-8A1B-4EE1-84A0-9A04875CB0FD}"/>
    <cellStyle name="Comma 576 3 2 2" xfId="18467" xr:uid="{2354B616-F595-4B69-BB33-458C6FA1ED09}"/>
    <cellStyle name="Comma 576 3 3" xfId="13292" xr:uid="{43916EB6-C2E6-4195-AAD1-FE2C67C05FF1}"/>
    <cellStyle name="Comma 576 4" xfId="5008" xr:uid="{605F5C9C-F9EE-43EA-AE9B-A4303EEE47DE}"/>
    <cellStyle name="Comma 576 4 2" xfId="10184" xr:uid="{F0E54D80-2202-47BC-8F87-722014D9AB56}"/>
    <cellStyle name="Comma 576 4 2 2" xfId="20536" xr:uid="{93464D9A-3AEC-4ABF-8EFE-99DCB16A7760}"/>
    <cellStyle name="Comma 576 4 3" xfId="15360" xr:uid="{F62456DC-F5DB-4EBD-ABAA-118A36B473F0}"/>
    <cellStyle name="Comma 576 5" xfId="6056" xr:uid="{8FECD580-F06A-40F7-81AC-216B1D6547A9}"/>
    <cellStyle name="Comma 576 5 2" xfId="16408" xr:uid="{5B1E42DF-1223-4E62-A1C9-E6259187A580}"/>
    <cellStyle name="Comma 576 6" xfId="11234" xr:uid="{23D1C402-5D7F-409A-87FD-5ED109269F1E}"/>
    <cellStyle name="Comma 577" xfId="817" xr:uid="{B7F0B046-CEA7-4C28-815C-6C4D9A16B01A}"/>
    <cellStyle name="Comma 577 2" xfId="1855" xr:uid="{0410C8B7-98A1-4A03-A0CE-A62DFCE58C6E}"/>
    <cellStyle name="Comma 577 2 2" xfId="3913" xr:uid="{587D74FA-AE7C-4946-A1D6-7701F9E747B1}"/>
    <cellStyle name="Comma 577 2 2 2" xfId="9146" xr:uid="{7DF0FF76-0C82-45EB-92D2-5C0E25A21483}"/>
    <cellStyle name="Comma 577 2 2 2 2" xfId="19498" xr:uid="{A58F8134-2DFF-4DA0-86A5-47151FB3FA0C}"/>
    <cellStyle name="Comma 577 2 2 3" xfId="14323" xr:uid="{7D946236-6EAF-4C14-87FA-6CCD968D5484}"/>
    <cellStyle name="Comma 577 2 3" xfId="7088" xr:uid="{D9C9D36E-E83C-4B95-B3BD-FCA02B50E6C4}"/>
    <cellStyle name="Comma 577 2 3 2" xfId="17440" xr:uid="{EC539583-377A-4C57-A040-C6F52033CFD0}"/>
    <cellStyle name="Comma 577 2 4" xfId="12265" xr:uid="{A2271F60-F672-4437-BEB3-740AE0B67E75}"/>
    <cellStyle name="Comma 577 3" xfId="2883" xr:uid="{59CD2BD6-3D5A-4337-AE8D-49EF69639FC9}"/>
    <cellStyle name="Comma 577 3 2" xfId="8116" xr:uid="{9B0ABEC3-720B-4E65-AD01-9213EDE27CC4}"/>
    <cellStyle name="Comma 577 3 2 2" xfId="18468" xr:uid="{15771C14-D035-4690-A174-1D1C67EBB2C0}"/>
    <cellStyle name="Comma 577 3 3" xfId="13293" xr:uid="{A4488D33-1A53-46DF-A53C-BF75B1511BE4}"/>
    <cellStyle name="Comma 577 4" xfId="5009" xr:uid="{61F08090-B3E4-4B99-BD2D-88B987097EC6}"/>
    <cellStyle name="Comma 577 4 2" xfId="10185" xr:uid="{78C1F560-4865-4ED9-A372-8354BD6CCF03}"/>
    <cellStyle name="Comma 577 4 2 2" xfId="20537" xr:uid="{BD7AE4CC-0734-4E5B-9A03-AEF159B0099E}"/>
    <cellStyle name="Comma 577 4 3" xfId="15361" xr:uid="{6F1A4DDE-FF69-4EBA-BE17-D7605DA7105B}"/>
    <cellStyle name="Comma 577 5" xfId="6057" xr:uid="{75F49127-9ECE-4566-8C91-C87D36C3DD79}"/>
    <cellStyle name="Comma 577 5 2" xfId="16409" xr:uid="{81A06274-E100-464F-8CAB-49E10B5010E0}"/>
    <cellStyle name="Comma 577 6" xfId="11235" xr:uid="{9D420D98-E617-4E8B-AEDF-831D7D0DA2A9}"/>
    <cellStyle name="Comma 578" xfId="818" xr:uid="{D2386018-2B93-47D1-956A-60A59EFF947B}"/>
    <cellStyle name="Comma 578 2" xfId="1856" xr:uid="{D6D01355-A53D-4F31-AC70-0ED7B34802DF}"/>
    <cellStyle name="Comma 578 2 2" xfId="3914" xr:uid="{2EE9B108-2F36-4254-8EA3-AE6840C18F15}"/>
    <cellStyle name="Comma 578 2 2 2" xfId="9147" xr:uid="{C2D54329-DF17-45C5-85F3-18287EC25D18}"/>
    <cellStyle name="Comma 578 2 2 2 2" xfId="19499" xr:uid="{3D73076A-1D21-4AB7-AF2A-04E42299B839}"/>
    <cellStyle name="Comma 578 2 2 3" xfId="14324" xr:uid="{09AB6061-2216-4FA9-A2AB-F62F80B13C37}"/>
    <cellStyle name="Comma 578 2 3" xfId="7089" xr:uid="{05FCEC44-6D02-40D6-8693-2C5CF914CDF0}"/>
    <cellStyle name="Comma 578 2 3 2" xfId="17441" xr:uid="{8FF4AC01-09CD-474C-9004-573947B7147E}"/>
    <cellStyle name="Comma 578 2 4" xfId="12266" xr:uid="{9F821A18-0D94-49F5-B34A-7619F4030C95}"/>
    <cellStyle name="Comma 578 3" xfId="2884" xr:uid="{C809E434-CCC9-49F1-A987-5ECC4B790EF5}"/>
    <cellStyle name="Comma 578 3 2" xfId="8117" xr:uid="{1B297D43-8067-4968-8EB8-D4E062450853}"/>
    <cellStyle name="Comma 578 3 2 2" xfId="18469" xr:uid="{185F7A84-4393-4C3A-9029-42A12CD0B3FF}"/>
    <cellStyle name="Comma 578 3 3" xfId="13294" xr:uid="{ADA987A1-6F8D-4401-9025-F1AC14050F81}"/>
    <cellStyle name="Comma 578 4" xfId="5010" xr:uid="{FA4715F1-4612-4AB0-B3C4-2AA2CFF3E6EA}"/>
    <cellStyle name="Comma 578 4 2" xfId="10186" xr:uid="{631747B4-C950-43F4-924A-87F610D5A540}"/>
    <cellStyle name="Comma 578 4 2 2" xfId="20538" xr:uid="{822F9BA7-F7E1-400A-A8AE-118F018591C9}"/>
    <cellStyle name="Comma 578 4 3" xfId="15362" xr:uid="{ABC3D679-88FA-43D1-8079-D1422C28ED9C}"/>
    <cellStyle name="Comma 578 5" xfId="6058" xr:uid="{3FF792E0-19D6-42BD-9B0C-EF1132ACEB87}"/>
    <cellStyle name="Comma 578 5 2" xfId="16410" xr:uid="{5D0BAE47-FE66-41A6-8DB2-40E5377F9260}"/>
    <cellStyle name="Comma 578 6" xfId="11236" xr:uid="{80F4DBB1-3F8B-4C77-83B3-F8577EBF1221}"/>
    <cellStyle name="Comma 579" xfId="819" xr:uid="{58BC31A7-A7B8-4AA8-BF2E-D0D3A4D09B22}"/>
    <cellStyle name="Comma 579 2" xfId="1857" xr:uid="{8B140E20-3017-4AB9-81C0-09A1CFE17257}"/>
    <cellStyle name="Comma 579 2 2" xfId="3915" xr:uid="{8259B37B-82A7-4F0A-91D0-21BCEFF146D3}"/>
    <cellStyle name="Comma 579 2 2 2" xfId="9148" xr:uid="{27EE7652-3A27-455B-8090-01D43F67CDFE}"/>
    <cellStyle name="Comma 579 2 2 2 2" xfId="19500" xr:uid="{A7B12CE7-535B-423C-A6BB-AC7E1796D0F2}"/>
    <cellStyle name="Comma 579 2 2 3" xfId="14325" xr:uid="{9207507E-A532-4B68-8DDA-3FBBC7439384}"/>
    <cellStyle name="Comma 579 2 3" xfId="7090" xr:uid="{5484A7AD-75E5-4B80-A4BF-418780693AC3}"/>
    <cellStyle name="Comma 579 2 3 2" xfId="17442" xr:uid="{5970741C-F0F2-4312-A866-89EC70C99006}"/>
    <cellStyle name="Comma 579 2 4" xfId="12267" xr:uid="{D4D2C6F0-7DEC-49FC-B3B4-05FA19BD03AB}"/>
    <cellStyle name="Comma 579 3" xfId="2885" xr:uid="{89290705-FA85-4596-B427-167A4F9363D5}"/>
    <cellStyle name="Comma 579 3 2" xfId="8118" xr:uid="{D03138C0-9F22-45F2-8587-D36D9116C4BE}"/>
    <cellStyle name="Comma 579 3 2 2" xfId="18470" xr:uid="{CF0F46F6-6E7F-4B1A-A8A5-F1943582D739}"/>
    <cellStyle name="Comma 579 3 3" xfId="13295" xr:uid="{C1F73566-2BFB-47A6-A52E-E87CD673EFAF}"/>
    <cellStyle name="Comma 579 4" xfId="5011" xr:uid="{EA59AC03-227B-4153-9A72-5AE3E1ECA21D}"/>
    <cellStyle name="Comma 579 4 2" xfId="10187" xr:uid="{1AE1039F-A113-402D-BA0D-DCD9C414935B}"/>
    <cellStyle name="Comma 579 4 2 2" xfId="20539" xr:uid="{0ABCB237-7ED1-44F8-B25C-D9D4233021E5}"/>
    <cellStyle name="Comma 579 4 3" xfId="15363" xr:uid="{1B929BA1-6BD3-406C-AC7F-97ACA657BF29}"/>
    <cellStyle name="Comma 579 5" xfId="6059" xr:uid="{A13A48A0-F8A5-4DB1-9F97-A67D09284C67}"/>
    <cellStyle name="Comma 579 5 2" xfId="16411" xr:uid="{53712FF5-6375-4E1F-9B7A-74CA0272CDF5}"/>
    <cellStyle name="Comma 579 6" xfId="11237" xr:uid="{C3C605A4-6E35-44EB-B42F-491268BB18AD}"/>
    <cellStyle name="Comma 58" xfId="259" xr:uid="{E7EE5760-0B79-4E61-B509-AEB6278DB012}"/>
    <cellStyle name="Comma 58 2" xfId="1336" xr:uid="{82D9A088-5141-425A-8135-69768E185F82}"/>
    <cellStyle name="Comma 58 2 2" xfId="3394" xr:uid="{85225671-58F3-48CA-925F-DC8B4A622262}"/>
    <cellStyle name="Comma 58 2 2 2" xfId="8627" xr:uid="{77BC2FAC-7A25-43FF-A6C1-14E134A34640}"/>
    <cellStyle name="Comma 58 2 2 2 2" xfId="18979" xr:uid="{BDEC4FE5-9C2C-4946-B325-FD47930F04D9}"/>
    <cellStyle name="Comma 58 2 2 3" xfId="13804" xr:uid="{E8FE1B71-090E-4D79-B942-2BDC985CC01E}"/>
    <cellStyle name="Comma 58 2 3" xfId="6569" xr:uid="{B7120137-635B-44D3-A136-EF77546713CB}"/>
    <cellStyle name="Comma 58 2 3 2" xfId="16921" xr:uid="{88665E50-C013-477D-AFEE-C57355F2A919}"/>
    <cellStyle name="Comma 58 2 4" xfId="11746" xr:uid="{FFD1213D-3E8F-42B3-A11E-D63F7B897AB8}"/>
    <cellStyle name="Comma 58 3" xfId="2364" xr:uid="{B0A932DC-4A88-44F3-89A9-8F92466F9E32}"/>
    <cellStyle name="Comma 58 3 2" xfId="7597" xr:uid="{B78B8945-32AF-42A5-8752-93ABCB1C314F}"/>
    <cellStyle name="Comma 58 3 2 2" xfId="17949" xr:uid="{55650060-8AC8-40E4-ADD2-044E0A5CB549}"/>
    <cellStyle name="Comma 58 3 3" xfId="12774" xr:uid="{BDCA2968-F1D7-416E-A05C-8A6EDD67F9F1}"/>
    <cellStyle name="Comma 58 4" xfId="4490" xr:uid="{EA735B4D-F019-4732-ADBB-F2FAB6164FF9}"/>
    <cellStyle name="Comma 58 4 2" xfId="9666" xr:uid="{98B228AB-BC87-40BF-903D-E6AA189E9BC5}"/>
    <cellStyle name="Comma 58 4 2 2" xfId="20018" xr:uid="{C42BC88F-7D7F-405F-B0E9-240A1F9AA38D}"/>
    <cellStyle name="Comma 58 4 3" xfId="14842" xr:uid="{CE0EF3ED-4F5E-41B3-B6C8-219901788721}"/>
    <cellStyle name="Comma 58 5" xfId="5538" xr:uid="{58C5F2A0-62FB-4667-851E-1338B92E9D58}"/>
    <cellStyle name="Comma 58 5 2" xfId="15890" xr:uid="{7BAE8228-F1F9-4F20-840A-E34848EC1887}"/>
    <cellStyle name="Comma 58 6" xfId="10716" xr:uid="{226E578B-8972-4998-A27F-521063EEBA34}"/>
    <cellStyle name="Comma 580" xfId="820" xr:uid="{B99F33AD-6577-41CE-B1BA-3A79B60D7C11}"/>
    <cellStyle name="Comma 580 2" xfId="1858" xr:uid="{F4C32703-F484-4AFB-BB54-67D272841146}"/>
    <cellStyle name="Comma 580 2 2" xfId="3916" xr:uid="{AF56585A-1582-4E4A-BD34-FB2FECFABBC0}"/>
    <cellStyle name="Comma 580 2 2 2" xfId="9149" xr:uid="{356D8697-E7A7-4640-8D1F-0319B177FA82}"/>
    <cellStyle name="Comma 580 2 2 2 2" xfId="19501" xr:uid="{152170E6-40E9-400D-9226-1B9F23B02533}"/>
    <cellStyle name="Comma 580 2 2 3" xfId="14326" xr:uid="{7414B79A-7601-47CE-ADFF-7AE4C83304D7}"/>
    <cellStyle name="Comma 580 2 3" xfId="7091" xr:uid="{05F0CCD2-CD51-4C7E-9EEE-DE2C8FC66988}"/>
    <cellStyle name="Comma 580 2 3 2" xfId="17443" xr:uid="{BF247808-B71C-4D12-A2D5-E119E0D2E6E1}"/>
    <cellStyle name="Comma 580 2 4" xfId="12268" xr:uid="{99708687-A34D-4AF2-B98D-93C7E9CE8819}"/>
    <cellStyle name="Comma 580 3" xfId="2886" xr:uid="{32AB09EB-5D6D-49B4-9F06-3F1214F7FF45}"/>
    <cellStyle name="Comma 580 3 2" xfId="8119" xr:uid="{2B5ABBEE-680C-4B43-9A29-6CFFC61615A8}"/>
    <cellStyle name="Comma 580 3 2 2" xfId="18471" xr:uid="{48F4CFE7-A6DF-4B48-AE0A-A35FA90536CB}"/>
    <cellStyle name="Comma 580 3 3" xfId="13296" xr:uid="{983EBE36-49CD-4C5C-99D4-E0DF5DD9DB6F}"/>
    <cellStyle name="Comma 580 4" xfId="5012" xr:uid="{6E4B5E2B-CF55-4AA3-98B5-63C767832109}"/>
    <cellStyle name="Comma 580 4 2" xfId="10188" xr:uid="{077AE86F-89D2-41F6-84CF-19B8078DB92F}"/>
    <cellStyle name="Comma 580 4 2 2" xfId="20540" xr:uid="{280D6E08-6818-45A6-AC31-168E1C040FC9}"/>
    <cellStyle name="Comma 580 4 3" xfId="15364" xr:uid="{048CC4ED-38C5-4AA8-BA55-4086A7FFAAA3}"/>
    <cellStyle name="Comma 580 5" xfId="6060" xr:uid="{BC82D878-4BDC-4B7E-A9CB-C7ADD509EE01}"/>
    <cellStyle name="Comma 580 5 2" xfId="16412" xr:uid="{52CEABFD-DDF2-4ECD-9D32-57E59BD82966}"/>
    <cellStyle name="Comma 580 6" xfId="11238" xr:uid="{19CAA6EF-FFA3-4232-A67C-4E0ADE5B1FE8}"/>
    <cellStyle name="Comma 581" xfId="821" xr:uid="{4B04A35A-9300-41FD-84CF-5D56E05A24F4}"/>
    <cellStyle name="Comma 581 2" xfId="1859" xr:uid="{F6123EF8-56BB-4C28-B7AC-A3D3EE9578BD}"/>
    <cellStyle name="Comma 581 2 2" xfId="3917" xr:uid="{14610047-D519-4057-A9AA-286704819B61}"/>
    <cellStyle name="Comma 581 2 2 2" xfId="9150" xr:uid="{B023A7AF-7BC3-4A5C-A958-F68A64386123}"/>
    <cellStyle name="Comma 581 2 2 2 2" xfId="19502" xr:uid="{25EAA3B7-76B4-4D30-B6BB-0B477CFD1A56}"/>
    <cellStyle name="Comma 581 2 2 3" xfId="14327" xr:uid="{4C098E59-700C-4176-9925-0306396FA759}"/>
    <cellStyle name="Comma 581 2 3" xfId="7092" xr:uid="{A164EDA5-D4B2-4B3D-98AF-A62C01E8BC47}"/>
    <cellStyle name="Comma 581 2 3 2" xfId="17444" xr:uid="{E6D8BC44-6FD2-4E0A-87B8-4A14BD5443AF}"/>
    <cellStyle name="Comma 581 2 4" xfId="12269" xr:uid="{06DEB5A0-5E32-4BAB-B060-F89567C7E213}"/>
    <cellStyle name="Comma 581 3" xfId="2887" xr:uid="{747C3CFE-5D5F-4C46-AA9E-A08595B53D21}"/>
    <cellStyle name="Comma 581 3 2" xfId="8120" xr:uid="{AABCEC87-E429-4D1F-B12C-8DFF03A005E5}"/>
    <cellStyle name="Comma 581 3 2 2" xfId="18472" xr:uid="{F8A82272-6354-4074-8865-54539DC49CF8}"/>
    <cellStyle name="Comma 581 3 3" xfId="13297" xr:uid="{E28FD777-C894-4EE7-B7BE-1B07E7ACD5B7}"/>
    <cellStyle name="Comma 581 4" xfId="5013" xr:uid="{3EA49237-E788-45EC-8765-F71458F27E7A}"/>
    <cellStyle name="Comma 581 4 2" xfId="10189" xr:uid="{C97F803B-B8FE-45B6-A614-C649C6F5A694}"/>
    <cellStyle name="Comma 581 4 2 2" xfId="20541" xr:uid="{72E58E57-E5AE-46E2-95D4-1A7B3CC27AA9}"/>
    <cellStyle name="Comma 581 4 3" xfId="15365" xr:uid="{2FD98E9F-F797-4A96-BCB1-884661672746}"/>
    <cellStyle name="Comma 581 5" xfId="6061" xr:uid="{3BEEE104-DFAB-4C20-A8A1-B0149393364F}"/>
    <cellStyle name="Comma 581 5 2" xfId="16413" xr:uid="{CC28FCF4-A68E-4DCB-9D6E-80C149383AE9}"/>
    <cellStyle name="Comma 581 6" xfId="11239" xr:uid="{F6510B02-A3EA-45CC-A7EA-7B2CA5B8559D}"/>
    <cellStyle name="Comma 582" xfId="822" xr:uid="{4DF3EA69-1A19-4F29-9471-84875059B97A}"/>
    <cellStyle name="Comma 582 2" xfId="1860" xr:uid="{C9C1BF98-3EAA-459C-880C-D90DFB7EF9DF}"/>
    <cellStyle name="Comma 582 2 2" xfId="3918" xr:uid="{F72A6D38-5E99-4E12-9510-452BF666A79E}"/>
    <cellStyle name="Comma 582 2 2 2" xfId="9151" xr:uid="{D8D11F4C-7A9F-4D28-B829-65E9985748BC}"/>
    <cellStyle name="Comma 582 2 2 2 2" xfId="19503" xr:uid="{2C671336-7AC1-4B19-9EF2-6F91233C903C}"/>
    <cellStyle name="Comma 582 2 2 3" xfId="14328" xr:uid="{B6B44E9A-D98A-4AF8-A117-387C04C15B36}"/>
    <cellStyle name="Comma 582 2 3" xfId="7093" xr:uid="{47B78C6A-5BCD-4F92-A15E-6146E72BBD40}"/>
    <cellStyle name="Comma 582 2 3 2" xfId="17445" xr:uid="{B783AFEE-ACE9-45D8-8C7A-E37907774918}"/>
    <cellStyle name="Comma 582 2 4" xfId="12270" xr:uid="{AB10F93E-25B6-479B-85CD-97369D1535E2}"/>
    <cellStyle name="Comma 582 3" xfId="2888" xr:uid="{DC38C472-4D9C-412C-9B08-2B3F1AFF8FCC}"/>
    <cellStyle name="Comma 582 3 2" xfId="8121" xr:uid="{19FD9906-B283-43FF-81BB-36F5BA214766}"/>
    <cellStyle name="Comma 582 3 2 2" xfId="18473" xr:uid="{59F7F6AF-DD9A-45A8-B177-7EEE3C8F0290}"/>
    <cellStyle name="Comma 582 3 3" xfId="13298" xr:uid="{1D4EA3CF-C796-48DB-BF28-FC26DD18A2E0}"/>
    <cellStyle name="Comma 582 4" xfId="5014" xr:uid="{3B3F26B1-C516-4B76-8178-A79002D9F282}"/>
    <cellStyle name="Comma 582 4 2" xfId="10190" xr:uid="{C15793F2-A981-4F64-A879-ADB4E7FEF654}"/>
    <cellStyle name="Comma 582 4 2 2" xfId="20542" xr:uid="{98364886-E6FD-47C5-A9DD-B52D5F00FC1A}"/>
    <cellStyle name="Comma 582 4 3" xfId="15366" xr:uid="{BEACA22E-7C41-43B0-8744-85C026DB8E03}"/>
    <cellStyle name="Comma 582 5" xfId="6062" xr:uid="{AC04829B-00D1-42A6-A50B-3722F47DDDA8}"/>
    <cellStyle name="Comma 582 5 2" xfId="16414" xr:uid="{F01A0172-B556-4538-BB4C-08C98C461622}"/>
    <cellStyle name="Comma 582 6" xfId="11240" xr:uid="{D8AE39AA-C27D-44FC-81BA-979466A85DE1}"/>
    <cellStyle name="Comma 583" xfId="823" xr:uid="{8A4E80CC-10F4-4299-A032-4208214716FE}"/>
    <cellStyle name="Comma 583 2" xfId="1861" xr:uid="{DEA32157-1D5D-45DA-AF10-5B968CCD6386}"/>
    <cellStyle name="Comma 583 2 2" xfId="3919" xr:uid="{657960E3-C5C2-4552-95C9-9E25D6EB6150}"/>
    <cellStyle name="Comma 583 2 2 2" xfId="9152" xr:uid="{9C5EE6C8-AF7D-479D-AC9B-2D74634F3692}"/>
    <cellStyle name="Comma 583 2 2 2 2" xfId="19504" xr:uid="{8F48FD6D-9C71-4C64-86AF-F6B94304DC94}"/>
    <cellStyle name="Comma 583 2 2 3" xfId="14329" xr:uid="{70196AED-F494-4C2A-ADD7-8BC1FADF1982}"/>
    <cellStyle name="Comma 583 2 3" xfId="7094" xr:uid="{2C048B2C-0B81-4311-9663-133C6C3DEE0E}"/>
    <cellStyle name="Comma 583 2 3 2" xfId="17446" xr:uid="{5025C6BB-FC0E-4107-B650-F69B1AC5B9D6}"/>
    <cellStyle name="Comma 583 2 4" xfId="12271" xr:uid="{B9FE036E-83AE-4DA4-948A-0BAB30D6FDFA}"/>
    <cellStyle name="Comma 583 3" xfId="2889" xr:uid="{320400A7-9303-4C24-B3EE-F57E6ABE2D01}"/>
    <cellStyle name="Comma 583 3 2" xfId="8122" xr:uid="{76363E84-8B5C-4572-BC65-597D16428680}"/>
    <cellStyle name="Comma 583 3 2 2" xfId="18474" xr:uid="{74B7E9D4-C418-41F9-9509-9EE50AB0AFF0}"/>
    <cellStyle name="Comma 583 3 3" xfId="13299" xr:uid="{35890E58-1C65-4000-819B-B0886C99B2F7}"/>
    <cellStyle name="Comma 583 4" xfId="5015" xr:uid="{2A4691D6-500D-4708-A494-56F6DB01D9FF}"/>
    <cellStyle name="Comma 583 4 2" xfId="10191" xr:uid="{81C6D864-9939-430C-9585-20C0AFD7FF1D}"/>
    <cellStyle name="Comma 583 4 2 2" xfId="20543" xr:uid="{24B0FAF5-784B-4F96-8D0D-C59229585BF4}"/>
    <cellStyle name="Comma 583 4 3" xfId="15367" xr:uid="{8B757585-A86A-41E9-8011-47D2E8B62214}"/>
    <cellStyle name="Comma 583 5" xfId="6063" xr:uid="{7D48BB06-117F-4F19-B9AB-D3C16A687DAA}"/>
    <cellStyle name="Comma 583 5 2" xfId="16415" xr:uid="{4357AF83-8B00-4A67-8DE8-109D9B597988}"/>
    <cellStyle name="Comma 583 6" xfId="11241" xr:uid="{888BDF7E-147B-4D8C-9E15-50415B0B0003}"/>
    <cellStyle name="Comma 584" xfId="824" xr:uid="{692A0831-DDF5-47D3-B1AA-001124C819CA}"/>
    <cellStyle name="Comma 584 2" xfId="1862" xr:uid="{A0207FAF-B4A1-45BB-A61F-15DF53AF975A}"/>
    <cellStyle name="Comma 584 2 2" xfId="3920" xr:uid="{32F9C22D-E002-4E7D-9395-BD97B7ADAD77}"/>
    <cellStyle name="Comma 584 2 2 2" xfId="9153" xr:uid="{F99A0C7B-4F8C-48D7-98D8-F88BD827AF2A}"/>
    <cellStyle name="Comma 584 2 2 2 2" xfId="19505" xr:uid="{59C904EA-ED91-4F3B-950F-B9DD71E1721E}"/>
    <cellStyle name="Comma 584 2 2 3" xfId="14330" xr:uid="{6BDA223D-F545-402E-9E30-C04A1533EE85}"/>
    <cellStyle name="Comma 584 2 3" xfId="7095" xr:uid="{06206CCD-CDC2-449C-B10A-9907AAFDA66B}"/>
    <cellStyle name="Comma 584 2 3 2" xfId="17447" xr:uid="{116A2BAD-6A3C-4EA2-9907-0F3487F1FE52}"/>
    <cellStyle name="Comma 584 2 4" xfId="12272" xr:uid="{71D362F3-E6C5-4DA7-B5AE-7C21BB9BF002}"/>
    <cellStyle name="Comma 584 3" xfId="2890" xr:uid="{4C020042-EC85-4B48-8612-06A2FEBFDAF6}"/>
    <cellStyle name="Comma 584 3 2" xfId="8123" xr:uid="{31FECCAC-B88D-4D5D-8244-D5FC561CD67D}"/>
    <cellStyle name="Comma 584 3 2 2" xfId="18475" xr:uid="{A27000DA-4E5D-43B1-B061-62360ACB83DB}"/>
    <cellStyle name="Comma 584 3 3" xfId="13300" xr:uid="{4D9DEE16-5901-4852-AA6E-4AB0B6C400BD}"/>
    <cellStyle name="Comma 584 4" xfId="5016" xr:uid="{363AF000-3AD3-4249-BF9E-CF86EBE06F92}"/>
    <cellStyle name="Comma 584 4 2" xfId="10192" xr:uid="{EC64AE69-24E2-4CF5-9D98-7693B9DB5659}"/>
    <cellStyle name="Comma 584 4 2 2" xfId="20544" xr:uid="{0F73F345-6B12-4EE9-8A1E-52049B06554C}"/>
    <cellStyle name="Comma 584 4 3" xfId="15368" xr:uid="{FE293BC6-7074-419E-944C-8470E68EC82A}"/>
    <cellStyle name="Comma 584 5" xfId="6064" xr:uid="{7D633F2C-7852-42E0-9EA0-0E28B31FD24B}"/>
    <cellStyle name="Comma 584 5 2" xfId="16416" xr:uid="{53EC7C69-6BE6-4CF5-A3CC-96EDED97550B}"/>
    <cellStyle name="Comma 584 6" xfId="11242" xr:uid="{B245A8D6-BA86-432F-B3B0-CEBFC98E4825}"/>
    <cellStyle name="Comma 585" xfId="825" xr:uid="{B2FE4506-DD1F-4B83-928D-DA53318E80B3}"/>
    <cellStyle name="Comma 585 2" xfId="1863" xr:uid="{B9770308-8DFD-45B8-9E40-D210BC822A46}"/>
    <cellStyle name="Comma 585 2 2" xfId="3921" xr:uid="{53AAC32D-FCE0-49F4-BD14-527AD2B8B8AC}"/>
    <cellStyle name="Comma 585 2 2 2" xfId="9154" xr:uid="{79080237-13AD-4AF9-81A3-38DCED833153}"/>
    <cellStyle name="Comma 585 2 2 2 2" xfId="19506" xr:uid="{40E6276C-C65C-4EEE-8E48-5D18E0BD2713}"/>
    <cellStyle name="Comma 585 2 2 3" xfId="14331" xr:uid="{9F1325C8-4172-49CC-B587-BCCFB6784C51}"/>
    <cellStyle name="Comma 585 2 3" xfId="7096" xr:uid="{F1D0B64E-F2C8-4441-A818-66A746F3A8A4}"/>
    <cellStyle name="Comma 585 2 3 2" xfId="17448" xr:uid="{09033F6D-0535-41F2-8343-A657D4B9C898}"/>
    <cellStyle name="Comma 585 2 4" xfId="12273" xr:uid="{CFBF6B44-25DE-44B4-B286-1808A93235E3}"/>
    <cellStyle name="Comma 585 3" xfId="2891" xr:uid="{5C6FB300-629A-4AA0-83E2-A383DEC9A190}"/>
    <cellStyle name="Comma 585 3 2" xfId="8124" xr:uid="{D0A1237A-E157-46FF-90E0-F08A6485193D}"/>
    <cellStyle name="Comma 585 3 2 2" xfId="18476" xr:uid="{AAF70C14-2034-4E74-81AA-AF08EA0B8B40}"/>
    <cellStyle name="Comma 585 3 3" xfId="13301" xr:uid="{719B8E38-B802-49A5-BB74-B4765ACE4E48}"/>
    <cellStyle name="Comma 585 4" xfId="5017" xr:uid="{FA09DD7D-12FD-40AB-A2B6-7377FF8B9678}"/>
    <cellStyle name="Comma 585 4 2" xfId="10193" xr:uid="{CBA99D1F-FE68-4D8B-A3D5-7D1CDF58CE1D}"/>
    <cellStyle name="Comma 585 4 2 2" xfId="20545" xr:uid="{9C61AEB4-8E20-4EAF-87C8-797FBA3D35BE}"/>
    <cellStyle name="Comma 585 4 3" xfId="15369" xr:uid="{990E2B74-FC5F-4049-AC73-9D615A1FF305}"/>
    <cellStyle name="Comma 585 5" xfId="6065" xr:uid="{4280DFFA-3496-4F4F-A15E-9A48943EC818}"/>
    <cellStyle name="Comma 585 5 2" xfId="16417" xr:uid="{E8FA5989-FF3C-436E-B168-03A3D28E337A}"/>
    <cellStyle name="Comma 585 6" xfId="11243" xr:uid="{FC4788BA-CD5A-4B69-A394-48D80E96CF85}"/>
    <cellStyle name="Comma 586" xfId="826" xr:uid="{3F2D2184-E1E0-43D4-B60B-021A236CDFB7}"/>
    <cellStyle name="Comma 586 2" xfId="1864" xr:uid="{EB1A899B-52B2-4773-853E-21362E925875}"/>
    <cellStyle name="Comma 586 2 2" xfId="3922" xr:uid="{13EB7E1A-6D13-4BEA-A8AC-B5903B2C469F}"/>
    <cellStyle name="Comma 586 2 2 2" xfId="9155" xr:uid="{5206CF49-D05A-42B9-8C33-E02E12534F58}"/>
    <cellStyle name="Comma 586 2 2 2 2" xfId="19507" xr:uid="{234A55A8-6E3A-4718-BB4C-DEF9A9CADBA5}"/>
    <cellStyle name="Comma 586 2 2 3" xfId="14332" xr:uid="{2B6A7277-8AB7-40C9-993D-356FAA974915}"/>
    <cellStyle name="Comma 586 2 3" xfId="7097" xr:uid="{AB7B7B20-9463-4F2D-8066-FDE712A43DE5}"/>
    <cellStyle name="Comma 586 2 3 2" xfId="17449" xr:uid="{79653A60-748F-438F-9905-297C0C73A94D}"/>
    <cellStyle name="Comma 586 2 4" xfId="12274" xr:uid="{E01EAA11-CB44-42EF-B0FF-C88AE08E39EB}"/>
    <cellStyle name="Comma 586 3" xfId="2892" xr:uid="{AA64BC96-7D9B-4BBD-8F3D-D642DA5D15A9}"/>
    <cellStyle name="Comma 586 3 2" xfId="8125" xr:uid="{BAFC9DA9-1090-4AC5-9907-F493377D27C7}"/>
    <cellStyle name="Comma 586 3 2 2" xfId="18477" xr:uid="{7FC61FEB-0927-4C73-9EE3-5C22CE85F08E}"/>
    <cellStyle name="Comma 586 3 3" xfId="13302" xr:uid="{595F0F7B-B718-42C0-B198-E7C87D7CA3E5}"/>
    <cellStyle name="Comma 586 4" xfId="5018" xr:uid="{768DF4D8-E077-4880-B2CF-6AE15DFFD74F}"/>
    <cellStyle name="Comma 586 4 2" xfId="10194" xr:uid="{C4C9572E-7BA5-4E83-AF5C-0C029887A5C0}"/>
    <cellStyle name="Comma 586 4 2 2" xfId="20546" xr:uid="{6540A9BA-B3DA-42AE-8BAE-332F6A3A21C6}"/>
    <cellStyle name="Comma 586 4 3" xfId="15370" xr:uid="{10D9F31E-5CAF-4988-AC6F-527709ABA5A3}"/>
    <cellStyle name="Comma 586 5" xfId="6066" xr:uid="{398BF2C9-36A9-4E42-A390-FE7E8EEA3790}"/>
    <cellStyle name="Comma 586 5 2" xfId="16418" xr:uid="{A6E294C8-5112-4B9E-90BF-C81428584CB0}"/>
    <cellStyle name="Comma 586 6" xfId="11244" xr:uid="{1F255534-E2D9-4F4F-B9C3-F3C9E9E69D99}"/>
    <cellStyle name="Comma 587" xfId="827" xr:uid="{06F6F45E-5CB7-42DD-ABB8-EAFDF5DCD779}"/>
    <cellStyle name="Comma 587 2" xfId="1865" xr:uid="{C1D79F22-DD97-43C5-95B9-81F134B9E499}"/>
    <cellStyle name="Comma 587 2 2" xfId="3923" xr:uid="{D7DEF1F9-D87C-4833-9331-64371153CA24}"/>
    <cellStyle name="Comma 587 2 2 2" xfId="9156" xr:uid="{C02CA281-8645-402F-B2C9-3E92397F32CA}"/>
    <cellStyle name="Comma 587 2 2 2 2" xfId="19508" xr:uid="{B72711C1-3DA3-44B9-ABDD-B059F799816C}"/>
    <cellStyle name="Comma 587 2 2 3" xfId="14333" xr:uid="{E9CBB1CA-7E3A-44D6-8DF0-2AF2344D65FA}"/>
    <cellStyle name="Comma 587 2 3" xfId="7098" xr:uid="{DBDDB3D7-659B-4D64-8977-F72CDACD9010}"/>
    <cellStyle name="Comma 587 2 3 2" xfId="17450" xr:uid="{38F0B4A3-9E0E-434F-AAC6-AFE2E263C1C2}"/>
    <cellStyle name="Comma 587 2 4" xfId="12275" xr:uid="{4CED26BF-E8D5-4019-B0E2-C5D05FE88837}"/>
    <cellStyle name="Comma 587 3" xfId="2893" xr:uid="{1DF279D9-8285-4476-BFA1-E96A76B6F179}"/>
    <cellStyle name="Comma 587 3 2" xfId="8126" xr:uid="{A6DC294D-F39A-4DBA-A37D-920261F33AE5}"/>
    <cellStyle name="Comma 587 3 2 2" xfId="18478" xr:uid="{D4DF2B23-32EA-470B-9456-0E9E0AF6ED82}"/>
    <cellStyle name="Comma 587 3 3" xfId="13303" xr:uid="{79E6C1A1-C8A1-4299-A975-AC530ABA1C52}"/>
    <cellStyle name="Comma 587 4" xfId="5019" xr:uid="{260DABB0-B4CE-47E2-AD4A-8CCA081708BD}"/>
    <cellStyle name="Comma 587 4 2" xfId="10195" xr:uid="{C09AE89C-EE5C-4872-8DAA-48D8F1DC8A3F}"/>
    <cellStyle name="Comma 587 4 2 2" xfId="20547" xr:uid="{2C064287-EEA5-404C-9F1D-60121F425435}"/>
    <cellStyle name="Comma 587 4 3" xfId="15371" xr:uid="{3136396C-6E7B-4629-92DB-809FDA65E763}"/>
    <cellStyle name="Comma 587 5" xfId="6067" xr:uid="{9ED3F02B-52F5-450A-B4AF-B9D8FB3E2DF0}"/>
    <cellStyle name="Comma 587 5 2" xfId="16419" xr:uid="{FD6509C6-5221-45D6-87F9-4B1D60F91A01}"/>
    <cellStyle name="Comma 587 6" xfId="11245" xr:uid="{1F6C0D54-B3D4-4AFA-873D-01DD32BCD7D8}"/>
    <cellStyle name="Comma 588" xfId="828" xr:uid="{156581FD-2271-45F4-89CA-9260E142CC92}"/>
    <cellStyle name="Comma 588 2" xfId="1866" xr:uid="{6EAA2CD7-A704-4C8A-9B29-445DD7D1552E}"/>
    <cellStyle name="Comma 588 2 2" xfId="3924" xr:uid="{FAB4B83D-A8CA-4527-B2E5-4A7418094030}"/>
    <cellStyle name="Comma 588 2 2 2" xfId="9157" xr:uid="{70C275DC-4C7A-48B1-A834-938B1DBD6CA9}"/>
    <cellStyle name="Comma 588 2 2 2 2" xfId="19509" xr:uid="{5DCBD0B1-8AA1-4071-9392-6F28D29FBD3E}"/>
    <cellStyle name="Comma 588 2 2 3" xfId="14334" xr:uid="{7B7B0DD9-DAEE-473A-A398-86DB1018988D}"/>
    <cellStyle name="Comma 588 2 3" xfId="7099" xr:uid="{8BA12902-3472-4A50-84EB-FA2CB962B1C1}"/>
    <cellStyle name="Comma 588 2 3 2" xfId="17451" xr:uid="{D3410B94-47B0-4E99-BECD-C3C929F21D18}"/>
    <cellStyle name="Comma 588 2 4" xfId="12276" xr:uid="{B1E89552-1971-4C00-B271-77DF5943061B}"/>
    <cellStyle name="Comma 588 3" xfId="2894" xr:uid="{82724AFC-2792-48AE-996F-704A72377396}"/>
    <cellStyle name="Comma 588 3 2" xfId="8127" xr:uid="{4DB9C2A4-7827-4DAE-B2AB-BC2F6CBBF73B}"/>
    <cellStyle name="Comma 588 3 2 2" xfId="18479" xr:uid="{908CC877-2780-4AD4-BCD0-95C452B67088}"/>
    <cellStyle name="Comma 588 3 3" xfId="13304" xr:uid="{1F957044-9981-48C5-9703-46B129636520}"/>
    <cellStyle name="Comma 588 4" xfId="5020" xr:uid="{A7AB743C-ACDF-422D-B6F1-058355C97EED}"/>
    <cellStyle name="Comma 588 4 2" xfId="10196" xr:uid="{06E809D7-F1B7-4EEC-8F89-AB00B462DEB6}"/>
    <cellStyle name="Comma 588 4 2 2" xfId="20548" xr:uid="{7FB60D98-3E6B-4E35-A461-A25861885D12}"/>
    <cellStyle name="Comma 588 4 3" xfId="15372" xr:uid="{93482057-8C30-417E-A103-C5340BB8B3D9}"/>
    <cellStyle name="Comma 588 5" xfId="6068" xr:uid="{BF58AB22-5E67-4A82-921F-3519DAFF09AA}"/>
    <cellStyle name="Comma 588 5 2" xfId="16420" xr:uid="{E71DCE87-7972-4476-B569-088D5ABF51F0}"/>
    <cellStyle name="Comma 588 6" xfId="11246" xr:uid="{ABCE7E60-45A0-4986-81CE-C4B452EED35D}"/>
    <cellStyle name="Comma 589" xfId="829" xr:uid="{1216AAAB-59E4-4B38-A462-2CB75ABDD8BE}"/>
    <cellStyle name="Comma 589 2" xfId="1867" xr:uid="{D3DFD91F-AA6C-4685-A96F-0A2E872118E6}"/>
    <cellStyle name="Comma 589 2 2" xfId="3925" xr:uid="{714400A6-FE2E-49BF-B0EA-BAFC8EFCFC74}"/>
    <cellStyle name="Comma 589 2 2 2" xfId="9158" xr:uid="{1A99515F-8938-4BEA-B62C-477E5EC9B3BC}"/>
    <cellStyle name="Comma 589 2 2 2 2" xfId="19510" xr:uid="{6B8924E3-28B5-480B-9516-354B1087C1E5}"/>
    <cellStyle name="Comma 589 2 2 3" xfId="14335" xr:uid="{D66909E3-4BA8-483C-8A47-C637C9360F90}"/>
    <cellStyle name="Comma 589 2 3" xfId="7100" xr:uid="{7FFB7BC6-2860-4810-923D-408D893DEBE5}"/>
    <cellStyle name="Comma 589 2 3 2" xfId="17452" xr:uid="{FA0B59BA-BB88-4319-978F-8FEEFF36CE72}"/>
    <cellStyle name="Comma 589 2 4" xfId="12277" xr:uid="{C469CB29-8E44-4877-8482-1EEB9E82DC43}"/>
    <cellStyle name="Comma 589 3" xfId="2895" xr:uid="{11CDB2F8-24EF-4DF3-9467-B56DCADA38C8}"/>
    <cellStyle name="Comma 589 3 2" xfId="8128" xr:uid="{B1E836EA-04BD-40D7-AD36-580D20BE0086}"/>
    <cellStyle name="Comma 589 3 2 2" xfId="18480" xr:uid="{3991CDED-D01C-4BD0-B0C9-56081D57EDE8}"/>
    <cellStyle name="Comma 589 3 3" xfId="13305" xr:uid="{4242BD19-59EB-44F8-9754-4230E47338EA}"/>
    <cellStyle name="Comma 589 4" xfId="5021" xr:uid="{78BC5BC2-7850-40C1-8C5D-E44AD65E67B0}"/>
    <cellStyle name="Comma 589 4 2" xfId="10197" xr:uid="{0BB991FE-E92C-42DA-A972-EFDBFC71C218}"/>
    <cellStyle name="Comma 589 4 2 2" xfId="20549" xr:uid="{BCE7B16D-1B78-4A58-8474-262ED7C699F5}"/>
    <cellStyle name="Comma 589 4 3" xfId="15373" xr:uid="{9807166D-C58F-414C-995B-636B208AC2BA}"/>
    <cellStyle name="Comma 589 5" xfId="6069" xr:uid="{C45C512D-1D21-40FA-AB3A-82002A6113D0}"/>
    <cellStyle name="Comma 589 5 2" xfId="16421" xr:uid="{9BD03FA0-8F0D-4160-B687-1E4EF37B4373}"/>
    <cellStyle name="Comma 589 6" xfId="11247" xr:uid="{D221AE32-151C-4550-95B3-F7EC5C6F5C24}"/>
    <cellStyle name="Comma 59" xfId="260" xr:uid="{A7814672-0973-41B8-BAA3-39DA6330E6B4}"/>
    <cellStyle name="Comma 59 2" xfId="1337" xr:uid="{5DFB251B-E297-4521-9BA7-BD24427945BD}"/>
    <cellStyle name="Comma 59 2 2" xfId="3395" xr:uid="{3DD22F79-7E85-422A-92FD-F29C807CAE07}"/>
    <cellStyle name="Comma 59 2 2 2" xfId="8628" xr:uid="{9B7DD91D-44DA-4F57-A875-8A083EF9FECF}"/>
    <cellStyle name="Comma 59 2 2 2 2" xfId="18980" xr:uid="{1366F42B-FF3C-461F-A4E3-EE00877F334F}"/>
    <cellStyle name="Comma 59 2 2 3" xfId="13805" xr:uid="{5A48F9C7-8BD9-4317-9159-2D615D924D13}"/>
    <cellStyle name="Comma 59 2 3" xfId="6570" xr:uid="{324FE79C-68AF-412A-99AB-0A0BB9EB5318}"/>
    <cellStyle name="Comma 59 2 3 2" xfId="16922" xr:uid="{B10A8E19-F281-45D1-914F-97638F2BFFED}"/>
    <cellStyle name="Comma 59 2 4" xfId="11747" xr:uid="{BE605A8D-2C93-4D8B-B072-132CBF856A30}"/>
    <cellStyle name="Comma 59 3" xfId="2365" xr:uid="{AC88CC7A-B2D8-4082-B297-887A50A3C77E}"/>
    <cellStyle name="Comma 59 3 2" xfId="7598" xr:uid="{689C2CAE-0FD6-4A16-9937-2F237AC5DE55}"/>
    <cellStyle name="Comma 59 3 2 2" xfId="17950" xr:uid="{DCA39295-9D4E-41FC-90A7-699E13621EF0}"/>
    <cellStyle name="Comma 59 3 3" xfId="12775" xr:uid="{A209127C-C607-42AB-8943-84E42E5E181F}"/>
    <cellStyle name="Comma 59 4" xfId="4491" xr:uid="{E4B9845E-AF67-4312-994C-EDA42042E895}"/>
    <cellStyle name="Comma 59 4 2" xfId="9667" xr:uid="{757DC34D-135F-47C9-84A9-D8B830C49AD1}"/>
    <cellStyle name="Comma 59 4 2 2" xfId="20019" xr:uid="{ECA5EB34-929E-47E4-B07A-D3E02D87E022}"/>
    <cellStyle name="Comma 59 4 3" xfId="14843" xr:uid="{8F524365-9E53-402F-A027-04FF6D84FF82}"/>
    <cellStyle name="Comma 59 5" xfId="5539" xr:uid="{DEA1DCC1-69C6-4EFE-8558-FB3FC5772280}"/>
    <cellStyle name="Comma 59 5 2" xfId="15891" xr:uid="{4AE0C1C6-05B1-47A2-927E-0C4F45284D53}"/>
    <cellStyle name="Comma 59 6" xfId="10717" xr:uid="{3AB33E90-9DF9-4F97-9A0A-21E620B3AFB8}"/>
    <cellStyle name="Comma 590" xfId="830" xr:uid="{5F93F5B8-356C-4781-9809-953FA6E9DB23}"/>
    <cellStyle name="Comma 590 2" xfId="1868" xr:uid="{542CAF52-AF07-49FB-9E95-F634472FF87D}"/>
    <cellStyle name="Comma 590 2 2" xfId="3926" xr:uid="{7322E2DC-435B-4F59-9F1C-4DAD6E0A80B3}"/>
    <cellStyle name="Comma 590 2 2 2" xfId="9159" xr:uid="{26EEE12D-9CA6-4B91-9342-3D3D85757918}"/>
    <cellStyle name="Comma 590 2 2 2 2" xfId="19511" xr:uid="{BC2F3932-D325-4EF7-97C8-C6E5741EC8AD}"/>
    <cellStyle name="Comma 590 2 2 3" xfId="14336" xr:uid="{C8920CAC-3BD1-4A61-AEDB-C5766166B62F}"/>
    <cellStyle name="Comma 590 2 3" xfId="7101" xr:uid="{976CE98D-45C1-43B2-8978-8CC21C7DC514}"/>
    <cellStyle name="Comma 590 2 3 2" xfId="17453" xr:uid="{3BFEB716-AD49-46BE-8CFD-A626CC47EC5D}"/>
    <cellStyle name="Comma 590 2 4" xfId="12278" xr:uid="{1ABD4525-5280-4A93-910C-1AA38F2F1783}"/>
    <cellStyle name="Comma 590 3" xfId="2896" xr:uid="{23E95379-72BD-491C-8024-78764F7EC795}"/>
    <cellStyle name="Comma 590 3 2" xfId="8129" xr:uid="{9609E9E8-7A74-4B3F-9407-E80049636B1D}"/>
    <cellStyle name="Comma 590 3 2 2" xfId="18481" xr:uid="{CE47A5B3-EA3C-4958-96DA-AADD67D2FD9A}"/>
    <cellStyle name="Comma 590 3 3" xfId="13306" xr:uid="{0133DBB2-075B-4A2C-A78E-55A4DF6B6FDF}"/>
    <cellStyle name="Comma 590 4" xfId="5022" xr:uid="{D7AADD72-C013-4130-8275-A720CB7050B8}"/>
    <cellStyle name="Comma 590 4 2" xfId="10198" xr:uid="{9C8A4241-DCD3-4C97-9556-5E27815B2DB4}"/>
    <cellStyle name="Comma 590 4 2 2" xfId="20550" xr:uid="{5DEA641F-E0C8-433B-8727-E3BDAB86CF80}"/>
    <cellStyle name="Comma 590 4 3" xfId="15374" xr:uid="{16EA61A7-24BD-4679-B1F1-F5108B09299E}"/>
    <cellStyle name="Comma 590 5" xfId="6070" xr:uid="{0212A237-DEE7-4E55-A0F3-CB53857C90C9}"/>
    <cellStyle name="Comma 590 5 2" xfId="16422" xr:uid="{B6FA3481-C588-4A23-AFB0-F137112D9F5C}"/>
    <cellStyle name="Comma 590 6" xfId="11248" xr:uid="{702A893E-605D-4147-8BB8-987CF9D9D21F}"/>
    <cellStyle name="Comma 591" xfId="831" xr:uid="{2B29AAEB-6CA3-41AC-8192-600ABEEE99B5}"/>
    <cellStyle name="Comma 591 2" xfId="1869" xr:uid="{EE6E741B-E707-42A7-AC8A-9F302AF9E07B}"/>
    <cellStyle name="Comma 591 2 2" xfId="3927" xr:uid="{605E8AFC-8520-4F31-920F-34137F6E065E}"/>
    <cellStyle name="Comma 591 2 2 2" xfId="9160" xr:uid="{73E88A66-4E92-439D-8417-D163DB273524}"/>
    <cellStyle name="Comma 591 2 2 2 2" xfId="19512" xr:uid="{3CEA98CB-9005-4C4C-A335-EDBEB2345C92}"/>
    <cellStyle name="Comma 591 2 2 3" xfId="14337" xr:uid="{2B72860A-B578-4F42-93ED-4605A0A53268}"/>
    <cellStyle name="Comma 591 2 3" xfId="7102" xr:uid="{4181BB04-0915-4277-98D3-4220B55BA959}"/>
    <cellStyle name="Comma 591 2 3 2" xfId="17454" xr:uid="{A273A263-233B-4F4C-821D-FC32560118C3}"/>
    <cellStyle name="Comma 591 2 4" xfId="12279" xr:uid="{CE3BEA21-116D-4DBB-A69C-4FC4093A3EF9}"/>
    <cellStyle name="Comma 591 3" xfId="2897" xr:uid="{494E71F9-9DB2-40F3-B940-E7355DF62B50}"/>
    <cellStyle name="Comma 591 3 2" xfId="8130" xr:uid="{014E9688-C0BF-44EB-B03D-79C2A1D00DAA}"/>
    <cellStyle name="Comma 591 3 2 2" xfId="18482" xr:uid="{93B3429B-5C0A-44AD-937A-731E217565F5}"/>
    <cellStyle name="Comma 591 3 3" xfId="13307" xr:uid="{3D5B28CD-D40D-434E-873B-4CD3FDA05B8F}"/>
    <cellStyle name="Comma 591 4" xfId="5023" xr:uid="{DD0DB046-5255-4425-9976-4D0E3462EB53}"/>
    <cellStyle name="Comma 591 4 2" xfId="10199" xr:uid="{09F9BADC-E19C-476B-B0A7-5B20D3C8F9C1}"/>
    <cellStyle name="Comma 591 4 2 2" xfId="20551" xr:uid="{B26F35DF-19DD-4F95-A404-853DFBFE48AB}"/>
    <cellStyle name="Comma 591 4 3" xfId="15375" xr:uid="{9B0F530F-2502-4393-88A4-04AD3F2452D8}"/>
    <cellStyle name="Comma 591 5" xfId="6071" xr:uid="{287A8F05-3A07-4C47-AF75-02ECA2AA157D}"/>
    <cellStyle name="Comma 591 5 2" xfId="16423" xr:uid="{96650D92-8929-4B77-B4FD-2685D62D50EE}"/>
    <cellStyle name="Comma 591 6" xfId="11249" xr:uid="{B358CD35-276E-40D0-957D-8FD77DB40AF7}"/>
    <cellStyle name="Comma 592" xfId="832" xr:uid="{72373B19-5781-4F72-ACD3-381853F5984F}"/>
    <cellStyle name="Comma 592 2" xfId="1870" xr:uid="{97D1D50E-902E-4929-9762-E50F5DC83FBF}"/>
    <cellStyle name="Comma 592 2 2" xfId="3928" xr:uid="{FE00816F-04F8-43DD-B16D-B24002C170DC}"/>
    <cellStyle name="Comma 592 2 2 2" xfId="9161" xr:uid="{A61092BD-7868-4106-A6D7-2DDE9325EDE7}"/>
    <cellStyle name="Comma 592 2 2 2 2" xfId="19513" xr:uid="{F95AB39B-C12D-4B0E-B75E-AB04D6C10D04}"/>
    <cellStyle name="Comma 592 2 2 3" xfId="14338" xr:uid="{1DD8FACE-811A-42DE-B553-B9931691034A}"/>
    <cellStyle name="Comma 592 2 3" xfId="7103" xr:uid="{64CA6609-9B13-4827-8FB0-5231974C0A0F}"/>
    <cellStyle name="Comma 592 2 3 2" xfId="17455" xr:uid="{F9670E1B-B084-4060-956D-A6C92821DBF9}"/>
    <cellStyle name="Comma 592 2 4" xfId="12280" xr:uid="{00689288-FDF0-4326-9F5F-2445B1FD9896}"/>
    <cellStyle name="Comma 592 3" xfId="2898" xr:uid="{356C39CB-8330-4F1D-8586-0730D30A1CBE}"/>
    <cellStyle name="Comma 592 3 2" xfId="8131" xr:uid="{AE6C8B5A-7859-48C4-ABFA-F81B906D7BE1}"/>
    <cellStyle name="Comma 592 3 2 2" xfId="18483" xr:uid="{1FABC806-5748-462C-B389-B6FB71D520A0}"/>
    <cellStyle name="Comma 592 3 3" xfId="13308" xr:uid="{22A8CB4E-422F-4C9D-B00D-73F9331B30A2}"/>
    <cellStyle name="Comma 592 4" xfId="5024" xr:uid="{3AD041E4-C359-445A-95B3-ECE25D9D2DEF}"/>
    <cellStyle name="Comma 592 4 2" xfId="10200" xr:uid="{83E7CC67-2245-4A70-AF26-1047E48DAAF4}"/>
    <cellStyle name="Comma 592 4 2 2" xfId="20552" xr:uid="{9B00E359-0522-4D58-98AE-B432C2E9B5F5}"/>
    <cellStyle name="Comma 592 4 3" xfId="15376" xr:uid="{4B93C79F-6381-495E-8539-E5D251FD140C}"/>
    <cellStyle name="Comma 592 5" xfId="6072" xr:uid="{04EF15C5-B0C6-49C6-A468-85357DDD4E51}"/>
    <cellStyle name="Comma 592 5 2" xfId="16424" xr:uid="{2C06B967-5A62-4809-BEF8-FB3E58CD9FA6}"/>
    <cellStyle name="Comma 592 6" xfId="11250" xr:uid="{CBC8EA4A-1658-4B18-B22D-D2C45F97D62E}"/>
    <cellStyle name="Comma 593" xfId="833" xr:uid="{8EA3B3D4-7AA5-4671-B6DF-997505EADAFA}"/>
    <cellStyle name="Comma 593 2" xfId="1871" xr:uid="{5367988B-9431-4869-89C3-C57CF27CAA3D}"/>
    <cellStyle name="Comma 593 2 2" xfId="3929" xr:uid="{4DF44DAA-76CA-4D4B-BA5B-71073D40D232}"/>
    <cellStyle name="Comma 593 2 2 2" xfId="9162" xr:uid="{A5EA8243-AF9C-44F3-A3E8-34857241BF1D}"/>
    <cellStyle name="Comma 593 2 2 2 2" xfId="19514" xr:uid="{89C11C5A-E1AF-4834-8E40-7BBE6E4D4C25}"/>
    <cellStyle name="Comma 593 2 2 3" xfId="14339" xr:uid="{CF2499F3-D9F7-45F3-971C-E9133E4D7BAF}"/>
    <cellStyle name="Comma 593 2 3" xfId="7104" xr:uid="{268EAEF7-9233-4A59-9B38-74E672BAD58E}"/>
    <cellStyle name="Comma 593 2 3 2" xfId="17456" xr:uid="{6C27A85F-5C60-440B-BE2F-E7E7B94EE702}"/>
    <cellStyle name="Comma 593 2 4" xfId="12281" xr:uid="{D8910728-00A6-4263-87C0-033DCA5411DD}"/>
    <cellStyle name="Comma 593 3" xfId="2899" xr:uid="{BC7C575E-FEDB-4D16-9318-97099475C6E6}"/>
    <cellStyle name="Comma 593 3 2" xfId="8132" xr:uid="{0A041E43-C8BD-4806-8663-616EA515E050}"/>
    <cellStyle name="Comma 593 3 2 2" xfId="18484" xr:uid="{FC8C6B24-1946-4763-B53B-4F15829B75F0}"/>
    <cellStyle name="Comma 593 3 3" xfId="13309" xr:uid="{0A9B3AE1-B12B-4769-9B4E-EAF4E488E83F}"/>
    <cellStyle name="Comma 593 4" xfId="5025" xr:uid="{2AA947EB-6B42-4266-980F-13B1F2C13E3E}"/>
    <cellStyle name="Comma 593 4 2" xfId="10201" xr:uid="{795B4A48-85A3-4627-8101-5E17FAAB0B0C}"/>
    <cellStyle name="Comma 593 4 2 2" xfId="20553" xr:uid="{7AEC2AC7-D444-4C6D-8212-12F1D893F0A1}"/>
    <cellStyle name="Comma 593 4 3" xfId="15377" xr:uid="{09E8E38D-0A8B-4BDA-BE9C-DB14B6332C57}"/>
    <cellStyle name="Comma 593 5" xfId="6073" xr:uid="{287219A6-5263-4172-87FC-38BF8FA0FD8B}"/>
    <cellStyle name="Comma 593 5 2" xfId="16425" xr:uid="{6D325C89-59F4-4D1B-9F41-26504753D72D}"/>
    <cellStyle name="Comma 593 6" xfId="11251" xr:uid="{0483B8AB-B62C-4EAB-8FDE-C2E184ADCE7C}"/>
    <cellStyle name="Comma 594" xfId="834" xr:uid="{A9F730E0-5C64-4E97-8639-85A10461AF00}"/>
    <cellStyle name="Comma 594 2" xfId="1872" xr:uid="{849DB5F2-8B9B-4789-A231-9F4B08EA5E12}"/>
    <cellStyle name="Comma 594 2 2" xfId="3930" xr:uid="{93083D3F-5B0F-4F70-843E-7D44373B9844}"/>
    <cellStyle name="Comma 594 2 2 2" xfId="9163" xr:uid="{80C2C59A-FCAE-47B6-BCC7-4260269F8596}"/>
    <cellStyle name="Comma 594 2 2 2 2" xfId="19515" xr:uid="{2F98F3BF-7AE2-46BA-B8AD-CE3DF3346F73}"/>
    <cellStyle name="Comma 594 2 2 3" xfId="14340" xr:uid="{4A019022-964D-4F57-BAB2-6C9D744F0E9D}"/>
    <cellStyle name="Comma 594 2 3" xfId="7105" xr:uid="{34F6A357-E051-4462-9204-8A9F8F54A37D}"/>
    <cellStyle name="Comma 594 2 3 2" xfId="17457" xr:uid="{B8612580-C5FB-402E-953B-6401EC0E6255}"/>
    <cellStyle name="Comma 594 2 4" xfId="12282" xr:uid="{058F9E46-BB16-4787-84DD-6B8A70BA4353}"/>
    <cellStyle name="Comma 594 3" xfId="2900" xr:uid="{91B91CD6-C4CA-47E7-B927-48B11FA8BA7C}"/>
    <cellStyle name="Comma 594 3 2" xfId="8133" xr:uid="{6AC4A241-2C0A-456F-B640-E317101B7184}"/>
    <cellStyle name="Comma 594 3 2 2" xfId="18485" xr:uid="{2222550B-2253-4AF2-8BE3-CC5601957C20}"/>
    <cellStyle name="Comma 594 3 3" xfId="13310" xr:uid="{985B7D1C-442E-4375-96B1-D4E8573D34BA}"/>
    <cellStyle name="Comma 594 4" xfId="5026" xr:uid="{4D9CC01A-45BA-418E-975F-F3A0E2EA3D4A}"/>
    <cellStyle name="Comma 594 4 2" xfId="10202" xr:uid="{B9450DE1-1CE2-4634-99F0-E828908FA598}"/>
    <cellStyle name="Comma 594 4 2 2" xfId="20554" xr:uid="{C811CDA8-4FDE-45EA-AAD8-40C1FB718306}"/>
    <cellStyle name="Comma 594 4 3" xfId="15378" xr:uid="{8106CF0B-61C0-4508-B2F4-84F78F557B3B}"/>
    <cellStyle name="Comma 594 5" xfId="6074" xr:uid="{DF26A173-C467-4C69-9139-5A17ABDF83C3}"/>
    <cellStyle name="Comma 594 5 2" xfId="16426" xr:uid="{8614AF3C-25EB-446C-B1A9-32DDBAAE906A}"/>
    <cellStyle name="Comma 594 6" xfId="11252" xr:uid="{EF7B1F2B-9342-4DC9-BCB3-98801DF49CE3}"/>
    <cellStyle name="Comma 595" xfId="835" xr:uid="{AA942C3E-BAA9-42A2-94F2-CDCB88755681}"/>
    <cellStyle name="Comma 595 2" xfId="1873" xr:uid="{4628D169-E159-4981-9D01-A914618B5634}"/>
    <cellStyle name="Comma 595 2 2" xfId="3931" xr:uid="{B4049BC0-96D3-448E-86C7-422F320EB6BC}"/>
    <cellStyle name="Comma 595 2 2 2" xfId="9164" xr:uid="{1E36582C-1F0A-47E6-989C-CFA39F063569}"/>
    <cellStyle name="Comma 595 2 2 2 2" xfId="19516" xr:uid="{D750F5B9-7CB7-4FA5-B880-08831D4F1945}"/>
    <cellStyle name="Comma 595 2 2 3" xfId="14341" xr:uid="{9EF51511-F339-45EF-BF08-483CA1F5AA80}"/>
    <cellStyle name="Comma 595 2 3" xfId="7106" xr:uid="{E783D1A5-66D8-4E74-8AC8-4F8038FC1FC3}"/>
    <cellStyle name="Comma 595 2 3 2" xfId="17458" xr:uid="{D12156CE-4A15-4053-AB73-453187F265B2}"/>
    <cellStyle name="Comma 595 2 4" xfId="12283" xr:uid="{22C5D393-A18D-4551-ADCD-E3D5DCE8746C}"/>
    <cellStyle name="Comma 595 3" xfId="2901" xr:uid="{317026BB-4617-48D3-A32E-DB8FD30F9B62}"/>
    <cellStyle name="Comma 595 3 2" xfId="8134" xr:uid="{29A0A6F3-DB9E-4A91-BA72-A46C46BCD65E}"/>
    <cellStyle name="Comma 595 3 2 2" xfId="18486" xr:uid="{CBC93FDE-A1A8-411D-A7B4-77EDBD9EF797}"/>
    <cellStyle name="Comma 595 3 3" xfId="13311" xr:uid="{BB0A1228-CF2D-4ECE-8600-FDB70CB4A325}"/>
    <cellStyle name="Comma 595 4" xfId="5027" xr:uid="{D8AE6A67-26E8-44B9-9E8C-9BA01F2B6792}"/>
    <cellStyle name="Comma 595 4 2" xfId="10203" xr:uid="{B560B558-F097-4F02-8BC4-F8C5CF5A098D}"/>
    <cellStyle name="Comma 595 4 2 2" xfId="20555" xr:uid="{54C682D2-DF08-4FAB-972E-083A118AFFC4}"/>
    <cellStyle name="Comma 595 4 3" xfId="15379" xr:uid="{31BAA564-08CD-4B6D-A11C-706EA2DCBD4B}"/>
    <cellStyle name="Comma 595 5" xfId="6075" xr:uid="{6559EB40-C05A-4890-9DAB-CA819C98B769}"/>
    <cellStyle name="Comma 595 5 2" xfId="16427" xr:uid="{E6B08C78-4FF5-4217-82C7-A6AB0C91EEF6}"/>
    <cellStyle name="Comma 595 6" xfId="11253" xr:uid="{1F4D662B-67BF-4F2C-8D58-F4E29A200781}"/>
    <cellStyle name="Comma 596" xfId="836" xr:uid="{79FD4C2C-F0B8-47EE-8046-95B31F86C78D}"/>
    <cellStyle name="Comma 596 2" xfId="1874" xr:uid="{067AA190-A85C-4EE4-A199-77F84B6465D8}"/>
    <cellStyle name="Comma 596 2 2" xfId="3932" xr:uid="{46BDE9BB-7DE3-4477-9D9E-03642E8DB8E3}"/>
    <cellStyle name="Comma 596 2 2 2" xfId="9165" xr:uid="{5867C9D6-6D5F-4558-936D-BE740D83485E}"/>
    <cellStyle name="Comma 596 2 2 2 2" xfId="19517" xr:uid="{E6E447D5-AC34-4E67-89B7-115E837C8A2F}"/>
    <cellStyle name="Comma 596 2 2 3" xfId="14342" xr:uid="{278A4191-01D5-479C-A68A-E877DD5B6AF8}"/>
    <cellStyle name="Comma 596 2 3" xfId="7107" xr:uid="{B0170488-0D9A-49D4-A243-6E1AAA703F21}"/>
    <cellStyle name="Comma 596 2 3 2" xfId="17459" xr:uid="{F3DD102B-55C7-4403-AA05-397B22C30022}"/>
    <cellStyle name="Comma 596 2 4" xfId="12284" xr:uid="{13516E40-1F4D-4F16-80A9-7AA42BB985A7}"/>
    <cellStyle name="Comma 596 3" xfId="2902" xr:uid="{00206922-4107-4F68-879B-34981FD1C6DC}"/>
    <cellStyle name="Comma 596 3 2" xfId="8135" xr:uid="{0D8E4E5F-511D-4B06-97CD-37AC60784ED8}"/>
    <cellStyle name="Comma 596 3 2 2" xfId="18487" xr:uid="{B44B11F3-3F50-4F41-86D3-7F20E40BA78E}"/>
    <cellStyle name="Comma 596 3 3" xfId="13312" xr:uid="{5CE13B77-6BD9-46B4-9B3C-A85FF379BA63}"/>
    <cellStyle name="Comma 596 4" xfId="5028" xr:uid="{2195BE42-0ADD-4671-8C09-03EB135E19FE}"/>
    <cellStyle name="Comma 596 4 2" xfId="10204" xr:uid="{8F7E8050-C9E2-42E3-9291-42089AC71EBA}"/>
    <cellStyle name="Comma 596 4 2 2" xfId="20556" xr:uid="{BAC45845-628F-4C10-A440-A1ABF4B4F42E}"/>
    <cellStyle name="Comma 596 4 3" xfId="15380" xr:uid="{BEA2D827-D7B0-463E-B4B8-512A33B645A2}"/>
    <cellStyle name="Comma 596 5" xfId="6076" xr:uid="{D04F5CA6-FDB5-4BFA-82F0-5890AD7088C6}"/>
    <cellStyle name="Comma 596 5 2" xfId="16428" xr:uid="{5DC6F96C-966F-499C-BF1C-F4A68D50E3E1}"/>
    <cellStyle name="Comma 596 6" xfId="11254" xr:uid="{B893D8B3-79CC-493C-9275-69F64F7921DA}"/>
    <cellStyle name="Comma 597" xfId="837" xr:uid="{623438D4-E9D6-4851-899E-3F7C7C99540C}"/>
    <cellStyle name="Comma 597 2" xfId="1875" xr:uid="{3E8696FA-4504-44B6-BCDF-3F4BB3722F31}"/>
    <cellStyle name="Comma 597 2 2" xfId="3933" xr:uid="{E6F8C7D2-0BCF-436C-9D14-13EEEDE7ECB1}"/>
    <cellStyle name="Comma 597 2 2 2" xfId="9166" xr:uid="{2DB7C355-B22B-4FAD-BC08-959F20BC127A}"/>
    <cellStyle name="Comma 597 2 2 2 2" xfId="19518" xr:uid="{88B92590-AF1B-4E08-8B24-BB2BF0AB595C}"/>
    <cellStyle name="Comma 597 2 2 3" xfId="14343" xr:uid="{9BE8F522-C383-4664-8176-ADC4B962B791}"/>
    <cellStyle name="Comma 597 2 3" xfId="7108" xr:uid="{2F54047F-DFB1-4755-B96E-90086A322434}"/>
    <cellStyle name="Comma 597 2 3 2" xfId="17460" xr:uid="{D7F826B6-20A0-4328-9C2E-26FB8754C48D}"/>
    <cellStyle name="Comma 597 2 4" xfId="12285" xr:uid="{7C534049-ADE8-4DE9-BBD6-5CCECBA900B2}"/>
    <cellStyle name="Comma 597 3" xfId="2903" xr:uid="{90A688F5-35CF-46A8-9814-A7964E909046}"/>
    <cellStyle name="Comma 597 3 2" xfId="8136" xr:uid="{81C5026E-3EB5-47C1-9C31-51E9BCE0CE9F}"/>
    <cellStyle name="Comma 597 3 2 2" xfId="18488" xr:uid="{C18B4985-1EF5-4D7B-8B25-19E11080BC41}"/>
    <cellStyle name="Comma 597 3 3" xfId="13313" xr:uid="{143CF289-6F12-48D7-840D-09E02E85DEBF}"/>
    <cellStyle name="Comma 597 4" xfId="5029" xr:uid="{740537AD-CC14-4626-A0A2-008577BD6156}"/>
    <cellStyle name="Comma 597 4 2" xfId="10205" xr:uid="{A6068BE2-4D38-4338-9522-CEAA34C516F3}"/>
    <cellStyle name="Comma 597 4 2 2" xfId="20557" xr:uid="{C77DC1F0-FDB6-4123-94D9-E3AE99F559F3}"/>
    <cellStyle name="Comma 597 4 3" xfId="15381" xr:uid="{4906F386-35D2-467A-A59B-948284991EEA}"/>
    <cellStyle name="Comma 597 5" xfId="6077" xr:uid="{A35A0A0D-261B-4B9F-96B9-63DD0A44792A}"/>
    <cellStyle name="Comma 597 5 2" xfId="16429" xr:uid="{268093D8-2339-4491-87DE-4F513099709F}"/>
    <cellStyle name="Comma 597 6" xfId="11255" xr:uid="{89EC21C7-C38B-4A4F-8846-E2516F4FDD10}"/>
    <cellStyle name="Comma 598" xfId="838" xr:uid="{EE6CF515-F719-4500-AC28-6561807329C1}"/>
    <cellStyle name="Comma 598 2" xfId="1876" xr:uid="{00A8D645-E747-4DC5-8568-BDE2E7454944}"/>
    <cellStyle name="Comma 598 2 2" xfId="3934" xr:uid="{5D9F3D38-5A05-49A2-B19E-BB42C5943E8F}"/>
    <cellStyle name="Comma 598 2 2 2" xfId="9167" xr:uid="{B8BE9BBC-4B94-4CDE-9A9D-22825776677D}"/>
    <cellStyle name="Comma 598 2 2 2 2" xfId="19519" xr:uid="{73197FE3-F6F5-40C9-A58D-79794DCD4B0C}"/>
    <cellStyle name="Comma 598 2 2 3" xfId="14344" xr:uid="{5A88AFD3-E38A-44D0-96DC-FAC9D277D0C9}"/>
    <cellStyle name="Comma 598 2 3" xfId="7109" xr:uid="{F3BB4C9F-477E-4D82-927C-4F358409BDEE}"/>
    <cellStyle name="Comma 598 2 3 2" xfId="17461" xr:uid="{C3AC587C-43DD-4986-BD3B-5C7711113C20}"/>
    <cellStyle name="Comma 598 2 4" xfId="12286" xr:uid="{3E32A4CE-12F1-493D-87D7-7C1AD5FCAD6E}"/>
    <cellStyle name="Comma 598 3" xfId="2904" xr:uid="{2C7DB900-D4EA-406D-AC5D-B0DB089F669F}"/>
    <cellStyle name="Comma 598 3 2" xfId="8137" xr:uid="{AC464512-0B2E-467E-8F6C-140FCE11C28B}"/>
    <cellStyle name="Comma 598 3 2 2" xfId="18489" xr:uid="{E8438B09-D7CB-4064-A005-1234617AD3E7}"/>
    <cellStyle name="Comma 598 3 3" xfId="13314" xr:uid="{E1D60A73-087C-4E88-864A-9A9C3B402F44}"/>
    <cellStyle name="Comma 598 4" xfId="5030" xr:uid="{3614F939-6B53-46E0-8383-EAFC01F72F1B}"/>
    <cellStyle name="Comma 598 4 2" xfId="10206" xr:uid="{12F57B2C-CE7B-43FE-A358-87DBF7829F2A}"/>
    <cellStyle name="Comma 598 4 2 2" xfId="20558" xr:uid="{F3A413CD-4530-418F-9B6C-12DE1A68BF8B}"/>
    <cellStyle name="Comma 598 4 3" xfId="15382" xr:uid="{35414AFF-6107-429A-99B6-4A4A856A68B8}"/>
    <cellStyle name="Comma 598 5" xfId="6078" xr:uid="{351A46E4-42D8-4619-BAB0-41D2B2C32D2D}"/>
    <cellStyle name="Comma 598 5 2" xfId="16430" xr:uid="{6A3209EE-37BC-40EA-8572-3580C809CEE0}"/>
    <cellStyle name="Comma 598 6" xfId="11256" xr:uid="{92E2A041-3F19-46F4-AD3C-CC36CDF5DC44}"/>
    <cellStyle name="Comma 599" xfId="839" xr:uid="{42C29FD0-7C39-4831-A93E-5F86D311E604}"/>
    <cellStyle name="Comma 599 2" xfId="1877" xr:uid="{930C7991-536D-491F-B340-6E1C19AB943C}"/>
    <cellStyle name="Comma 599 2 2" xfId="3935" xr:uid="{3B6C79A3-C779-4474-B27D-F0CDBDFDF189}"/>
    <cellStyle name="Comma 599 2 2 2" xfId="9168" xr:uid="{2FEF1613-3C58-4765-BDCF-E99A87B30D46}"/>
    <cellStyle name="Comma 599 2 2 2 2" xfId="19520" xr:uid="{C2977016-32A8-4C75-BE9E-B39BD7AF0868}"/>
    <cellStyle name="Comma 599 2 2 3" xfId="14345" xr:uid="{FF062415-A1EF-48C9-B9B5-F285D9D23D7D}"/>
    <cellStyle name="Comma 599 2 3" xfId="7110" xr:uid="{B6B24868-733C-4CB5-BCB4-E861B3088F78}"/>
    <cellStyle name="Comma 599 2 3 2" xfId="17462" xr:uid="{8F4F4C9A-2EF7-42A6-A5EC-A8886B79730D}"/>
    <cellStyle name="Comma 599 2 4" xfId="12287" xr:uid="{29B330E5-BA0D-41D3-8D62-6A2683F8AE63}"/>
    <cellStyle name="Comma 599 3" xfId="2905" xr:uid="{85A6DAFD-7854-48B4-9D24-1F3A94E755CA}"/>
    <cellStyle name="Comma 599 3 2" xfId="8138" xr:uid="{8C06C7CB-B896-40DF-BCD4-0DA6A1284331}"/>
    <cellStyle name="Comma 599 3 2 2" xfId="18490" xr:uid="{E93E5AF8-7CC8-4E56-8727-CC774CDBED69}"/>
    <cellStyle name="Comma 599 3 3" xfId="13315" xr:uid="{615B8148-E257-44C1-9E6A-6FEB6C598B70}"/>
    <cellStyle name="Comma 599 4" xfId="5031" xr:uid="{133F8A47-8689-42E1-A9EE-49603FC76077}"/>
    <cellStyle name="Comma 599 4 2" xfId="10207" xr:uid="{CBF3D243-2B32-4B2A-86AD-EF922C40A0CB}"/>
    <cellStyle name="Comma 599 4 2 2" xfId="20559" xr:uid="{172B6BC3-C45A-4E26-AA23-1C04D4480D59}"/>
    <cellStyle name="Comma 599 4 3" xfId="15383" xr:uid="{A701CE0E-D934-4A61-9F34-4EAEC42D6DAF}"/>
    <cellStyle name="Comma 599 5" xfId="6079" xr:uid="{ECD9E3F8-9386-4F92-B76A-821F0C35DA5C}"/>
    <cellStyle name="Comma 599 5 2" xfId="16431" xr:uid="{8AC361E4-DCB8-4458-A595-5570A6EB8BC0}"/>
    <cellStyle name="Comma 599 6" xfId="11257" xr:uid="{2A138DFE-519C-405C-A386-24E4F6B9BC7C}"/>
    <cellStyle name="Comma 6" xfId="198" xr:uid="{332186DF-4459-4909-BCC0-9838EC9BDD03}"/>
    <cellStyle name="Comma 6 2" xfId="1284" xr:uid="{C63834D8-AD16-4A7C-B09B-E2B070A944F5}"/>
    <cellStyle name="Comma 6 2 2" xfId="3342" xr:uid="{D6B3784F-A4C0-4C00-9B84-99731D08B6E3}"/>
    <cellStyle name="Comma 6 2 2 2" xfId="8575" xr:uid="{E23CE9AE-D89E-4449-97A6-788081620BB4}"/>
    <cellStyle name="Comma 6 2 2 2 2" xfId="18927" xr:uid="{841BC022-13BF-4394-9E17-6A27BA7D3C23}"/>
    <cellStyle name="Comma 6 2 2 3" xfId="13752" xr:uid="{A7681661-3FC8-46D8-9AF4-B0DE3AC2D08E}"/>
    <cellStyle name="Comma 6 2 3" xfId="6517" xr:uid="{3C171AD1-7CD2-47C1-ABB1-45A6B0B19EE4}"/>
    <cellStyle name="Comma 6 2 3 2" xfId="16869" xr:uid="{B5AF36A7-AB8D-4FA7-A34D-4C096DE859A2}"/>
    <cellStyle name="Comma 6 2 4" xfId="11694" xr:uid="{996B215D-BA11-4C7D-9FB6-C2429EC15AA5}"/>
    <cellStyle name="Comma 6 3" xfId="2312" xr:uid="{BA6B1806-D17D-441A-B8DF-9E349B803CBA}"/>
    <cellStyle name="Comma 6 3 2" xfId="7545" xr:uid="{721E63FD-3873-4AFF-AEC7-9BC5D3E844E0}"/>
    <cellStyle name="Comma 6 3 2 2" xfId="17897" xr:uid="{0B0A2159-0EAA-4479-B637-76DC9330CD52}"/>
    <cellStyle name="Comma 6 3 3" xfId="12722" xr:uid="{CA1AA338-383F-460F-BF4B-DE0B2FD17EDC}"/>
    <cellStyle name="Comma 6 4" xfId="4438" xr:uid="{1B82D1F8-9A76-4C43-8806-11269F3EE15F}"/>
    <cellStyle name="Comma 6 4 2" xfId="9614" xr:uid="{425FE573-25C7-40D0-9C9B-EFFFB832ECF5}"/>
    <cellStyle name="Comma 6 4 2 2" xfId="19966" xr:uid="{F619F454-4038-4066-B01F-0D355EE895DB}"/>
    <cellStyle name="Comma 6 4 3" xfId="14790" xr:uid="{444355EB-11B9-43C8-94BE-D935CFDCCB49}"/>
    <cellStyle name="Comma 6 5" xfId="5486" xr:uid="{8F6FB1ED-965F-4B36-A2CF-D152FE86E9C7}"/>
    <cellStyle name="Comma 6 5 2" xfId="15838" xr:uid="{9C4396BF-A69D-4B78-A2D5-3CB9391B6724}"/>
    <cellStyle name="Comma 6 6" xfId="10664" xr:uid="{6A77EB9A-EAA1-4B72-A483-ED49E28C5D77}"/>
    <cellStyle name="Comma 60" xfId="261" xr:uid="{64F7EFB7-CE43-4E4F-9C11-77CDD2660F84}"/>
    <cellStyle name="Comma 60 2" xfId="1338" xr:uid="{233B6E70-304D-4DE4-9921-9F065C379315}"/>
    <cellStyle name="Comma 60 2 2" xfId="3396" xr:uid="{4CDEBE86-CBCD-4818-8D34-1984E123E20C}"/>
    <cellStyle name="Comma 60 2 2 2" xfId="8629" xr:uid="{8E6C7033-6913-4600-B61A-B09FE676C3BA}"/>
    <cellStyle name="Comma 60 2 2 2 2" xfId="18981" xr:uid="{671E6615-E323-49E5-99D4-E96783774F3A}"/>
    <cellStyle name="Comma 60 2 2 3" xfId="13806" xr:uid="{0AF73213-6326-4955-A3E6-8B52F1752850}"/>
    <cellStyle name="Comma 60 2 3" xfId="6571" xr:uid="{CCE35CBA-0D5E-4A8A-8D38-87782852A31B}"/>
    <cellStyle name="Comma 60 2 3 2" xfId="16923" xr:uid="{C1974BA6-1FCF-4B75-8BF3-27E6735AA18A}"/>
    <cellStyle name="Comma 60 2 4" xfId="11748" xr:uid="{1EDAA82E-705D-4CAF-A15A-F3F294E84843}"/>
    <cellStyle name="Comma 60 3" xfId="2366" xr:uid="{CF0A5F70-1C64-4246-A140-9A0457F7065E}"/>
    <cellStyle name="Comma 60 3 2" xfId="7599" xr:uid="{D346B0DA-9037-4B29-A81B-E8CA144488AE}"/>
    <cellStyle name="Comma 60 3 2 2" xfId="17951" xr:uid="{1AA44800-25FC-4010-B606-B70D9FBCB191}"/>
    <cellStyle name="Comma 60 3 3" xfId="12776" xr:uid="{24D9B174-FA3C-45BF-9CD3-C36579AF7345}"/>
    <cellStyle name="Comma 60 4" xfId="4492" xr:uid="{699B703D-BCB9-4CDB-A7E6-C8D61CD7FF80}"/>
    <cellStyle name="Comma 60 4 2" xfId="9668" xr:uid="{1A77561C-F639-41FF-ACA7-B70B34249D4C}"/>
    <cellStyle name="Comma 60 4 2 2" xfId="20020" xr:uid="{715F813C-E0D0-422C-B6B0-C584992E6402}"/>
    <cellStyle name="Comma 60 4 3" xfId="14844" xr:uid="{0B9CFF79-1196-471B-A8A3-1E38F6344A24}"/>
    <cellStyle name="Comma 60 5" xfId="5540" xr:uid="{03E988BB-CE3C-4813-8AAC-79DDAF07B36D}"/>
    <cellStyle name="Comma 60 5 2" xfId="15892" xr:uid="{4B334069-39EE-4581-A67C-1DAEF06972DD}"/>
    <cellStyle name="Comma 60 6" xfId="10718" xr:uid="{84C97A3E-C0C9-4534-8614-E8F1D4B32883}"/>
    <cellStyle name="Comma 600" xfId="840" xr:uid="{94B1C7A2-4A6D-4B40-980B-78B1A3A80F70}"/>
    <cellStyle name="Comma 600 2" xfId="1878" xr:uid="{1452762F-3A0A-4B0B-AC6A-F080EFED8358}"/>
    <cellStyle name="Comma 600 2 2" xfId="3936" xr:uid="{D495B463-3FA8-407A-9DC3-418AA5262C17}"/>
    <cellStyle name="Comma 600 2 2 2" xfId="9169" xr:uid="{D9B6322D-1BF8-45B9-B704-20E06CB70075}"/>
    <cellStyle name="Comma 600 2 2 2 2" xfId="19521" xr:uid="{4CB2C29E-FE4E-4E75-A56C-33143D0A9D30}"/>
    <cellStyle name="Comma 600 2 2 3" xfId="14346" xr:uid="{CF70DB3A-71FB-4390-9474-F27811C58135}"/>
    <cellStyle name="Comma 600 2 3" xfId="7111" xr:uid="{A862B0F5-A6A0-4DC0-AF85-1EC68226B544}"/>
    <cellStyle name="Comma 600 2 3 2" xfId="17463" xr:uid="{0CB5D7AB-76F0-45D2-AA43-9736D07A9505}"/>
    <cellStyle name="Comma 600 2 4" xfId="12288" xr:uid="{01A7ED24-AA47-42C4-AF83-BB63C37D511B}"/>
    <cellStyle name="Comma 600 3" xfId="2906" xr:uid="{BC2F6DD4-BA45-4243-840C-64BC5577C798}"/>
    <cellStyle name="Comma 600 3 2" xfId="8139" xr:uid="{2EE77F0E-BB4F-473B-8436-F7033E7E5A0C}"/>
    <cellStyle name="Comma 600 3 2 2" xfId="18491" xr:uid="{2BCF32D5-EA8E-49BC-9AFD-17EBCCDAC238}"/>
    <cellStyle name="Comma 600 3 3" xfId="13316" xr:uid="{44F3630E-7F56-4123-9956-3DB1FD0BFCE3}"/>
    <cellStyle name="Comma 600 4" xfId="5032" xr:uid="{95DBAE8F-74BD-4F67-807A-FAD791C9C2AC}"/>
    <cellStyle name="Comma 600 4 2" xfId="10208" xr:uid="{E597E8BA-06FC-4252-A8BD-E23AB678320D}"/>
    <cellStyle name="Comma 600 4 2 2" xfId="20560" xr:uid="{07CD4BAC-0073-4283-9108-403DA87CE874}"/>
    <cellStyle name="Comma 600 4 3" xfId="15384" xr:uid="{033D47FB-4003-4BD5-B648-6AC00678B828}"/>
    <cellStyle name="Comma 600 5" xfId="6080" xr:uid="{8358639B-FDAF-499C-8CA4-8137AA551677}"/>
    <cellStyle name="Comma 600 5 2" xfId="16432" xr:uid="{F09A9196-289D-4A4F-86E7-62A40B98B3DC}"/>
    <cellStyle name="Comma 600 6" xfId="11258" xr:uid="{B93FEBBD-8D12-4AB7-BA3D-1C3973B1145C}"/>
    <cellStyle name="Comma 601" xfId="841" xr:uid="{99C79628-522E-476A-A1C1-AF2D31CB201B}"/>
    <cellStyle name="Comma 601 2" xfId="1879" xr:uid="{4378FBDC-E778-41ED-9BF5-2544427CB606}"/>
    <cellStyle name="Comma 601 2 2" xfId="3937" xr:uid="{7DC682F7-AFBB-4242-A652-E6D84835662B}"/>
    <cellStyle name="Comma 601 2 2 2" xfId="9170" xr:uid="{F0D18155-E698-4EB7-9039-F755BB73C489}"/>
    <cellStyle name="Comma 601 2 2 2 2" xfId="19522" xr:uid="{418C49D9-DC63-4F1E-8EF5-6F28AA9CFC2A}"/>
    <cellStyle name="Comma 601 2 2 3" xfId="14347" xr:uid="{366EDEB4-7B47-4ECB-BA7F-B5DEDD1F836D}"/>
    <cellStyle name="Comma 601 2 3" xfId="7112" xr:uid="{58A3F80F-1250-4BA5-ACA1-F722FF9887C6}"/>
    <cellStyle name="Comma 601 2 3 2" xfId="17464" xr:uid="{CDBEB344-A3ED-49F6-9F0A-98A936C80EC9}"/>
    <cellStyle name="Comma 601 2 4" xfId="12289" xr:uid="{E3D658C3-9AB6-4BB9-AE6E-F027655F013F}"/>
    <cellStyle name="Comma 601 3" xfId="2907" xr:uid="{39EE2037-C38F-49BC-A3D4-14C3B8DCA47F}"/>
    <cellStyle name="Comma 601 3 2" xfId="8140" xr:uid="{4EAD8C31-D758-4EB9-8E48-962780EF12A7}"/>
    <cellStyle name="Comma 601 3 2 2" xfId="18492" xr:uid="{14448CB3-C605-4FCA-B47F-EB2AC72A0BF6}"/>
    <cellStyle name="Comma 601 3 3" xfId="13317" xr:uid="{6AF6F8F2-C4F1-4033-AD14-6F6C89F66ED1}"/>
    <cellStyle name="Comma 601 4" xfId="5033" xr:uid="{BDFA82FB-946D-4823-A7D7-F61D537E42E3}"/>
    <cellStyle name="Comma 601 4 2" xfId="10209" xr:uid="{B5B97736-C9FA-4FB7-836B-DF6B382F16FC}"/>
    <cellStyle name="Comma 601 4 2 2" xfId="20561" xr:uid="{DF2A40CC-20FE-4B2B-81F7-EBF41E7A572C}"/>
    <cellStyle name="Comma 601 4 3" xfId="15385" xr:uid="{023092FF-5785-4940-AF15-AA2F5E63C548}"/>
    <cellStyle name="Comma 601 5" xfId="6081" xr:uid="{25545253-3233-4B9C-897B-4F556106C962}"/>
    <cellStyle name="Comma 601 5 2" xfId="16433" xr:uid="{B00A2106-BE9D-4B00-84C1-20420FD2D298}"/>
    <cellStyle name="Comma 601 6" xfId="11259" xr:uid="{43B33654-ACA1-4ACE-8B7B-D4F304DC58FC}"/>
    <cellStyle name="Comma 602" xfId="842" xr:uid="{F9461B7E-ACD8-49F1-AA9F-3D2DA01E27FE}"/>
    <cellStyle name="Comma 602 2" xfId="1880" xr:uid="{FFD1F7E1-6BCE-47C6-B2DA-3FFBEEADACD6}"/>
    <cellStyle name="Comma 602 2 2" xfId="3938" xr:uid="{0B518556-310D-42F8-8B3E-1A51BE29F02E}"/>
    <cellStyle name="Comma 602 2 2 2" xfId="9171" xr:uid="{F610DFF3-797B-4D94-B170-90AA6D2E3B89}"/>
    <cellStyle name="Comma 602 2 2 2 2" xfId="19523" xr:uid="{A759248F-F676-4547-AA4F-35183DC374FC}"/>
    <cellStyle name="Comma 602 2 2 3" xfId="14348" xr:uid="{7252E85A-F35A-449A-9CD9-FF2F59CB591F}"/>
    <cellStyle name="Comma 602 2 3" xfId="7113" xr:uid="{3AC8445A-9498-4916-9F75-741DB16E1386}"/>
    <cellStyle name="Comma 602 2 3 2" xfId="17465" xr:uid="{425CF5BC-A14C-49A9-BB92-59B7DFD26694}"/>
    <cellStyle name="Comma 602 2 4" xfId="12290" xr:uid="{491E1399-B379-418B-BC2D-5814DE5498DC}"/>
    <cellStyle name="Comma 602 3" xfId="2908" xr:uid="{7C530DB4-E541-41D9-B4A1-06FD96457277}"/>
    <cellStyle name="Comma 602 3 2" xfId="8141" xr:uid="{F5668741-C800-48F4-989F-8EF04A1F6D7F}"/>
    <cellStyle name="Comma 602 3 2 2" xfId="18493" xr:uid="{CFA7BFE7-37A4-45E5-8400-ADFABBFAF50C}"/>
    <cellStyle name="Comma 602 3 3" xfId="13318" xr:uid="{4EE881D4-77A5-4CBD-B936-50158B67EFEF}"/>
    <cellStyle name="Comma 602 4" xfId="5034" xr:uid="{1AA90A02-B4F6-4C61-92AC-73CAAADAD910}"/>
    <cellStyle name="Comma 602 4 2" xfId="10210" xr:uid="{F84F5E19-6599-42E2-B57A-BABA12AF08A0}"/>
    <cellStyle name="Comma 602 4 2 2" xfId="20562" xr:uid="{09FAC682-89EA-4F35-8CDE-0E3C177A81CD}"/>
    <cellStyle name="Comma 602 4 3" xfId="15386" xr:uid="{BDA74D8E-F76C-4D52-94ED-D89278ED0D83}"/>
    <cellStyle name="Comma 602 5" xfId="6082" xr:uid="{4630ACA4-9443-43C8-AA86-83F8D52C7595}"/>
    <cellStyle name="Comma 602 5 2" xfId="16434" xr:uid="{8C3A0DA7-F727-4786-8B38-D84C5C520DBB}"/>
    <cellStyle name="Comma 602 6" xfId="11260" xr:uid="{78DE648E-0C33-4F56-9A82-771F621410A9}"/>
    <cellStyle name="Comma 603" xfId="843" xr:uid="{DCA60936-84BB-43C3-A961-0FCC04A608CC}"/>
    <cellStyle name="Comma 603 2" xfId="1881" xr:uid="{D6365328-40E3-4B40-8FA9-78599C14C0AE}"/>
    <cellStyle name="Comma 603 2 2" xfId="3939" xr:uid="{53698554-ACBD-4FFD-9C23-443087BD121F}"/>
    <cellStyle name="Comma 603 2 2 2" xfId="9172" xr:uid="{EB1AB5AF-D8AA-4F92-A7E3-BB1947B360F1}"/>
    <cellStyle name="Comma 603 2 2 2 2" xfId="19524" xr:uid="{7672284B-3E2C-4BBC-935E-1AE6522B2690}"/>
    <cellStyle name="Comma 603 2 2 3" xfId="14349" xr:uid="{C78E0864-3725-4910-8C0C-6CD4A7B98811}"/>
    <cellStyle name="Comma 603 2 3" xfId="7114" xr:uid="{50CD43E8-8A2A-4C02-ADCA-1BE858150EDC}"/>
    <cellStyle name="Comma 603 2 3 2" xfId="17466" xr:uid="{76DF7B6D-1B58-4EF0-81EC-6D824CAB794B}"/>
    <cellStyle name="Comma 603 2 4" xfId="12291" xr:uid="{749D2B22-BFCC-4429-99C9-640458ABFD45}"/>
    <cellStyle name="Comma 603 3" xfId="2909" xr:uid="{C298DAC1-2F49-4379-8684-3BD23F66F10C}"/>
    <cellStyle name="Comma 603 3 2" xfId="8142" xr:uid="{81D9B33C-9BC3-4922-AFB6-184D4DFBD774}"/>
    <cellStyle name="Comma 603 3 2 2" xfId="18494" xr:uid="{73F47236-8E75-40A1-8D84-3E96EB842441}"/>
    <cellStyle name="Comma 603 3 3" xfId="13319" xr:uid="{DBAB8E8D-888F-415B-A6C5-26448257B2BC}"/>
    <cellStyle name="Comma 603 4" xfId="5035" xr:uid="{ED1A1BD5-93F7-488A-A1B0-9A2C981A36B2}"/>
    <cellStyle name="Comma 603 4 2" xfId="10211" xr:uid="{11CD79E1-7F5E-4DB1-846A-203E31033EF4}"/>
    <cellStyle name="Comma 603 4 2 2" xfId="20563" xr:uid="{356E4D9D-15DC-4496-BA62-5DC1A7BA1685}"/>
    <cellStyle name="Comma 603 4 3" xfId="15387" xr:uid="{B0BA176F-B645-4F76-8D74-CF8401C88F05}"/>
    <cellStyle name="Comma 603 5" xfId="6083" xr:uid="{02C314D5-AC03-4146-A8F8-7689BB8C9296}"/>
    <cellStyle name="Comma 603 5 2" xfId="16435" xr:uid="{1AD2B618-589D-4F60-B88A-2CC88264F358}"/>
    <cellStyle name="Comma 603 6" xfId="11261" xr:uid="{5E333A85-3B8A-461B-B2A8-7DC3B39F61E5}"/>
    <cellStyle name="Comma 604" xfId="844" xr:uid="{389A0CED-E0B9-4B69-A8F2-78A7551C706B}"/>
    <cellStyle name="Comma 604 2" xfId="1882" xr:uid="{29F743B7-CB85-4625-A58A-18DA2F611A5D}"/>
    <cellStyle name="Comma 604 2 2" xfId="3940" xr:uid="{6B29DFC6-5C28-4922-920B-D0975884458F}"/>
    <cellStyle name="Comma 604 2 2 2" xfId="9173" xr:uid="{59756C7B-08D2-4C3C-B5A1-76C1F2E50602}"/>
    <cellStyle name="Comma 604 2 2 2 2" xfId="19525" xr:uid="{8A7BA7E7-F1D6-4E24-B933-5D1F8D1FC3EC}"/>
    <cellStyle name="Comma 604 2 2 3" xfId="14350" xr:uid="{9C69D8FF-BD8A-400C-87DB-249301EEC543}"/>
    <cellStyle name="Comma 604 2 3" xfId="7115" xr:uid="{62A762D1-4A5B-4F63-B7BF-1979938E8DB4}"/>
    <cellStyle name="Comma 604 2 3 2" xfId="17467" xr:uid="{13F4EB52-7091-4685-8EC8-B81B8C5E2896}"/>
    <cellStyle name="Comma 604 2 4" xfId="12292" xr:uid="{821E43F0-E42E-4791-B021-9C4E27888A46}"/>
    <cellStyle name="Comma 604 3" xfId="2910" xr:uid="{52F84D2F-092D-4B8D-8EBF-F6FF4EDBC0AA}"/>
    <cellStyle name="Comma 604 3 2" xfId="8143" xr:uid="{F96D3BAD-2606-4F17-94D4-31ADF2778C46}"/>
    <cellStyle name="Comma 604 3 2 2" xfId="18495" xr:uid="{F0A3F072-52C5-4883-B951-783FD4AE84BA}"/>
    <cellStyle name="Comma 604 3 3" xfId="13320" xr:uid="{4A8A8B52-E572-4247-AB8F-1CB8E178E4F5}"/>
    <cellStyle name="Comma 604 4" xfId="5036" xr:uid="{F01D4309-B459-47B1-A973-24085BF78B1B}"/>
    <cellStyle name="Comma 604 4 2" xfId="10212" xr:uid="{71FE4664-66B3-4389-866F-818EEF1C0F50}"/>
    <cellStyle name="Comma 604 4 2 2" xfId="20564" xr:uid="{2ACC9C6C-BB85-406F-8DA4-6B7EB2F60741}"/>
    <cellStyle name="Comma 604 4 3" xfId="15388" xr:uid="{3D69CE3A-A02B-4AA6-95B2-79B81B7CFF5D}"/>
    <cellStyle name="Comma 604 5" xfId="6084" xr:uid="{2245195F-AE3C-4B55-B3FB-EA034FFE7693}"/>
    <cellStyle name="Comma 604 5 2" xfId="16436" xr:uid="{9392BCBD-251B-4975-B29A-D78DB87769AA}"/>
    <cellStyle name="Comma 604 6" xfId="11262" xr:uid="{7C3CDF7D-1D93-44C8-9D73-482D1D34240E}"/>
    <cellStyle name="Comma 605" xfId="845" xr:uid="{54FCD890-6E53-445D-995B-D04A9D79DC2E}"/>
    <cellStyle name="Comma 605 2" xfId="1883" xr:uid="{81740826-F32F-457F-A7DD-1FC23CBAEBBD}"/>
    <cellStyle name="Comma 605 2 2" xfId="3941" xr:uid="{2DDFE1BD-F146-41A3-AC50-597D1E66962E}"/>
    <cellStyle name="Comma 605 2 2 2" xfId="9174" xr:uid="{8CF00BA1-FA5E-410F-BB8F-1739B0CAFF91}"/>
    <cellStyle name="Comma 605 2 2 2 2" xfId="19526" xr:uid="{A2893826-340F-4FD2-91EC-DD3604EE6993}"/>
    <cellStyle name="Comma 605 2 2 3" xfId="14351" xr:uid="{0A1447C1-09EE-47E4-8DD5-2BFEFCA04276}"/>
    <cellStyle name="Comma 605 2 3" xfId="7116" xr:uid="{BA9B7511-B4A0-44D4-8A09-DA4740343F92}"/>
    <cellStyle name="Comma 605 2 3 2" xfId="17468" xr:uid="{4404FD47-B621-46D8-A201-6263D991EE6F}"/>
    <cellStyle name="Comma 605 2 4" xfId="12293" xr:uid="{E8F699BF-5475-404D-81C7-11A3F9CE7D25}"/>
    <cellStyle name="Comma 605 3" xfId="2911" xr:uid="{E206EECF-7848-4426-8572-F166FE71998C}"/>
    <cellStyle name="Comma 605 3 2" xfId="8144" xr:uid="{D2815DB9-37D5-4DEA-8ACF-94325D7A1AD8}"/>
    <cellStyle name="Comma 605 3 2 2" xfId="18496" xr:uid="{89E3B509-84FB-4976-AA2E-75E43682B9B6}"/>
    <cellStyle name="Comma 605 3 3" xfId="13321" xr:uid="{25125B7C-4137-4877-B62D-76F68F1108EC}"/>
    <cellStyle name="Comma 605 4" xfId="5037" xr:uid="{6E0EF64E-2EF7-4235-A8EA-757BFBAF7549}"/>
    <cellStyle name="Comma 605 4 2" xfId="10213" xr:uid="{A5349D14-FA88-42BA-8745-9D7074BEF958}"/>
    <cellStyle name="Comma 605 4 2 2" xfId="20565" xr:uid="{A73347CF-B496-44A5-BFE7-2A36BB01B377}"/>
    <cellStyle name="Comma 605 4 3" xfId="15389" xr:uid="{0D8C7035-35A2-4036-85D8-B75BDC1843E2}"/>
    <cellStyle name="Comma 605 5" xfId="6085" xr:uid="{7089BB7F-B3F9-427B-AB2F-FEEC04F503E6}"/>
    <cellStyle name="Comma 605 5 2" xfId="16437" xr:uid="{4EBCEC1B-57F7-4201-B8BE-378DA7744E03}"/>
    <cellStyle name="Comma 605 6" xfId="11263" xr:uid="{47B4FD1A-3B2F-46E9-ADB0-2BEAFF1F87DB}"/>
    <cellStyle name="Comma 606" xfId="846" xr:uid="{B6DF7683-9767-4291-A46E-72370E272FA6}"/>
    <cellStyle name="Comma 606 2" xfId="1884" xr:uid="{8D334919-6DF2-4C11-A352-4D25FA405862}"/>
    <cellStyle name="Comma 606 2 2" xfId="3942" xr:uid="{A17CE969-64C1-43A5-A66E-4E13DA80634A}"/>
    <cellStyle name="Comma 606 2 2 2" xfId="9175" xr:uid="{1DF4E4C4-1E53-4280-9BBE-BADEEA0F72AB}"/>
    <cellStyle name="Comma 606 2 2 2 2" xfId="19527" xr:uid="{D11F4CD4-E737-47EE-B04E-B622BCB25461}"/>
    <cellStyle name="Comma 606 2 2 3" xfId="14352" xr:uid="{A83C6380-5CEA-41F8-91E0-DC95A0DAC02B}"/>
    <cellStyle name="Comma 606 2 3" xfId="7117" xr:uid="{A3FDEC17-A4E6-4B5D-8237-AE2303BA0769}"/>
    <cellStyle name="Comma 606 2 3 2" xfId="17469" xr:uid="{F995100F-E8F5-429F-83BF-AB39B385499E}"/>
    <cellStyle name="Comma 606 2 4" xfId="12294" xr:uid="{35B71B7E-B73B-423A-B855-B6127D0AC772}"/>
    <cellStyle name="Comma 606 3" xfId="2912" xr:uid="{4B8372C2-6681-4C83-B40E-013233907E93}"/>
    <cellStyle name="Comma 606 3 2" xfId="8145" xr:uid="{E4C89FC5-8136-4192-A1C6-1ABA3297F431}"/>
    <cellStyle name="Comma 606 3 2 2" xfId="18497" xr:uid="{5D3013D8-D3BA-4977-ACD1-3BD3510C7830}"/>
    <cellStyle name="Comma 606 3 3" xfId="13322" xr:uid="{68214C98-3B2F-4406-A133-2E5E663D8745}"/>
    <cellStyle name="Comma 606 4" xfId="5038" xr:uid="{F83CD7C3-B7ED-43C8-9FEA-093A13581647}"/>
    <cellStyle name="Comma 606 4 2" xfId="10214" xr:uid="{0386A3F6-C714-40A2-B5B3-0AAB195CACF9}"/>
    <cellStyle name="Comma 606 4 2 2" xfId="20566" xr:uid="{DE3766F7-1E10-4E53-9CC3-74D13EA76097}"/>
    <cellStyle name="Comma 606 4 3" xfId="15390" xr:uid="{3A4AB9EC-1D89-4A45-80C3-28B0B178E032}"/>
    <cellStyle name="Comma 606 5" xfId="6086" xr:uid="{F006E8E1-35E0-428D-83D4-80ED410357B2}"/>
    <cellStyle name="Comma 606 5 2" xfId="16438" xr:uid="{05E33551-7E38-4783-B92B-7AD8FB6734EA}"/>
    <cellStyle name="Comma 606 6" xfId="11264" xr:uid="{C49822DA-2094-43B7-9BBF-42B6B1F9F69F}"/>
    <cellStyle name="Comma 607" xfId="847" xr:uid="{5A4DEDD3-0A95-4DF1-8549-CB565ED3A1B0}"/>
    <cellStyle name="Comma 607 2" xfId="1885" xr:uid="{78EEC697-EFE9-4037-AFD1-B587FDA56312}"/>
    <cellStyle name="Comma 607 2 2" xfId="3943" xr:uid="{E2F8DAC3-3DC6-402F-8FB1-BBCD3604EC6D}"/>
    <cellStyle name="Comma 607 2 2 2" xfId="9176" xr:uid="{CCF0F699-7A1A-4B9F-BB31-C570A5DEF66A}"/>
    <cellStyle name="Comma 607 2 2 2 2" xfId="19528" xr:uid="{6E510AD3-7D0E-4A39-8C50-01D133F21B2C}"/>
    <cellStyle name="Comma 607 2 2 3" xfId="14353" xr:uid="{B2BAB7C4-2FB4-4F6E-A9EA-4A25616B9D18}"/>
    <cellStyle name="Comma 607 2 3" xfId="7118" xr:uid="{FF2C3DB6-6A05-4518-9448-0E000858D87F}"/>
    <cellStyle name="Comma 607 2 3 2" xfId="17470" xr:uid="{E75576F3-4E6C-4574-97B7-0418AC063D8B}"/>
    <cellStyle name="Comma 607 2 4" xfId="12295" xr:uid="{A0C3CAD9-9D29-4461-8B39-20DA465E52FC}"/>
    <cellStyle name="Comma 607 3" xfId="2913" xr:uid="{78B74548-C17E-40F3-92A9-CF634BBC5B96}"/>
    <cellStyle name="Comma 607 3 2" xfId="8146" xr:uid="{F227EB67-7745-4D94-B4CE-3328BFD76067}"/>
    <cellStyle name="Comma 607 3 2 2" xfId="18498" xr:uid="{DC52FDDF-D3F1-4DB4-B1C3-994FEE372500}"/>
    <cellStyle name="Comma 607 3 3" xfId="13323" xr:uid="{83E226B8-0F5C-4F14-B754-CD379EC238C3}"/>
    <cellStyle name="Comma 607 4" xfId="5039" xr:uid="{03A0C25A-B754-45ED-A4DA-F8B1C5278BA4}"/>
    <cellStyle name="Comma 607 4 2" xfId="10215" xr:uid="{9B7A63E7-25CF-4254-859D-3B2EE2576DB6}"/>
    <cellStyle name="Comma 607 4 2 2" xfId="20567" xr:uid="{A2EEE9AC-AF5E-446E-866A-1A9309C27811}"/>
    <cellStyle name="Comma 607 4 3" xfId="15391" xr:uid="{8D6B827C-357E-43BA-8961-4AE5AA1DA624}"/>
    <cellStyle name="Comma 607 5" xfId="6087" xr:uid="{7931DBB7-C15B-49D7-907C-AC3C8138C928}"/>
    <cellStyle name="Comma 607 5 2" xfId="16439" xr:uid="{A1FB2A28-DB77-4CCB-B694-1D84DAC309F9}"/>
    <cellStyle name="Comma 607 6" xfId="11265" xr:uid="{85023C20-4A7F-48D4-8D5B-51CF9BCCD5E1}"/>
    <cellStyle name="Comma 608" xfId="848" xr:uid="{5C9C0C07-F822-4637-A51B-8AD20D7C8B86}"/>
    <cellStyle name="Comma 608 2" xfId="1886" xr:uid="{ED4A9D82-002C-4B95-887E-3FD3935D69F1}"/>
    <cellStyle name="Comma 608 2 2" xfId="3944" xr:uid="{99C1270F-5144-43F0-8061-B0D75760C31F}"/>
    <cellStyle name="Comma 608 2 2 2" xfId="9177" xr:uid="{AF6F70E7-6323-45AF-8CB2-B5189287B3A0}"/>
    <cellStyle name="Comma 608 2 2 2 2" xfId="19529" xr:uid="{00C86F15-7574-4515-96D3-44F595274028}"/>
    <cellStyle name="Comma 608 2 2 3" xfId="14354" xr:uid="{3BB70805-D783-4C94-A1F0-15CE79328FF7}"/>
    <cellStyle name="Comma 608 2 3" xfId="7119" xr:uid="{B951D3DE-E0B3-45A7-81CE-201495F6EFFC}"/>
    <cellStyle name="Comma 608 2 3 2" xfId="17471" xr:uid="{F75EB63F-6E93-4C5C-83E3-07B88C8206A9}"/>
    <cellStyle name="Comma 608 2 4" xfId="12296" xr:uid="{5276CDC2-B63A-4F23-A4AF-191208D5A059}"/>
    <cellStyle name="Comma 608 3" xfId="2914" xr:uid="{E869EE48-77D1-4F76-A7DB-DB80C38856EA}"/>
    <cellStyle name="Comma 608 3 2" xfId="8147" xr:uid="{D07739E9-4C4E-4E8C-8C72-76FFBA67F927}"/>
    <cellStyle name="Comma 608 3 2 2" xfId="18499" xr:uid="{B0BED783-6ECB-4E56-99B9-A517FF459201}"/>
    <cellStyle name="Comma 608 3 3" xfId="13324" xr:uid="{6E26FE68-1941-4085-9A3D-8B435F13DEAE}"/>
    <cellStyle name="Comma 608 4" xfId="5040" xr:uid="{580ADECE-9A2B-4F91-ABD3-7279DCD9BB97}"/>
    <cellStyle name="Comma 608 4 2" xfId="10216" xr:uid="{1D5D27CB-107B-4C31-8AB7-62EE64D00369}"/>
    <cellStyle name="Comma 608 4 2 2" xfId="20568" xr:uid="{1D9E6F7D-B650-4C17-8BF8-360067758B17}"/>
    <cellStyle name="Comma 608 4 3" xfId="15392" xr:uid="{879BFFFA-1F0F-44FA-8EF5-6C21D6ED8947}"/>
    <cellStyle name="Comma 608 5" xfId="6088" xr:uid="{A67B29FD-B6D0-4CC2-AABF-12C5CB972DE1}"/>
    <cellStyle name="Comma 608 5 2" xfId="16440" xr:uid="{4F385ECA-9414-4A06-8BD0-065906FFE2CC}"/>
    <cellStyle name="Comma 608 6" xfId="11266" xr:uid="{9961B695-2CF1-4A25-A0ED-872330FA08DC}"/>
    <cellStyle name="Comma 609" xfId="849" xr:uid="{F490A436-6DAB-4C23-8481-24863D3ACF0A}"/>
    <cellStyle name="Comma 609 2" xfId="1887" xr:uid="{B7C063EC-36A5-4C20-AC5D-EB9C76B9013B}"/>
    <cellStyle name="Comma 609 2 2" xfId="3945" xr:uid="{B961BEB5-D708-4F82-A267-482A19BEC506}"/>
    <cellStyle name="Comma 609 2 2 2" xfId="9178" xr:uid="{18B3AC2D-35DD-445B-B970-74C91249D9E5}"/>
    <cellStyle name="Comma 609 2 2 2 2" xfId="19530" xr:uid="{ED13A67B-3EDE-44B0-A832-3BC351F82BC3}"/>
    <cellStyle name="Comma 609 2 2 3" xfId="14355" xr:uid="{EDB9CE01-CB44-4A01-9599-4C8792A02BAD}"/>
    <cellStyle name="Comma 609 2 3" xfId="7120" xr:uid="{351EDE14-67D9-43EB-AD45-177BB2A286FA}"/>
    <cellStyle name="Comma 609 2 3 2" xfId="17472" xr:uid="{4947D5C1-64B3-4508-931B-3039EAFE67BF}"/>
    <cellStyle name="Comma 609 2 4" xfId="12297" xr:uid="{2F863B15-EF5B-4E7D-95D0-F53D4AE226D6}"/>
    <cellStyle name="Comma 609 3" xfId="2915" xr:uid="{E1409823-15D5-4B19-B748-C99DC134D047}"/>
    <cellStyle name="Comma 609 3 2" xfId="8148" xr:uid="{86C5DD63-3B21-43E6-B918-E9A35976FA63}"/>
    <cellStyle name="Comma 609 3 2 2" xfId="18500" xr:uid="{FECEF2F7-17E8-45F4-ADEE-440C327251DE}"/>
    <cellStyle name="Comma 609 3 3" xfId="13325" xr:uid="{CBAEFD1B-F74A-46EF-B1C7-8B02B6DAE66F}"/>
    <cellStyle name="Comma 609 4" xfId="5041" xr:uid="{23E9AF48-A352-4873-B54F-AD9197038A3E}"/>
    <cellStyle name="Comma 609 4 2" xfId="10217" xr:uid="{5627B63C-DC34-4BAA-BE3C-178564E648F7}"/>
    <cellStyle name="Comma 609 4 2 2" xfId="20569" xr:uid="{06CB8667-3A9C-41AF-94D9-55018AFBC4F7}"/>
    <cellStyle name="Comma 609 4 3" xfId="15393" xr:uid="{B482E7D0-244F-436C-BD22-09EF061A43DD}"/>
    <cellStyle name="Comma 609 5" xfId="6089" xr:uid="{78414802-3A72-4F00-B03E-C68FA9A2F827}"/>
    <cellStyle name="Comma 609 5 2" xfId="16441" xr:uid="{5749E7BB-99D7-4144-9352-A0883C8808B4}"/>
    <cellStyle name="Comma 609 6" xfId="11267" xr:uid="{10F163B0-E068-4CAF-9F58-B3C2923B7713}"/>
    <cellStyle name="Comma 61" xfId="262" xr:uid="{00BCC727-0683-4164-87B0-C1C688C21361}"/>
    <cellStyle name="Comma 61 2" xfId="1339" xr:uid="{58DB7ABF-0158-44EA-98E8-2FB24BA4DC95}"/>
    <cellStyle name="Comma 61 2 2" xfId="3397" xr:uid="{DD3E7104-D233-4F30-9947-C61FF9DF33FB}"/>
    <cellStyle name="Comma 61 2 2 2" xfId="8630" xr:uid="{CAFBED66-C13F-45D6-95DE-76922D5BA676}"/>
    <cellStyle name="Comma 61 2 2 2 2" xfId="18982" xr:uid="{5FAC1C5D-8A6C-4780-8A8E-55FFEE4DAE67}"/>
    <cellStyle name="Comma 61 2 2 3" xfId="13807" xr:uid="{985BEE9F-F305-443C-A510-A00EE8D1321B}"/>
    <cellStyle name="Comma 61 2 3" xfId="6572" xr:uid="{93C4E327-2FFC-4198-878D-F169AAE36EF0}"/>
    <cellStyle name="Comma 61 2 3 2" xfId="16924" xr:uid="{F502D666-20C1-427D-AAF9-B4084DB14810}"/>
    <cellStyle name="Comma 61 2 4" xfId="11749" xr:uid="{FD0D8C54-DF0B-42B7-9128-22E3D10EA12B}"/>
    <cellStyle name="Comma 61 3" xfId="2367" xr:uid="{7A082A05-9C52-4A66-8F8B-7118A39DB3F9}"/>
    <cellStyle name="Comma 61 3 2" xfId="7600" xr:uid="{21315BC7-15CB-4EE8-8F93-99872BB1CCC2}"/>
    <cellStyle name="Comma 61 3 2 2" xfId="17952" xr:uid="{35557CF3-987D-40D6-9DC4-0BB77C567D5F}"/>
    <cellStyle name="Comma 61 3 3" xfId="12777" xr:uid="{7A9A0E4F-2790-49D9-8996-BDC3BB9DCCEC}"/>
    <cellStyle name="Comma 61 4" xfId="4493" xr:uid="{DAAEC7F6-7836-4DCD-832D-55417A408D6A}"/>
    <cellStyle name="Comma 61 4 2" xfId="9669" xr:uid="{198FDAC1-2CE3-44BE-BC8D-6000421AC4A4}"/>
    <cellStyle name="Comma 61 4 2 2" xfId="20021" xr:uid="{F74FD17F-E57E-48ED-8F25-015D9BE14C55}"/>
    <cellStyle name="Comma 61 4 3" xfId="14845" xr:uid="{2D2CE6BD-AF4C-4BBD-A337-44AB30EEEC96}"/>
    <cellStyle name="Comma 61 5" xfId="5541" xr:uid="{E9B45BFC-23F2-4BD9-814B-70D629D23C9B}"/>
    <cellStyle name="Comma 61 5 2" xfId="15893" xr:uid="{C6AEDC66-1F1C-4650-B1E1-DE1FF073D18C}"/>
    <cellStyle name="Comma 61 6" xfId="10719" xr:uid="{5405AD73-FF44-4C4A-8EBA-0B73565B1E4C}"/>
    <cellStyle name="Comma 610" xfId="850" xr:uid="{01E45C70-F4B8-45ED-82A5-A6D8275C0D60}"/>
    <cellStyle name="Comma 610 2" xfId="1888" xr:uid="{BD715D0A-3E42-4B4C-AECF-ECE9B105F6A2}"/>
    <cellStyle name="Comma 610 2 2" xfId="3946" xr:uid="{56BDA74E-2F02-41EB-A195-032A6FEB2A24}"/>
    <cellStyle name="Comma 610 2 2 2" xfId="9179" xr:uid="{04C77ED5-2681-48E9-A8D0-DC1200F5DB1E}"/>
    <cellStyle name="Comma 610 2 2 2 2" xfId="19531" xr:uid="{EB84B7BE-5C9D-4D05-A74F-F98FC4F85AE8}"/>
    <cellStyle name="Comma 610 2 2 3" xfId="14356" xr:uid="{504E35A5-CE8C-494F-9EA3-92F01C6FD91A}"/>
    <cellStyle name="Comma 610 2 3" xfId="7121" xr:uid="{6EC7EE06-B7D0-4AB6-9684-419ECCEE2803}"/>
    <cellStyle name="Comma 610 2 3 2" xfId="17473" xr:uid="{EFC565C3-F0D4-4877-8E92-3A5AF2D96DDE}"/>
    <cellStyle name="Comma 610 2 4" xfId="12298" xr:uid="{8254BC87-5597-4DEE-A023-1D8C7966D0D7}"/>
    <cellStyle name="Comma 610 3" xfId="2916" xr:uid="{A9076203-AD54-4D77-A636-922FE6D8C59F}"/>
    <cellStyle name="Comma 610 3 2" xfId="8149" xr:uid="{0A68D08E-E92A-4CA8-B5E6-0CE2031548A8}"/>
    <cellStyle name="Comma 610 3 2 2" xfId="18501" xr:uid="{F11EC5F0-6B79-4430-98DB-513982B2C080}"/>
    <cellStyle name="Comma 610 3 3" xfId="13326" xr:uid="{C221C7A7-D8CE-46E7-B82A-D1F11FDB44DE}"/>
    <cellStyle name="Comma 610 4" xfId="5042" xr:uid="{EFDA6785-6827-4D32-8B5D-1835BDA97E30}"/>
    <cellStyle name="Comma 610 4 2" xfId="10218" xr:uid="{DE95ADE6-AC75-4601-841C-9E3C69FFB0D1}"/>
    <cellStyle name="Comma 610 4 2 2" xfId="20570" xr:uid="{D6513B45-2A2C-4C5D-8BAC-3436B64046F8}"/>
    <cellStyle name="Comma 610 4 3" xfId="15394" xr:uid="{31632E77-6497-43BA-920C-4E049C8D1F5C}"/>
    <cellStyle name="Comma 610 5" xfId="6090" xr:uid="{F7ED145E-2CFF-4A1A-8C89-4B7BAE902123}"/>
    <cellStyle name="Comma 610 5 2" xfId="16442" xr:uid="{7A53C416-68AD-4AAC-BFAA-643CDE0F3A26}"/>
    <cellStyle name="Comma 610 6" xfId="11268" xr:uid="{1D0A0A44-F784-4ECA-BB05-AF61B09F434C}"/>
    <cellStyle name="Comma 611" xfId="851" xr:uid="{3381BBBE-13D2-4EB7-9D1F-C958925CE026}"/>
    <cellStyle name="Comma 611 2" xfId="1889" xr:uid="{B2D0602B-4345-4638-93E1-F2EB892998DE}"/>
    <cellStyle name="Comma 611 2 2" xfId="3947" xr:uid="{202083D3-0A7D-460E-ADB4-AA68C499FEBE}"/>
    <cellStyle name="Comma 611 2 2 2" xfId="9180" xr:uid="{3BC940A3-F41C-47FE-A2EF-2028A5C0E178}"/>
    <cellStyle name="Comma 611 2 2 2 2" xfId="19532" xr:uid="{86843B15-E1D3-4CEB-BF6B-E865DF4FC149}"/>
    <cellStyle name="Comma 611 2 2 3" xfId="14357" xr:uid="{DC834A2B-882F-4B1C-AF75-4A7CD7863685}"/>
    <cellStyle name="Comma 611 2 3" xfId="7122" xr:uid="{1E364676-EA66-417D-94A3-F5E2CA4471A3}"/>
    <cellStyle name="Comma 611 2 3 2" xfId="17474" xr:uid="{AB75F8BA-F842-44C1-A418-C75C836477F3}"/>
    <cellStyle name="Comma 611 2 4" xfId="12299" xr:uid="{1EB835F5-3213-40C6-B456-7633C5B2F477}"/>
    <cellStyle name="Comma 611 3" xfId="2917" xr:uid="{EE9270C6-007E-4860-8FD0-FF169B13B7FA}"/>
    <cellStyle name="Comma 611 3 2" xfId="8150" xr:uid="{81A8F7EF-1440-4CC7-A272-87619F6D489F}"/>
    <cellStyle name="Comma 611 3 2 2" xfId="18502" xr:uid="{D05417DA-4543-497E-A79F-B33CEC2B57E5}"/>
    <cellStyle name="Comma 611 3 3" xfId="13327" xr:uid="{55B79728-73D0-437B-B9EA-11F9E905C844}"/>
    <cellStyle name="Comma 611 4" xfId="5043" xr:uid="{6B1DEC88-09FD-4804-A291-116717B58047}"/>
    <cellStyle name="Comma 611 4 2" xfId="10219" xr:uid="{9906B951-C3AB-4324-80B8-E433EF88B5F8}"/>
    <cellStyle name="Comma 611 4 2 2" xfId="20571" xr:uid="{712B52A5-7632-4382-93AB-BF806A2B29AE}"/>
    <cellStyle name="Comma 611 4 3" xfId="15395" xr:uid="{086774FD-5490-4560-AB4D-8A7391789C96}"/>
    <cellStyle name="Comma 611 5" xfId="6091" xr:uid="{38D6C425-4CDA-4023-BFD8-265568E6B4EF}"/>
    <cellStyle name="Comma 611 5 2" xfId="16443" xr:uid="{4FB380B2-9A1F-457F-A8AA-356D9E71F3BC}"/>
    <cellStyle name="Comma 611 6" xfId="11269" xr:uid="{C09527AD-05EB-4238-AB39-F3235589F17E}"/>
    <cellStyle name="Comma 612" xfId="852" xr:uid="{DB8C8777-F868-44AC-9F1F-437A3099C957}"/>
    <cellStyle name="Comma 612 2" xfId="1890" xr:uid="{5D150FDE-B37F-4943-BF59-062C6DF58A31}"/>
    <cellStyle name="Comma 612 2 2" xfId="3948" xr:uid="{0999D6D0-C475-470F-8373-672908AA0C4B}"/>
    <cellStyle name="Comma 612 2 2 2" xfId="9181" xr:uid="{79DF7EDB-35BC-4AEC-8C28-22B9F99AC886}"/>
    <cellStyle name="Comma 612 2 2 2 2" xfId="19533" xr:uid="{1702C828-2D90-4FD9-BB84-AB8A4CA55CF6}"/>
    <cellStyle name="Comma 612 2 2 3" xfId="14358" xr:uid="{775EC8B8-919E-4296-B414-34E72E00877A}"/>
    <cellStyle name="Comma 612 2 3" xfId="7123" xr:uid="{8DF083FB-0CE4-421E-8A3D-4DC255810511}"/>
    <cellStyle name="Comma 612 2 3 2" xfId="17475" xr:uid="{08985D52-DEB4-473E-9D9A-50B587A27E3E}"/>
    <cellStyle name="Comma 612 2 4" xfId="12300" xr:uid="{53474F80-8DFD-424B-9BE0-7150358E7779}"/>
    <cellStyle name="Comma 612 3" xfId="2918" xr:uid="{6AF16371-55C8-4ED5-9119-DEAE2C0F6CBF}"/>
    <cellStyle name="Comma 612 3 2" xfId="8151" xr:uid="{3FC55FBA-774F-4C83-9B25-02BB59F5775C}"/>
    <cellStyle name="Comma 612 3 2 2" xfId="18503" xr:uid="{523E3EF2-3401-4851-AA5A-5DF9D0467D9F}"/>
    <cellStyle name="Comma 612 3 3" xfId="13328" xr:uid="{A61ADD2A-8B71-4034-AE48-E647851CF114}"/>
    <cellStyle name="Comma 612 4" xfId="5044" xr:uid="{413F9BD8-8E7D-4AD5-8986-B26EF5351741}"/>
    <cellStyle name="Comma 612 4 2" xfId="10220" xr:uid="{3B8C57FB-53B7-4A4B-A223-2F0FBA12F84F}"/>
    <cellStyle name="Comma 612 4 2 2" xfId="20572" xr:uid="{5DE75E21-5759-4FD8-89EF-202D2BC92703}"/>
    <cellStyle name="Comma 612 4 3" xfId="15396" xr:uid="{50FCB4E3-D12D-417C-B59D-BEA8CBB13B2E}"/>
    <cellStyle name="Comma 612 5" xfId="6092" xr:uid="{09ED8F61-6CA7-43A8-A56F-A0A16AA5C893}"/>
    <cellStyle name="Comma 612 5 2" xfId="16444" xr:uid="{2FCA9AC7-EDC0-4F34-874F-E3221A793521}"/>
    <cellStyle name="Comma 612 6" xfId="11270" xr:uid="{7D3DC474-EC73-4D94-9C66-63904DE26B47}"/>
    <cellStyle name="Comma 613" xfId="853" xr:uid="{3EEEA17B-7977-40E5-BCAC-A0F585E5D947}"/>
    <cellStyle name="Comma 613 2" xfId="1891" xr:uid="{D20C8966-82D9-4B3A-B3DC-74BDB0C0FFC4}"/>
    <cellStyle name="Comma 613 2 2" xfId="3949" xr:uid="{DAE1875B-0AFD-428E-8FF6-5ADEA174E236}"/>
    <cellStyle name="Comma 613 2 2 2" xfId="9182" xr:uid="{56B4E5FC-EFFF-4FC3-8E64-2935F1E1BC8A}"/>
    <cellStyle name="Comma 613 2 2 2 2" xfId="19534" xr:uid="{A0B3362C-6968-44E3-B78E-AB6F58726337}"/>
    <cellStyle name="Comma 613 2 2 3" xfId="14359" xr:uid="{FA4FE8EF-2B11-4C37-879E-2C9E1ACFB11E}"/>
    <cellStyle name="Comma 613 2 3" xfId="7124" xr:uid="{9E3F31A9-4404-41CF-8149-97ED5C31768E}"/>
    <cellStyle name="Comma 613 2 3 2" xfId="17476" xr:uid="{8D8204FD-42C8-4DF9-B9C8-8E42C6CCE2A8}"/>
    <cellStyle name="Comma 613 2 4" xfId="12301" xr:uid="{FCD5F9AD-B9C5-40D6-9921-4DAFBC3BB27E}"/>
    <cellStyle name="Comma 613 3" xfId="2919" xr:uid="{E17B7E4B-9D03-4CB4-90CB-205C22A299A0}"/>
    <cellStyle name="Comma 613 3 2" xfId="8152" xr:uid="{7C9BF332-C5E9-4E68-8ADF-51912471E12B}"/>
    <cellStyle name="Comma 613 3 2 2" xfId="18504" xr:uid="{ED72A8D6-4804-46CD-99EC-CF256FBADFA5}"/>
    <cellStyle name="Comma 613 3 3" xfId="13329" xr:uid="{D5288F9A-000E-4BE9-B82B-E7F9FEC5EB1A}"/>
    <cellStyle name="Comma 613 4" xfId="5045" xr:uid="{46DD8A36-B8D0-4056-A43E-879E215747E8}"/>
    <cellStyle name="Comma 613 4 2" xfId="10221" xr:uid="{AB993FCA-0D1F-4082-BB0F-439943F20827}"/>
    <cellStyle name="Comma 613 4 2 2" xfId="20573" xr:uid="{C1A6EA88-6C47-430F-BEDF-5ADA58E8016B}"/>
    <cellStyle name="Comma 613 4 3" xfId="15397" xr:uid="{688EF053-9D42-4428-B4F3-8242838E269C}"/>
    <cellStyle name="Comma 613 5" xfId="6093" xr:uid="{B829D04F-A4DB-49A3-AD2F-4CC8B69D2B38}"/>
    <cellStyle name="Comma 613 5 2" xfId="16445" xr:uid="{42807DAE-0219-4585-8716-965FDD60E111}"/>
    <cellStyle name="Comma 613 6" xfId="11271" xr:uid="{44441706-AAC5-414F-B060-F62B0B98EDD7}"/>
    <cellStyle name="Comma 614" xfId="854" xr:uid="{8C5C727C-7BCE-4B57-B2B2-C542580F0186}"/>
    <cellStyle name="Comma 614 2" xfId="1892" xr:uid="{CEE7613B-2001-4B64-9FF6-808C1CCCB789}"/>
    <cellStyle name="Comma 614 2 2" xfId="3950" xr:uid="{9D570F29-A291-41FC-BF98-2530D7350D2B}"/>
    <cellStyle name="Comma 614 2 2 2" xfId="9183" xr:uid="{CE75FF92-EB91-442C-B2F4-DEC5B0347527}"/>
    <cellStyle name="Comma 614 2 2 2 2" xfId="19535" xr:uid="{33C4B82F-2964-4AB2-8A3E-15E02B44C5C3}"/>
    <cellStyle name="Comma 614 2 2 3" xfId="14360" xr:uid="{C938E419-FBC8-47B4-85E8-E12D63B7938C}"/>
    <cellStyle name="Comma 614 2 3" xfId="7125" xr:uid="{6679D8FF-7F1A-48E3-B477-574582E359F4}"/>
    <cellStyle name="Comma 614 2 3 2" xfId="17477" xr:uid="{2A834C3F-16B4-4640-937E-77CCF6BB8C6D}"/>
    <cellStyle name="Comma 614 2 4" xfId="12302" xr:uid="{93204D5D-97EF-43E1-940C-99D40FD0FB8D}"/>
    <cellStyle name="Comma 614 3" xfId="2920" xr:uid="{BB581476-0733-44C0-ACF2-31CCA2275B7D}"/>
    <cellStyle name="Comma 614 3 2" xfId="8153" xr:uid="{2A0EB04D-EE44-4177-AE16-79B077497915}"/>
    <cellStyle name="Comma 614 3 2 2" xfId="18505" xr:uid="{912C53D7-E82F-4665-A8B0-5EE3A391512E}"/>
    <cellStyle name="Comma 614 3 3" xfId="13330" xr:uid="{74F07CD7-8B32-438F-B7AE-B58542DA9FF8}"/>
    <cellStyle name="Comma 614 4" xfId="5046" xr:uid="{B706F550-7AAA-4ABC-9A79-B29D3233BF06}"/>
    <cellStyle name="Comma 614 4 2" xfId="10222" xr:uid="{7F29BBA5-ABE5-4679-B40A-173973A7471E}"/>
    <cellStyle name="Comma 614 4 2 2" xfId="20574" xr:uid="{8A69B9CE-8FA1-4A3E-8549-FC68D02AB3E5}"/>
    <cellStyle name="Comma 614 4 3" xfId="15398" xr:uid="{CEED882C-4389-48C9-A1E4-B2CE0F2529A3}"/>
    <cellStyle name="Comma 614 5" xfId="6094" xr:uid="{9F424DBF-6C2F-4A79-BD7A-AA27352C1F0D}"/>
    <cellStyle name="Comma 614 5 2" xfId="16446" xr:uid="{6B63AEA9-0BE3-43A7-84DE-FE57E9AF134E}"/>
    <cellStyle name="Comma 614 6" xfId="11272" xr:uid="{A9D693A3-BC65-4ACE-8742-434E528A0213}"/>
    <cellStyle name="Comma 615" xfId="855" xr:uid="{F7B04A63-285F-4CDC-A87B-6819A7B63758}"/>
    <cellStyle name="Comma 615 2" xfId="1893" xr:uid="{DD496868-7453-4EB2-9827-05FB37C45B98}"/>
    <cellStyle name="Comma 615 2 2" xfId="3951" xr:uid="{5097BF90-56F1-4D79-A084-1DA6B88E054A}"/>
    <cellStyle name="Comma 615 2 2 2" xfId="9184" xr:uid="{D228FD1A-9935-4D0D-8A1D-DC7B93AEEB3D}"/>
    <cellStyle name="Comma 615 2 2 2 2" xfId="19536" xr:uid="{80FBDD11-0516-48FD-A508-AE7B4CFF796D}"/>
    <cellStyle name="Comma 615 2 2 3" xfId="14361" xr:uid="{9A49F06A-57C4-4990-B595-373312F39402}"/>
    <cellStyle name="Comma 615 2 3" xfId="7126" xr:uid="{CD11C99F-78C6-4256-A2A1-ACB07D2F7096}"/>
    <cellStyle name="Comma 615 2 3 2" xfId="17478" xr:uid="{E8AC0020-6E7F-4C02-9DE4-C8C04977D2FB}"/>
    <cellStyle name="Comma 615 2 4" xfId="12303" xr:uid="{33660135-5DED-4A9E-9828-8AFC1EA23271}"/>
    <cellStyle name="Comma 615 3" xfId="2921" xr:uid="{E4007801-4DCB-4B86-87FD-9BDD92405A04}"/>
    <cellStyle name="Comma 615 3 2" xfId="8154" xr:uid="{4655F880-DACE-404B-A8B6-6A198E34AB55}"/>
    <cellStyle name="Comma 615 3 2 2" xfId="18506" xr:uid="{27EDEE9E-90D7-4174-8FF3-CAFBD04E4BB7}"/>
    <cellStyle name="Comma 615 3 3" xfId="13331" xr:uid="{564949C9-9DD3-40B3-8E51-B42DDFB5BB25}"/>
    <cellStyle name="Comma 615 4" xfId="5047" xr:uid="{B4D1A920-70F7-4B05-88AE-F48F3EF54614}"/>
    <cellStyle name="Comma 615 4 2" xfId="10223" xr:uid="{A24495E3-DC2B-4116-8AA7-59B1A928AAED}"/>
    <cellStyle name="Comma 615 4 2 2" xfId="20575" xr:uid="{E2CFDD11-4183-4545-8488-90A9617C9829}"/>
    <cellStyle name="Comma 615 4 3" xfId="15399" xr:uid="{967CCCFA-6404-48C4-B356-46E470098EC3}"/>
    <cellStyle name="Comma 615 5" xfId="6095" xr:uid="{7F57C5D3-D05C-4408-AA39-71FCCF8D9DD0}"/>
    <cellStyle name="Comma 615 5 2" xfId="16447" xr:uid="{8616073E-120D-418F-87C4-2F06FDF34AE2}"/>
    <cellStyle name="Comma 615 6" xfId="11273" xr:uid="{6BBE97DF-2397-4C5C-8604-4E31B84851B0}"/>
    <cellStyle name="Comma 616" xfId="856" xr:uid="{46F031EA-6381-4878-B5D0-666B7C07DBB3}"/>
    <cellStyle name="Comma 616 2" xfId="1894" xr:uid="{B357E784-7D42-4173-96D6-820485C5EFAF}"/>
    <cellStyle name="Comma 616 2 2" xfId="3952" xr:uid="{FE34FD67-9426-4781-95BA-81ECEF3864B8}"/>
    <cellStyle name="Comma 616 2 2 2" xfId="9185" xr:uid="{F352C800-2EB8-4942-B173-D58B3359A585}"/>
    <cellStyle name="Comma 616 2 2 2 2" xfId="19537" xr:uid="{F92E2995-C91F-45F7-965F-FBAEBB072FBA}"/>
    <cellStyle name="Comma 616 2 2 3" xfId="14362" xr:uid="{07BBB688-AB9B-4BAF-946C-93ACBE84D66F}"/>
    <cellStyle name="Comma 616 2 3" xfId="7127" xr:uid="{B7214CA3-C106-4F12-89ED-413E4C930AF2}"/>
    <cellStyle name="Comma 616 2 3 2" xfId="17479" xr:uid="{97883F04-8343-4E8A-87E8-C0779FCEFD69}"/>
    <cellStyle name="Comma 616 2 4" xfId="12304" xr:uid="{6028064C-4BC7-4CDC-86D7-1E353240D545}"/>
    <cellStyle name="Comma 616 3" xfId="2922" xr:uid="{C8C4CBF2-4F55-4D70-B7AE-A65C6F449D19}"/>
    <cellStyle name="Comma 616 3 2" xfId="8155" xr:uid="{18EE85ED-6483-4CB5-9E92-19B97DBF88C9}"/>
    <cellStyle name="Comma 616 3 2 2" xfId="18507" xr:uid="{90229B4A-01BD-432C-9EEE-01440EBD07EA}"/>
    <cellStyle name="Comma 616 3 3" xfId="13332" xr:uid="{851376FB-ADD9-407B-903B-DAF6B0B9A720}"/>
    <cellStyle name="Comma 616 4" xfId="5048" xr:uid="{0269C93E-B248-4226-A047-A63D2B7323B5}"/>
    <cellStyle name="Comma 616 4 2" xfId="10224" xr:uid="{12B9011A-A4CE-4133-814C-7DCF8EFEB76A}"/>
    <cellStyle name="Comma 616 4 2 2" xfId="20576" xr:uid="{A304C68D-EFA4-482B-8A13-302BE77F29C2}"/>
    <cellStyle name="Comma 616 4 3" xfId="15400" xr:uid="{D9866CCF-3450-41D3-B5C9-B54DF983A4B9}"/>
    <cellStyle name="Comma 616 5" xfId="6096" xr:uid="{66FC6CDF-7709-4065-81D7-AAAA08AE3366}"/>
    <cellStyle name="Comma 616 5 2" xfId="16448" xr:uid="{09687922-C9A4-43A5-BEAB-F11DAD771CB5}"/>
    <cellStyle name="Comma 616 6" xfId="11274" xr:uid="{18549CF3-0336-4D5D-B41B-8B8E62E251AE}"/>
    <cellStyle name="Comma 617" xfId="857" xr:uid="{8D960D17-CAE2-4D9E-AC82-529DCB572420}"/>
    <cellStyle name="Comma 617 2" xfId="1895" xr:uid="{495832FA-834C-49EA-94E5-D25CF3A8D1A1}"/>
    <cellStyle name="Comma 617 2 2" xfId="3953" xr:uid="{F025E107-839C-4047-86FD-4423B3D5EB12}"/>
    <cellStyle name="Comma 617 2 2 2" xfId="9186" xr:uid="{5E8BF6FE-B6B7-4A6F-AD91-1D982F2E1EB8}"/>
    <cellStyle name="Comma 617 2 2 2 2" xfId="19538" xr:uid="{E48A4D0C-8C7A-4E97-AB1A-CED659C105D0}"/>
    <cellStyle name="Comma 617 2 2 3" xfId="14363" xr:uid="{A7126F15-1B2C-480A-8101-2B247DF53D2E}"/>
    <cellStyle name="Comma 617 2 3" xfId="7128" xr:uid="{E07FAD49-5804-4082-9C84-5CC159E32E00}"/>
    <cellStyle name="Comma 617 2 3 2" xfId="17480" xr:uid="{35E236E8-BE7C-46ED-AA23-27AF2D28573F}"/>
    <cellStyle name="Comma 617 2 4" xfId="12305" xr:uid="{B269B2E8-D7BB-4413-AF29-1132282449F9}"/>
    <cellStyle name="Comma 617 3" xfId="2923" xr:uid="{50C45E80-487E-46D1-BB47-16853B1FAC9E}"/>
    <cellStyle name="Comma 617 3 2" xfId="8156" xr:uid="{A94B9032-F4B8-4C4C-9B64-D6809BE62686}"/>
    <cellStyle name="Comma 617 3 2 2" xfId="18508" xr:uid="{7F73DD55-66F4-4CBA-BEE6-89EC424C50D5}"/>
    <cellStyle name="Comma 617 3 3" xfId="13333" xr:uid="{DEAB0672-8B8D-4C57-9446-C8BDEF3FDE13}"/>
    <cellStyle name="Comma 617 4" xfId="5049" xr:uid="{82DE6A00-7093-46F9-A737-B87A128D37F5}"/>
    <cellStyle name="Comma 617 4 2" xfId="10225" xr:uid="{930C6B92-94DB-47D0-9367-624D351723EB}"/>
    <cellStyle name="Comma 617 4 2 2" xfId="20577" xr:uid="{93D4DA72-D635-4540-8B3A-631CC0A2F174}"/>
    <cellStyle name="Comma 617 4 3" xfId="15401" xr:uid="{43E65550-10D0-4771-A556-8E5898F17887}"/>
    <cellStyle name="Comma 617 5" xfId="6097" xr:uid="{9805A0B9-DB26-4B39-8AFA-3556065F73C8}"/>
    <cellStyle name="Comma 617 5 2" xfId="16449" xr:uid="{7E9DAFDD-DC70-4E39-AA62-4E1FEA91FED1}"/>
    <cellStyle name="Comma 617 6" xfId="11275" xr:uid="{C9C5C8EF-D797-4270-A244-4EE73E1CF746}"/>
    <cellStyle name="Comma 618" xfId="858" xr:uid="{6A4F2B1C-C5DA-4C1B-85FE-9DD4BBE2878C}"/>
    <cellStyle name="Comma 618 2" xfId="1896" xr:uid="{A2ECEF52-36DE-43BB-9AB8-1BDAA2B6DA76}"/>
    <cellStyle name="Comma 618 2 2" xfId="3954" xr:uid="{184A7241-4C36-40C7-94DF-2F811F938D7E}"/>
    <cellStyle name="Comma 618 2 2 2" xfId="9187" xr:uid="{5B9C822F-D917-4FA7-9CFC-D71105062C30}"/>
    <cellStyle name="Comma 618 2 2 2 2" xfId="19539" xr:uid="{05A35BE0-1D39-4CA5-8143-FE6BE3B8B9FA}"/>
    <cellStyle name="Comma 618 2 2 3" xfId="14364" xr:uid="{76EE39E1-5D68-4EFC-B18A-ADE82B29B7D9}"/>
    <cellStyle name="Comma 618 2 3" xfId="7129" xr:uid="{BE611F6C-8A3B-4ACF-B788-DD07883038A0}"/>
    <cellStyle name="Comma 618 2 3 2" xfId="17481" xr:uid="{A43E9B7C-FCF4-4740-BF78-D03322199FD0}"/>
    <cellStyle name="Comma 618 2 4" xfId="12306" xr:uid="{170E559F-FAA4-4FA2-AEFB-FED420C7FA5E}"/>
    <cellStyle name="Comma 618 3" xfId="2924" xr:uid="{C24061D7-E519-4525-8CD5-7231F954DF07}"/>
    <cellStyle name="Comma 618 3 2" xfId="8157" xr:uid="{67124A8F-36DB-4F24-9BBA-A09F21024973}"/>
    <cellStyle name="Comma 618 3 2 2" xfId="18509" xr:uid="{E9CE1D6F-08C5-4301-A52D-993775CEBDB6}"/>
    <cellStyle name="Comma 618 3 3" xfId="13334" xr:uid="{600D3A1A-1A70-4B5A-9F27-5FB9EDC1A13D}"/>
    <cellStyle name="Comma 618 4" xfId="5050" xr:uid="{4C41F2AC-FD05-4614-A901-88AF4B0D80EC}"/>
    <cellStyle name="Comma 618 4 2" xfId="10226" xr:uid="{DF4A135E-2BE0-4493-9317-5CD9CB11E11C}"/>
    <cellStyle name="Comma 618 4 2 2" xfId="20578" xr:uid="{732C69DE-5222-4E24-B418-4C18A89A6BAA}"/>
    <cellStyle name="Comma 618 4 3" xfId="15402" xr:uid="{F24436BF-C734-4216-AC76-1DA96E3FBE9B}"/>
    <cellStyle name="Comma 618 5" xfId="6098" xr:uid="{1069E6C2-9474-4B94-8917-7192C3DABF2A}"/>
    <cellStyle name="Comma 618 5 2" xfId="16450" xr:uid="{03CAC574-5B86-496A-B5D1-0CF85EC88E58}"/>
    <cellStyle name="Comma 618 6" xfId="11276" xr:uid="{AEE82A4A-F4D2-4244-8B85-66A1CB38CA6E}"/>
    <cellStyle name="Comma 619" xfId="859" xr:uid="{2E75272D-76C8-406C-8E7C-B8B733E70798}"/>
    <cellStyle name="Comma 619 2" xfId="1897" xr:uid="{2675DE5C-FA48-4CDA-A383-F4270BE063F6}"/>
    <cellStyle name="Comma 619 2 2" xfId="3955" xr:uid="{CFA636D5-66B0-4EB7-A253-483FFD75F62F}"/>
    <cellStyle name="Comma 619 2 2 2" xfId="9188" xr:uid="{A32E8870-1EA2-4E15-86A5-CF146FAA2837}"/>
    <cellStyle name="Comma 619 2 2 2 2" xfId="19540" xr:uid="{A62682F0-BB0C-4813-A763-C260F5D9AA36}"/>
    <cellStyle name="Comma 619 2 2 3" xfId="14365" xr:uid="{92B7BF5D-36C4-40E4-88C3-63DED996CFDA}"/>
    <cellStyle name="Comma 619 2 3" xfId="7130" xr:uid="{D54AB5E7-6318-414E-B65A-621691AE5CAD}"/>
    <cellStyle name="Comma 619 2 3 2" xfId="17482" xr:uid="{A8AF63C0-B913-4B18-94E8-968505D1707A}"/>
    <cellStyle name="Comma 619 2 4" xfId="12307" xr:uid="{3FD34314-D420-4057-9FFE-DC6907C5D23E}"/>
    <cellStyle name="Comma 619 3" xfId="2925" xr:uid="{06ACD6C5-3C58-4D25-A036-0AFDAD1D00B9}"/>
    <cellStyle name="Comma 619 3 2" xfId="8158" xr:uid="{DF19ADB7-B313-4921-A3A4-1F3049B970DC}"/>
    <cellStyle name="Comma 619 3 2 2" xfId="18510" xr:uid="{31912E85-2ACB-40F7-939A-56FAB9F2E62D}"/>
    <cellStyle name="Comma 619 3 3" xfId="13335" xr:uid="{14191FAB-8F83-40C3-B686-ED4A1C599D73}"/>
    <cellStyle name="Comma 619 4" xfId="5051" xr:uid="{E196F6C2-7BAD-47D9-A8AE-C994A3E45209}"/>
    <cellStyle name="Comma 619 4 2" xfId="10227" xr:uid="{735AE289-59B3-4BE1-B676-4992557A27F4}"/>
    <cellStyle name="Comma 619 4 2 2" xfId="20579" xr:uid="{F1B4C39D-B842-4844-A6C8-A5C75CCCBEED}"/>
    <cellStyle name="Comma 619 4 3" xfId="15403" xr:uid="{5CA4CE56-49C6-47FC-82FF-A3AB7420140A}"/>
    <cellStyle name="Comma 619 5" xfId="6099" xr:uid="{0A0D8D69-E1CD-4994-8784-819A467A7129}"/>
    <cellStyle name="Comma 619 5 2" xfId="16451" xr:uid="{9D906996-7F29-4BF6-90BA-6289C9632269}"/>
    <cellStyle name="Comma 619 6" xfId="11277" xr:uid="{02BB3D49-4D4F-4641-A343-CC42FD06190E}"/>
    <cellStyle name="Comma 62" xfId="263" xr:uid="{D958420D-F31E-464E-B1F9-BB9FAB82CED9}"/>
    <cellStyle name="Comma 62 2" xfId="1340" xr:uid="{AC05D504-F5E0-4648-8BB9-41BFF82BE255}"/>
    <cellStyle name="Comma 62 2 2" xfId="3398" xr:uid="{841BAA19-6043-479D-8234-05C21850A2D8}"/>
    <cellStyle name="Comma 62 2 2 2" xfId="8631" xr:uid="{C60446C7-2744-45F2-B725-57A44E32927C}"/>
    <cellStyle name="Comma 62 2 2 2 2" xfId="18983" xr:uid="{7335CCDE-43D5-4DEB-88F2-CB75F5EDC71D}"/>
    <cellStyle name="Comma 62 2 2 3" xfId="13808" xr:uid="{CF026E6A-E621-4015-B02C-6CE4A752A943}"/>
    <cellStyle name="Comma 62 2 3" xfId="6573" xr:uid="{7F01C8BC-B73F-471F-9BF7-2540284699E3}"/>
    <cellStyle name="Comma 62 2 3 2" xfId="16925" xr:uid="{5EED824D-D103-4100-B54D-0843CB10B3B2}"/>
    <cellStyle name="Comma 62 2 4" xfId="11750" xr:uid="{08DA43BB-E5ED-40E1-B996-6D906CAB9644}"/>
    <cellStyle name="Comma 62 3" xfId="2368" xr:uid="{2A3C2847-929E-48A4-A544-608747B2974D}"/>
    <cellStyle name="Comma 62 3 2" xfId="7601" xr:uid="{E6EB0E0F-AC29-44B0-9C07-A998E1816196}"/>
    <cellStyle name="Comma 62 3 2 2" xfId="17953" xr:uid="{3041B911-D48E-4965-B8A4-23EF36681412}"/>
    <cellStyle name="Comma 62 3 3" xfId="12778" xr:uid="{86C6F523-DF4A-437C-A090-F8FBC05DA46F}"/>
    <cellStyle name="Comma 62 4" xfId="4494" xr:uid="{99DFA02A-FA37-4176-8E4A-A9EBD4A68DEE}"/>
    <cellStyle name="Comma 62 4 2" xfId="9670" xr:uid="{EABD13CC-18FD-4EF1-8879-6CCCA7EB8B95}"/>
    <cellStyle name="Comma 62 4 2 2" xfId="20022" xr:uid="{8A3FB160-1892-4C5A-8D60-566D6AB220A9}"/>
    <cellStyle name="Comma 62 4 3" xfId="14846" xr:uid="{5A54AEAF-8529-43FA-BD4C-355766B97139}"/>
    <cellStyle name="Comma 62 5" xfId="5542" xr:uid="{BB50F2C7-BFC7-4E65-9924-46942C925078}"/>
    <cellStyle name="Comma 62 5 2" xfId="15894" xr:uid="{94F577D6-81F5-466A-8F8D-7267C3DADBA6}"/>
    <cellStyle name="Comma 62 6" xfId="10720" xr:uid="{EC47E6E8-C7E5-44ED-BE0B-F26D53672ED2}"/>
    <cellStyle name="Comma 620" xfId="860" xr:uid="{628101E7-E4E5-41A7-BF19-AB0A2BA43A50}"/>
    <cellStyle name="Comma 620 2" xfId="1898" xr:uid="{BFF5CF01-BF73-455A-A6EF-3E68F72A7A59}"/>
    <cellStyle name="Comma 620 2 2" xfId="3956" xr:uid="{60E216FE-B2FB-437B-A2A2-6970DB58328D}"/>
    <cellStyle name="Comma 620 2 2 2" xfId="9189" xr:uid="{E0C716F7-6084-4795-AC9A-EC0DE342FAEB}"/>
    <cellStyle name="Comma 620 2 2 2 2" xfId="19541" xr:uid="{2CFE7E01-7237-4093-B7AF-77BF85B08EEC}"/>
    <cellStyle name="Comma 620 2 2 3" xfId="14366" xr:uid="{504FAE41-C4E2-4829-9700-739D430ABDE6}"/>
    <cellStyle name="Comma 620 2 3" xfId="7131" xr:uid="{53B892FE-A8FC-42B1-BCA8-89D409FB7DA8}"/>
    <cellStyle name="Comma 620 2 3 2" xfId="17483" xr:uid="{E960B315-D434-45AF-A859-C441FE6F091B}"/>
    <cellStyle name="Comma 620 2 4" xfId="12308" xr:uid="{4072C684-A750-47BA-80CD-94C5C77B214E}"/>
    <cellStyle name="Comma 620 3" xfId="2926" xr:uid="{1A727141-502F-448A-B2A9-E7B62FBDC8F4}"/>
    <cellStyle name="Comma 620 3 2" xfId="8159" xr:uid="{84F2CD97-A5F1-40A5-85EF-6C1ADF85B133}"/>
    <cellStyle name="Comma 620 3 2 2" xfId="18511" xr:uid="{27CCD6A6-F9BA-413D-8C96-ECE3FD19BF16}"/>
    <cellStyle name="Comma 620 3 3" xfId="13336" xr:uid="{44340120-6E52-4BF1-9F90-B7D2CDC2221B}"/>
    <cellStyle name="Comma 620 4" xfId="5052" xr:uid="{A69F2BB7-020C-4A2D-8AB0-F91306A2B7B3}"/>
    <cellStyle name="Comma 620 4 2" xfId="10228" xr:uid="{A1395AD6-82C0-4517-8A65-C90CAFACC482}"/>
    <cellStyle name="Comma 620 4 2 2" xfId="20580" xr:uid="{DBBC6EEB-ED49-494C-9036-124B46946851}"/>
    <cellStyle name="Comma 620 4 3" xfId="15404" xr:uid="{0E0925D1-DE21-4FCF-9FE2-B1265EDD903B}"/>
    <cellStyle name="Comma 620 5" xfId="6100" xr:uid="{E031DA89-9B5E-484B-A071-98590362286A}"/>
    <cellStyle name="Comma 620 5 2" xfId="16452" xr:uid="{4F1CC30F-D1FC-4BBC-AB4E-E9B09DE6C39B}"/>
    <cellStyle name="Comma 620 6" xfId="11278" xr:uid="{9D15F42E-EE31-4854-9874-5A77665558D4}"/>
    <cellStyle name="Comma 621" xfId="861" xr:uid="{3345AF4F-E8C7-4C70-8B4C-9C759D86C601}"/>
    <cellStyle name="Comma 621 2" xfId="1899" xr:uid="{9527B947-609B-4DDE-94B1-A705354526EB}"/>
    <cellStyle name="Comma 621 2 2" xfId="3957" xr:uid="{3D7D904F-3D87-4407-BE54-65938625A947}"/>
    <cellStyle name="Comma 621 2 2 2" xfId="9190" xr:uid="{468BA3B2-AF9F-4E63-BC14-31E95A2E8715}"/>
    <cellStyle name="Comma 621 2 2 2 2" xfId="19542" xr:uid="{D0FE0134-513B-42BF-AD01-BA06CBDCC08F}"/>
    <cellStyle name="Comma 621 2 2 3" xfId="14367" xr:uid="{E751858C-EB09-45BF-B294-AC8A7A1782B8}"/>
    <cellStyle name="Comma 621 2 3" xfId="7132" xr:uid="{4BA2ED27-3830-40BE-9C25-74B6B008D2A0}"/>
    <cellStyle name="Comma 621 2 3 2" xfId="17484" xr:uid="{D7D7CB28-76C8-488A-BEBF-391572ADFF1D}"/>
    <cellStyle name="Comma 621 2 4" xfId="12309" xr:uid="{E9333AA4-3466-4C00-BA34-0C1995860291}"/>
    <cellStyle name="Comma 621 3" xfId="2927" xr:uid="{AF84FEDD-0563-435F-9754-90444100E308}"/>
    <cellStyle name="Comma 621 3 2" xfId="8160" xr:uid="{14EA797C-D393-477B-A2C5-082CDC6FBD52}"/>
    <cellStyle name="Comma 621 3 2 2" xfId="18512" xr:uid="{198FBBD7-9123-42E8-AC66-B48F82C9F4BA}"/>
    <cellStyle name="Comma 621 3 3" xfId="13337" xr:uid="{7FF12D47-C373-49D7-B3C7-EFC9E1FFEBFA}"/>
    <cellStyle name="Comma 621 4" xfId="5053" xr:uid="{D37106E2-DA64-44AC-8D2B-863F35743662}"/>
    <cellStyle name="Comma 621 4 2" xfId="10229" xr:uid="{2EC0855E-1FB2-4B38-97DE-D43C79C6F604}"/>
    <cellStyle name="Comma 621 4 2 2" xfId="20581" xr:uid="{CA462D1C-15BC-4E0F-89B8-0BEAD5C3517A}"/>
    <cellStyle name="Comma 621 4 3" xfId="15405" xr:uid="{92AF9021-9CA5-446B-9D83-03D99362E1BF}"/>
    <cellStyle name="Comma 621 5" xfId="6101" xr:uid="{5C9A6F87-395C-4CA2-B072-DC74D006C3F7}"/>
    <cellStyle name="Comma 621 5 2" xfId="16453" xr:uid="{A22754F8-B338-4856-9361-3DB95C5C5440}"/>
    <cellStyle name="Comma 621 6" xfId="11279" xr:uid="{1FDE9704-80AE-4E8C-8B52-355CA64119EE}"/>
    <cellStyle name="Comma 622" xfId="862" xr:uid="{5D4F8F71-4BCB-4A45-8BCB-87D885BAB40F}"/>
    <cellStyle name="Comma 622 2" xfId="1900" xr:uid="{AC86AAB0-9DEF-4762-B941-ED1497530235}"/>
    <cellStyle name="Comma 622 2 2" xfId="3958" xr:uid="{46189A14-79BA-42AD-804B-DBF94B41CE2E}"/>
    <cellStyle name="Comma 622 2 2 2" xfId="9191" xr:uid="{8978D8CD-464B-48EA-B4D2-973A5FFB1190}"/>
    <cellStyle name="Comma 622 2 2 2 2" xfId="19543" xr:uid="{D424A036-96E5-436A-8A01-18BE7245453C}"/>
    <cellStyle name="Comma 622 2 2 3" xfId="14368" xr:uid="{D0421D2D-690C-4557-B2A8-C3D5908D5EB2}"/>
    <cellStyle name="Comma 622 2 3" xfId="7133" xr:uid="{6B2432AA-91D8-402B-BC93-854B451E5645}"/>
    <cellStyle name="Comma 622 2 3 2" xfId="17485" xr:uid="{E2161D04-D42D-4AE0-97C2-4ABA56FAE452}"/>
    <cellStyle name="Comma 622 2 4" xfId="12310" xr:uid="{2A31CC54-A6F3-42B6-BB65-73F2A6C90CFC}"/>
    <cellStyle name="Comma 622 3" xfId="2928" xr:uid="{5AB828A2-A659-4ADA-9C01-A64FA91E677B}"/>
    <cellStyle name="Comma 622 3 2" xfId="8161" xr:uid="{EEDDF8EB-56AA-46ED-9D16-123A8D57C69A}"/>
    <cellStyle name="Comma 622 3 2 2" xfId="18513" xr:uid="{F99CC018-7CB6-4774-880A-C1539D376128}"/>
    <cellStyle name="Comma 622 3 3" xfId="13338" xr:uid="{72F651EB-4875-4836-81ED-B954ACA5CA47}"/>
    <cellStyle name="Comma 622 4" xfId="5054" xr:uid="{5E47752A-43FE-463E-BE30-F3592FFBE628}"/>
    <cellStyle name="Comma 622 4 2" xfId="10230" xr:uid="{55438293-A5CB-4256-8427-C0E112A11768}"/>
    <cellStyle name="Comma 622 4 2 2" xfId="20582" xr:uid="{321A1C53-3995-4498-8ABF-16F0B59F46DB}"/>
    <cellStyle name="Comma 622 4 3" xfId="15406" xr:uid="{2D3EFAAC-09FE-40AF-8548-91C19C205AE7}"/>
    <cellStyle name="Comma 622 5" xfId="6102" xr:uid="{85D6B459-AA38-4B3E-815E-53BD7F85F8AC}"/>
    <cellStyle name="Comma 622 5 2" xfId="16454" xr:uid="{BA748BFA-FB4E-4EE9-959B-4A75D1A9914B}"/>
    <cellStyle name="Comma 622 6" xfId="11280" xr:uid="{2D5616EC-FE56-41DF-9B09-603FA13C4066}"/>
    <cellStyle name="Comma 623" xfId="863" xr:uid="{CFE8AB84-CF64-42B1-9E04-17539827338A}"/>
    <cellStyle name="Comma 623 2" xfId="1901" xr:uid="{6A709C4E-291C-4635-911A-7A564CCC6FFD}"/>
    <cellStyle name="Comma 623 2 2" xfId="3959" xr:uid="{088D9797-F2CF-4125-AC3C-8D9982CF0759}"/>
    <cellStyle name="Comma 623 2 2 2" xfId="9192" xr:uid="{94FEFB8E-9695-462D-8D47-0A60B30D411A}"/>
    <cellStyle name="Comma 623 2 2 2 2" xfId="19544" xr:uid="{CF8470C9-9F7C-4E3C-928E-6A12C88677C1}"/>
    <cellStyle name="Comma 623 2 2 3" xfId="14369" xr:uid="{476BE770-76BA-4DAF-B94E-353A86BB2EAF}"/>
    <cellStyle name="Comma 623 2 3" xfId="7134" xr:uid="{D13EA485-B0DE-47E4-870A-7C294965BDCF}"/>
    <cellStyle name="Comma 623 2 3 2" xfId="17486" xr:uid="{A3825D5C-6C3E-4F60-87FD-CEF0B3C290D6}"/>
    <cellStyle name="Comma 623 2 4" xfId="12311" xr:uid="{2769C93E-C64E-4B1B-A54C-84AC2D86CCE3}"/>
    <cellStyle name="Comma 623 3" xfId="2929" xr:uid="{266FCBC0-994F-418C-ACF0-95CA43D1AFF5}"/>
    <cellStyle name="Comma 623 3 2" xfId="8162" xr:uid="{40F03C3F-8348-4CB8-94A0-AA969A5A1BA0}"/>
    <cellStyle name="Comma 623 3 2 2" xfId="18514" xr:uid="{6F8EDB7A-A653-4248-9B8C-35455B2811FF}"/>
    <cellStyle name="Comma 623 3 3" xfId="13339" xr:uid="{0DB803AE-511E-4429-9015-05305B821D7E}"/>
    <cellStyle name="Comma 623 4" xfId="5055" xr:uid="{EB0BF4EF-5A29-42BF-BEB4-99E6F3AC37A6}"/>
    <cellStyle name="Comma 623 4 2" xfId="10231" xr:uid="{FACCDD74-8F3E-485D-ACAE-20F847014F9B}"/>
    <cellStyle name="Comma 623 4 2 2" xfId="20583" xr:uid="{6AB785BB-350F-432C-9244-DFCB9939BA6F}"/>
    <cellStyle name="Comma 623 4 3" xfId="15407" xr:uid="{6782B02B-54F0-457F-9657-FDB70533799A}"/>
    <cellStyle name="Comma 623 5" xfId="6103" xr:uid="{1FAE7F35-CCD9-4BF7-94DF-57210F7163C4}"/>
    <cellStyle name="Comma 623 5 2" xfId="16455" xr:uid="{CA6E8591-26B8-4EB9-9F2D-12E6AD6B29C7}"/>
    <cellStyle name="Comma 623 6" xfId="11281" xr:uid="{55692D3D-9DE6-47BB-B3B3-17D917C68049}"/>
    <cellStyle name="Comma 624" xfId="864" xr:uid="{5FD02CEF-380A-432F-AB88-457ED77A14B9}"/>
    <cellStyle name="Comma 624 2" xfId="1902" xr:uid="{8839EB73-F405-44B1-B6F6-1DC42B8FE79E}"/>
    <cellStyle name="Comma 624 2 2" xfId="3960" xr:uid="{18F54A89-6F67-446C-97EC-993859D80A43}"/>
    <cellStyle name="Comma 624 2 2 2" xfId="9193" xr:uid="{AB94F6A4-FA40-4FDC-A9B9-5CD8EE3D2A0E}"/>
    <cellStyle name="Comma 624 2 2 2 2" xfId="19545" xr:uid="{FD76FC8B-95B2-4140-9736-C1261B2D71DD}"/>
    <cellStyle name="Comma 624 2 2 3" xfId="14370" xr:uid="{59463CBD-FFD0-48E0-86CE-60A36AF55C99}"/>
    <cellStyle name="Comma 624 2 3" xfId="7135" xr:uid="{0EF71622-6E05-4554-A1C6-26B636BE6224}"/>
    <cellStyle name="Comma 624 2 3 2" xfId="17487" xr:uid="{7A8A295E-5EBE-42D4-8F5E-A7822939EED6}"/>
    <cellStyle name="Comma 624 2 4" xfId="12312" xr:uid="{ED901AD7-A07B-4945-A5E1-189A8C3E1F79}"/>
    <cellStyle name="Comma 624 3" xfId="2930" xr:uid="{989B557B-272A-4ED2-86A8-A8B02C6E003C}"/>
    <cellStyle name="Comma 624 3 2" xfId="8163" xr:uid="{BEE45C46-7B24-492D-B3B5-B5BE15735A96}"/>
    <cellStyle name="Comma 624 3 2 2" xfId="18515" xr:uid="{82BD9A21-48D5-4ABC-9304-313CF3E35EB4}"/>
    <cellStyle name="Comma 624 3 3" xfId="13340" xr:uid="{E43BCC63-F0F5-4B6A-A31E-CA9CC867FFA7}"/>
    <cellStyle name="Comma 624 4" xfId="5056" xr:uid="{9ABFD037-EE8D-4C87-AD87-8E76322B6782}"/>
    <cellStyle name="Comma 624 4 2" xfId="10232" xr:uid="{4828E962-E784-4A47-ACD1-86B2E3CE5033}"/>
    <cellStyle name="Comma 624 4 2 2" xfId="20584" xr:uid="{7062E7AA-547E-40D6-90BC-A17840E84529}"/>
    <cellStyle name="Comma 624 4 3" xfId="15408" xr:uid="{4E3C6D27-D344-438E-BC3F-6F94459C9ADC}"/>
    <cellStyle name="Comma 624 5" xfId="6104" xr:uid="{30E81D6C-556B-4BA0-B67A-2BEF4545A815}"/>
    <cellStyle name="Comma 624 5 2" xfId="16456" xr:uid="{DBB2EE72-5AFB-404C-888B-BF0BC29F7DBF}"/>
    <cellStyle name="Comma 624 6" xfId="11282" xr:uid="{90796C17-8C6F-4ABD-9C15-C734FE1E5A24}"/>
    <cellStyle name="Comma 625" xfId="865" xr:uid="{AF3EE04B-0BAC-491A-BC74-414A2DFD93C2}"/>
    <cellStyle name="Comma 625 2" xfId="1903" xr:uid="{19E750F5-0481-4D83-8B78-F97333095776}"/>
    <cellStyle name="Comma 625 2 2" xfId="3961" xr:uid="{55ACD2A5-32CD-45AA-9103-F8FC0A602C8F}"/>
    <cellStyle name="Comma 625 2 2 2" xfId="9194" xr:uid="{BF13CEEA-8C1E-45A7-88AC-F8C6288AD1B1}"/>
    <cellStyle name="Comma 625 2 2 2 2" xfId="19546" xr:uid="{D0D477E1-0CA0-4498-918B-0475D0596A50}"/>
    <cellStyle name="Comma 625 2 2 3" xfId="14371" xr:uid="{38F1C3FC-B710-487E-AA39-A7E52CB3FA68}"/>
    <cellStyle name="Comma 625 2 3" xfId="7136" xr:uid="{C0E7190C-6ACE-4545-A18E-6A11770565EC}"/>
    <cellStyle name="Comma 625 2 3 2" xfId="17488" xr:uid="{9F96BF0B-EBF0-4CB9-A6E6-64FBF3A2905D}"/>
    <cellStyle name="Comma 625 2 4" xfId="12313" xr:uid="{F35B696E-B9F5-4DC1-9274-276875155333}"/>
    <cellStyle name="Comma 625 3" xfId="2931" xr:uid="{D19ADAB3-B6F2-4737-B003-1F85D133C693}"/>
    <cellStyle name="Comma 625 3 2" xfId="8164" xr:uid="{07734AFD-8107-4920-8041-B7B8489ABED9}"/>
    <cellStyle name="Comma 625 3 2 2" xfId="18516" xr:uid="{F11FB576-345B-44C8-ABBE-3119A5ABD379}"/>
    <cellStyle name="Comma 625 3 3" xfId="13341" xr:uid="{6CCA7FC7-5392-438D-9FCB-8B3E22D548BC}"/>
    <cellStyle name="Comma 625 4" xfId="5057" xr:uid="{F8F3DF8B-CCB3-4E49-A46F-E9109508F320}"/>
    <cellStyle name="Comma 625 4 2" xfId="10233" xr:uid="{A02EC53C-1E7E-45C6-A224-8C0250A0E6C5}"/>
    <cellStyle name="Comma 625 4 2 2" xfId="20585" xr:uid="{490EE559-90E6-4202-B6F3-659076A1FC7B}"/>
    <cellStyle name="Comma 625 4 3" xfId="15409" xr:uid="{80C294DE-713E-47BF-B9EA-1DEA249B5BC5}"/>
    <cellStyle name="Comma 625 5" xfId="6105" xr:uid="{05561FDC-3CEA-4734-84D7-3C41FFD87B39}"/>
    <cellStyle name="Comma 625 5 2" xfId="16457" xr:uid="{2BAF6454-19C9-4BD6-8463-4DB4637BBB84}"/>
    <cellStyle name="Comma 625 6" xfId="11283" xr:uid="{BCA9B44A-4938-4570-ABD6-1A8EE58AA119}"/>
    <cellStyle name="Comma 626" xfId="866" xr:uid="{4DC1F3AC-2431-49B0-B97A-B0554DF9C68A}"/>
    <cellStyle name="Comma 626 2" xfId="1904" xr:uid="{AAEC50B7-1BEA-4AA7-BEDE-53FC53AFF8DE}"/>
    <cellStyle name="Comma 626 2 2" xfId="3962" xr:uid="{1DDEEA70-DC60-49CC-ABD5-F1929A488362}"/>
    <cellStyle name="Comma 626 2 2 2" xfId="9195" xr:uid="{B2C68A3D-DD75-43A1-8B73-7863A070AF6C}"/>
    <cellStyle name="Comma 626 2 2 2 2" xfId="19547" xr:uid="{4E8F98A9-15BD-4A80-8A43-79D2964B18FA}"/>
    <cellStyle name="Comma 626 2 2 3" xfId="14372" xr:uid="{5A30118A-D3E2-40F8-A303-12D86F6594FE}"/>
    <cellStyle name="Comma 626 2 3" xfId="7137" xr:uid="{14D1F3A1-174C-429D-8FF3-6DACBFA67EF0}"/>
    <cellStyle name="Comma 626 2 3 2" xfId="17489" xr:uid="{F12F1FBA-8AD9-4A74-9AD7-BB6763AE9A77}"/>
    <cellStyle name="Comma 626 2 4" xfId="12314" xr:uid="{C5895598-B6D2-48E6-A5F6-5E623896D17D}"/>
    <cellStyle name="Comma 626 3" xfId="2932" xr:uid="{3624F5C5-4407-4EE4-A497-B1CCEC7C582E}"/>
    <cellStyle name="Comma 626 3 2" xfId="8165" xr:uid="{AAD411B0-FA7B-4A5B-BDF7-8866733BD3F6}"/>
    <cellStyle name="Comma 626 3 2 2" xfId="18517" xr:uid="{C42643C6-EE57-44D1-9816-F514572EE013}"/>
    <cellStyle name="Comma 626 3 3" xfId="13342" xr:uid="{C2207422-08A2-4CA4-B465-DA785EA6307F}"/>
    <cellStyle name="Comma 626 4" xfId="5058" xr:uid="{818CF6E9-26B6-4715-8A4C-F5B104E3D244}"/>
    <cellStyle name="Comma 626 4 2" xfId="10234" xr:uid="{0F8460ED-567A-46B8-AE20-216B08D11FF8}"/>
    <cellStyle name="Comma 626 4 2 2" xfId="20586" xr:uid="{404B0AC8-949E-4468-A5C3-01129D15EB84}"/>
    <cellStyle name="Comma 626 4 3" xfId="15410" xr:uid="{E44537F0-217F-4127-AD73-B21A5C00FE20}"/>
    <cellStyle name="Comma 626 5" xfId="6106" xr:uid="{017D8D65-72FB-4B1D-8157-B679A629776F}"/>
    <cellStyle name="Comma 626 5 2" xfId="16458" xr:uid="{C3048210-AEEE-40EE-B2F0-3F10C36134FD}"/>
    <cellStyle name="Comma 626 6" xfId="11284" xr:uid="{C92DF3E9-FE39-4F03-B841-447732EEAA87}"/>
    <cellStyle name="Comma 627" xfId="867" xr:uid="{A3EF553D-F61A-4586-A36E-C698AA1BC8CF}"/>
    <cellStyle name="Comma 627 2" xfId="1905" xr:uid="{6CFD0819-78EB-40EC-B48B-91C37946B316}"/>
    <cellStyle name="Comma 627 2 2" xfId="3963" xr:uid="{98AA48DB-48A5-4DB3-9DF9-9CB482F23D80}"/>
    <cellStyle name="Comma 627 2 2 2" xfId="9196" xr:uid="{3EE81154-B76C-4D4C-B8AF-237A6EC0E9FB}"/>
    <cellStyle name="Comma 627 2 2 2 2" xfId="19548" xr:uid="{35BCFBA9-C2C7-4C8E-84A7-C2C756D6CB8F}"/>
    <cellStyle name="Comma 627 2 2 3" xfId="14373" xr:uid="{849D7033-E869-4121-9B60-139430249D37}"/>
    <cellStyle name="Comma 627 2 3" xfId="7138" xr:uid="{5838714F-EDFB-4CC5-9BAE-CB9E928DB180}"/>
    <cellStyle name="Comma 627 2 3 2" xfId="17490" xr:uid="{5D8AA9FA-655F-484E-B2FE-7CD18BB28E16}"/>
    <cellStyle name="Comma 627 2 4" xfId="12315" xr:uid="{5324D53E-315C-46A3-9E9D-133D41456B9E}"/>
    <cellStyle name="Comma 627 3" xfId="2933" xr:uid="{27C88B99-A32B-4A0B-9205-A4BF15EA3C35}"/>
    <cellStyle name="Comma 627 3 2" xfId="8166" xr:uid="{AC6B5C08-E71E-473D-B53D-8E0AEEB19608}"/>
    <cellStyle name="Comma 627 3 2 2" xfId="18518" xr:uid="{8822FA8A-682E-443D-9D39-0C2E54B832E0}"/>
    <cellStyle name="Comma 627 3 3" xfId="13343" xr:uid="{B7300F48-F2FE-489F-A0BA-5814D36DFAC2}"/>
    <cellStyle name="Comma 627 4" xfId="5059" xr:uid="{D15A22A8-CA91-49FC-88F9-B30178862F52}"/>
    <cellStyle name="Comma 627 4 2" xfId="10235" xr:uid="{FDBA1112-205C-49D2-A66B-9244F344A02A}"/>
    <cellStyle name="Comma 627 4 2 2" xfId="20587" xr:uid="{B47B22B2-E0F1-40BB-9495-700949E0C569}"/>
    <cellStyle name="Comma 627 4 3" xfId="15411" xr:uid="{51FB533E-0054-4B19-AE68-CE96898F46FC}"/>
    <cellStyle name="Comma 627 5" xfId="6107" xr:uid="{7B1E7B65-F9F0-4898-99D6-7C01812C8FA2}"/>
    <cellStyle name="Comma 627 5 2" xfId="16459" xr:uid="{06010733-2909-4D91-AA59-F778662DEC81}"/>
    <cellStyle name="Comma 627 6" xfId="11285" xr:uid="{3FCD920C-4CE3-4A87-B096-D0828C0D3C36}"/>
    <cellStyle name="Comma 628" xfId="868" xr:uid="{B9FA9BCE-983F-4FB1-AAFD-C9721AD10421}"/>
    <cellStyle name="Comma 628 2" xfId="1906" xr:uid="{3F98441F-D6E0-4EDC-813F-09E54F7CC035}"/>
    <cellStyle name="Comma 628 2 2" xfId="3964" xr:uid="{9185F834-C08F-4278-9508-9DD1EC01CDD4}"/>
    <cellStyle name="Comma 628 2 2 2" xfId="9197" xr:uid="{682A95E7-4963-4AB0-993F-7FE73520994A}"/>
    <cellStyle name="Comma 628 2 2 2 2" xfId="19549" xr:uid="{0BA89BA7-D4A9-4399-8C3C-D93CF149BDE9}"/>
    <cellStyle name="Comma 628 2 2 3" xfId="14374" xr:uid="{C573A269-DC64-4479-A090-794DF189619A}"/>
    <cellStyle name="Comma 628 2 3" xfId="7139" xr:uid="{888D2C56-C336-4755-B553-FC9EC7732760}"/>
    <cellStyle name="Comma 628 2 3 2" xfId="17491" xr:uid="{1B22058D-130C-4BC1-9E5F-8929A2E151B3}"/>
    <cellStyle name="Comma 628 2 4" xfId="12316" xr:uid="{B0CD55FA-3CA6-40D3-81DF-DF2E2139EA09}"/>
    <cellStyle name="Comma 628 3" xfId="2934" xr:uid="{C5B52775-D6C7-4D94-BF72-9F04CABDB2CC}"/>
    <cellStyle name="Comma 628 3 2" xfId="8167" xr:uid="{5E7F550C-6EEB-4AE8-A103-B3137289BACB}"/>
    <cellStyle name="Comma 628 3 2 2" xfId="18519" xr:uid="{B3CDAC1B-82D3-4B3D-8FCF-E435482E1548}"/>
    <cellStyle name="Comma 628 3 3" xfId="13344" xr:uid="{A2340A3B-8EDB-4CD6-AAFC-BAC6C0F896EF}"/>
    <cellStyle name="Comma 628 4" xfId="5060" xr:uid="{44FF20AD-B4A1-4489-9A18-4CA114E227DB}"/>
    <cellStyle name="Comma 628 4 2" xfId="10236" xr:uid="{E8B1016A-0397-463D-B4AD-9AB0AC8ED7B8}"/>
    <cellStyle name="Comma 628 4 2 2" xfId="20588" xr:uid="{1DC5851E-E9BF-4A8C-83D4-E0254F8F35BB}"/>
    <cellStyle name="Comma 628 4 3" xfId="15412" xr:uid="{1DEC3656-B429-46B6-8F6A-3FE653AA3545}"/>
    <cellStyle name="Comma 628 5" xfId="6108" xr:uid="{E0A574FE-6183-4AD0-B239-785DE1B57201}"/>
    <cellStyle name="Comma 628 5 2" xfId="16460" xr:uid="{9133A444-FECC-4CF9-995A-1B07441AB424}"/>
    <cellStyle name="Comma 628 6" xfId="11286" xr:uid="{214A184E-9674-41E1-B6EA-DDFB0664EA5D}"/>
    <cellStyle name="Comma 629" xfId="869" xr:uid="{030C46E9-4829-4B9F-A98A-4BCD93466A23}"/>
    <cellStyle name="Comma 629 2" xfId="1907" xr:uid="{2B48B6C2-1406-4697-91B3-A8F2C3881B09}"/>
    <cellStyle name="Comma 629 2 2" xfId="3965" xr:uid="{6E725B78-F74B-497E-BBC3-0F4187A589B8}"/>
    <cellStyle name="Comma 629 2 2 2" xfId="9198" xr:uid="{E310D581-F6F3-421F-BDC9-1A9E0979DC4B}"/>
    <cellStyle name="Comma 629 2 2 2 2" xfId="19550" xr:uid="{11D31F98-99B3-4C52-8ADE-8929A64A0080}"/>
    <cellStyle name="Comma 629 2 2 3" xfId="14375" xr:uid="{E16CD62C-64BF-4166-B029-E905869DF1C3}"/>
    <cellStyle name="Comma 629 2 3" xfId="7140" xr:uid="{41F7BA19-414C-477E-A6DB-930D8BBFD271}"/>
    <cellStyle name="Comma 629 2 3 2" xfId="17492" xr:uid="{599F0759-D0AC-4148-B997-72D769643529}"/>
    <cellStyle name="Comma 629 2 4" xfId="12317" xr:uid="{800232CD-A03A-46D2-8593-58ED171099D6}"/>
    <cellStyle name="Comma 629 3" xfId="2935" xr:uid="{635C7844-B1BD-47A6-9728-603BAE718BE9}"/>
    <cellStyle name="Comma 629 3 2" xfId="8168" xr:uid="{272670FF-D3DC-4EE6-B385-F2E3CDC3FB17}"/>
    <cellStyle name="Comma 629 3 2 2" xfId="18520" xr:uid="{56260207-F3A2-46C6-9DF9-9635ABBDEB11}"/>
    <cellStyle name="Comma 629 3 3" xfId="13345" xr:uid="{A7A714B0-CBD1-4B81-B094-33C0EEA367A6}"/>
    <cellStyle name="Comma 629 4" xfId="5061" xr:uid="{5646DC56-8160-45A8-8338-B04D2ED9F592}"/>
    <cellStyle name="Comma 629 4 2" xfId="10237" xr:uid="{E008308C-5F23-4486-9E69-B5D7AF315BED}"/>
    <cellStyle name="Comma 629 4 2 2" xfId="20589" xr:uid="{0ADC91A5-7D7B-468D-832D-0EC9BB700515}"/>
    <cellStyle name="Comma 629 4 3" xfId="15413" xr:uid="{075AB7C6-E601-4183-B09D-F01F919DE1A6}"/>
    <cellStyle name="Comma 629 5" xfId="6109" xr:uid="{0228E0F5-C3E2-48A3-9FD4-94EF9F1F9E24}"/>
    <cellStyle name="Comma 629 5 2" xfId="16461" xr:uid="{4C399CFC-4366-4406-9B3E-6E19E894BAD0}"/>
    <cellStyle name="Comma 629 6" xfId="11287" xr:uid="{15593CFF-395C-47C2-BE18-0B46B48F54DC}"/>
    <cellStyle name="Comma 63" xfId="264" xr:uid="{8FD3EB95-802A-45D5-82B6-BB8E238BEC05}"/>
    <cellStyle name="Comma 63 2" xfId="1341" xr:uid="{D6079E74-F9F2-4347-8466-09A9E34DA856}"/>
    <cellStyle name="Comma 63 2 2" xfId="3399" xr:uid="{0A212C7D-F574-4DEE-9AB7-36732B53B0FA}"/>
    <cellStyle name="Comma 63 2 2 2" xfId="8632" xr:uid="{9651160E-FA8A-41EF-B9ED-E076BBEB6D59}"/>
    <cellStyle name="Comma 63 2 2 2 2" xfId="18984" xr:uid="{A3E008B9-0586-4577-9E19-04C9BFB3EF99}"/>
    <cellStyle name="Comma 63 2 2 3" xfId="13809" xr:uid="{71E0EAEA-FEF5-4CDD-B195-8B3ED9AF732C}"/>
    <cellStyle name="Comma 63 2 3" xfId="6574" xr:uid="{995FBA47-B9FE-4CB9-AD88-C5EC2A617D8F}"/>
    <cellStyle name="Comma 63 2 3 2" xfId="16926" xr:uid="{56AC0706-9478-4ADE-802A-B497E353B30B}"/>
    <cellStyle name="Comma 63 2 4" xfId="11751" xr:uid="{2B7E4081-D312-4C98-B9FB-0A2BF22858E6}"/>
    <cellStyle name="Comma 63 3" xfId="2369" xr:uid="{CEE86877-441B-4E16-A5B0-AF517CF828EC}"/>
    <cellStyle name="Comma 63 3 2" xfId="7602" xr:uid="{27BA841F-1DF7-4949-AB93-54B3ACB88254}"/>
    <cellStyle name="Comma 63 3 2 2" xfId="17954" xr:uid="{42978C22-A36F-4A8B-80E8-01E326D56F79}"/>
    <cellStyle name="Comma 63 3 3" xfId="12779" xr:uid="{0E89AC95-8BB4-4E80-8897-666C3A18DC3B}"/>
    <cellStyle name="Comma 63 4" xfId="4495" xr:uid="{3DC5B3D6-E4C3-4242-99B1-EA4AFF792392}"/>
    <cellStyle name="Comma 63 4 2" xfId="9671" xr:uid="{0BB2B40E-1D66-4FA1-808C-8E79751D78A8}"/>
    <cellStyle name="Comma 63 4 2 2" xfId="20023" xr:uid="{4B77C5F5-05A7-4B20-92FE-64C0986BBAD5}"/>
    <cellStyle name="Comma 63 4 3" xfId="14847" xr:uid="{9CCCE7E0-85F3-4A05-B55C-4C4337DEC7F0}"/>
    <cellStyle name="Comma 63 5" xfId="5543" xr:uid="{BC40DE9A-E2E6-4B4E-82BA-367BF41311C6}"/>
    <cellStyle name="Comma 63 5 2" xfId="15895" xr:uid="{8C54142E-49F8-4EDC-83D0-35604ADE0055}"/>
    <cellStyle name="Comma 63 6" xfId="10721" xr:uid="{266B2977-F657-4153-807D-8A9994A6756C}"/>
    <cellStyle name="Comma 630" xfId="870" xr:uid="{85C8E7BE-07EB-49AD-9A07-B85D9E785A80}"/>
    <cellStyle name="Comma 630 2" xfId="1908" xr:uid="{D72AA508-7988-4DA7-8EB2-72B19C6B1A7A}"/>
    <cellStyle name="Comma 630 2 2" xfId="3966" xr:uid="{7EBF0B49-1447-4093-A64F-0FCEB2D38CEC}"/>
    <cellStyle name="Comma 630 2 2 2" xfId="9199" xr:uid="{1BA38D01-DE6F-46EE-8189-1CB76A134084}"/>
    <cellStyle name="Comma 630 2 2 2 2" xfId="19551" xr:uid="{907FB7BB-1633-43DC-A134-C09367F24469}"/>
    <cellStyle name="Comma 630 2 2 3" xfId="14376" xr:uid="{0E8069A9-5C3A-4FB0-8B2A-6D41622F0009}"/>
    <cellStyle name="Comma 630 2 3" xfId="7141" xr:uid="{895D646E-EFEA-44F9-AB6A-5322F781D99E}"/>
    <cellStyle name="Comma 630 2 3 2" xfId="17493" xr:uid="{C9F60291-0DE1-43A4-8B5D-13CE7C89F2BB}"/>
    <cellStyle name="Comma 630 2 4" xfId="12318" xr:uid="{B5337DB5-D0AA-4A8C-8A49-A0AFBDDDB0D9}"/>
    <cellStyle name="Comma 630 3" xfId="2936" xr:uid="{F2E61F73-6FA7-4A3F-AE87-3750E1950F38}"/>
    <cellStyle name="Comma 630 3 2" xfId="8169" xr:uid="{ED3C6071-7CBD-4A1C-B069-047870A741E1}"/>
    <cellStyle name="Comma 630 3 2 2" xfId="18521" xr:uid="{CF266212-69DB-432F-AAA1-B3E5CDCA3F6D}"/>
    <cellStyle name="Comma 630 3 3" xfId="13346" xr:uid="{660DA734-761D-40AA-B71A-0E86F13B28B1}"/>
    <cellStyle name="Comma 630 4" xfId="5062" xr:uid="{B6933A04-437F-49EE-8AF0-3484FEB80EC1}"/>
    <cellStyle name="Comma 630 4 2" xfId="10238" xr:uid="{5C970107-89A0-4F09-B786-97961ABDDB46}"/>
    <cellStyle name="Comma 630 4 2 2" xfId="20590" xr:uid="{04278818-B96D-4571-B349-8926162B53F7}"/>
    <cellStyle name="Comma 630 4 3" xfId="15414" xr:uid="{E714B69C-1803-4D88-A71E-99D59D7847E3}"/>
    <cellStyle name="Comma 630 5" xfId="6110" xr:uid="{B0755742-40E1-4622-B603-BE4903DA5FD1}"/>
    <cellStyle name="Comma 630 5 2" xfId="16462" xr:uid="{89FAE64B-30E1-4E61-955C-4C545D507324}"/>
    <cellStyle name="Comma 630 6" xfId="11288" xr:uid="{20774CE8-5FB4-4CB7-B054-17C645B7D464}"/>
    <cellStyle name="Comma 631" xfId="871" xr:uid="{61D0B67E-6D3C-4BA3-98E1-AA9DD2B96764}"/>
    <cellStyle name="Comma 631 2" xfId="1909" xr:uid="{4DE57AF2-7702-4375-8E00-A07FE3D289FC}"/>
    <cellStyle name="Comma 631 2 2" xfId="3967" xr:uid="{4F2400A3-EA13-4757-8B0E-C51152F0EDBB}"/>
    <cellStyle name="Comma 631 2 2 2" xfId="9200" xr:uid="{59772397-8A3B-4081-8A0B-41E60005B43B}"/>
    <cellStyle name="Comma 631 2 2 2 2" xfId="19552" xr:uid="{A47F23D8-DDF0-472D-8D6C-52D98181A5E5}"/>
    <cellStyle name="Comma 631 2 2 3" xfId="14377" xr:uid="{52D6A9EC-1761-4EBD-9BFE-3934D526321D}"/>
    <cellStyle name="Comma 631 2 3" xfId="7142" xr:uid="{94813EC0-66C4-465D-9827-2E93C5300EC3}"/>
    <cellStyle name="Comma 631 2 3 2" xfId="17494" xr:uid="{2B6DC994-2182-4436-9281-7DF4992C5C14}"/>
    <cellStyle name="Comma 631 2 4" xfId="12319" xr:uid="{99A8597A-F7A9-4506-8B7B-631330D6B09D}"/>
    <cellStyle name="Comma 631 3" xfId="2937" xr:uid="{0FEDBB7D-F4E2-4AF7-B1DB-2EEF0A9F792A}"/>
    <cellStyle name="Comma 631 3 2" xfId="8170" xr:uid="{6188A10C-8D7A-45EC-9654-C54442F2A315}"/>
    <cellStyle name="Comma 631 3 2 2" xfId="18522" xr:uid="{137C36E0-D301-4F36-87EB-90F743958DF3}"/>
    <cellStyle name="Comma 631 3 3" xfId="13347" xr:uid="{7A14D009-D8EA-4EAF-A948-7BE9EE7B11C8}"/>
    <cellStyle name="Comma 631 4" xfId="5063" xr:uid="{63DDB6F7-480D-420F-800B-4214A4DEE7DC}"/>
    <cellStyle name="Comma 631 4 2" xfId="10239" xr:uid="{9AC89AA5-D581-41C3-9D13-9F128D16AB81}"/>
    <cellStyle name="Comma 631 4 2 2" xfId="20591" xr:uid="{D749DE10-04F0-4495-AB28-9AFB3C4EF059}"/>
    <cellStyle name="Comma 631 4 3" xfId="15415" xr:uid="{7DE38CED-5A12-4520-A610-3DAF30F0E1FD}"/>
    <cellStyle name="Comma 631 5" xfId="6111" xr:uid="{25796877-925F-4E55-8F38-D8A456DD8F20}"/>
    <cellStyle name="Comma 631 5 2" xfId="16463" xr:uid="{A3DC0BAE-715F-45C6-AEBE-C4A027C64C20}"/>
    <cellStyle name="Comma 631 6" xfId="11289" xr:uid="{AF8EBAE3-829B-4CC2-979E-62DDDB740886}"/>
    <cellStyle name="Comma 632" xfId="872" xr:uid="{01E1E421-D257-4EB9-8CD6-095D1FD3BAFF}"/>
    <cellStyle name="Comma 632 2" xfId="1910" xr:uid="{9FED6D14-3E38-4961-97CF-7FD486C2040C}"/>
    <cellStyle name="Comma 632 2 2" xfId="3968" xr:uid="{A9E5DF9D-FD89-4D8C-8AAA-0C27DACEEB67}"/>
    <cellStyle name="Comma 632 2 2 2" xfId="9201" xr:uid="{3E356098-38A8-449E-8719-11A846F3488F}"/>
    <cellStyle name="Comma 632 2 2 2 2" xfId="19553" xr:uid="{CAC30750-8828-4CD4-8C56-B4FF00E89DC4}"/>
    <cellStyle name="Comma 632 2 2 3" xfId="14378" xr:uid="{6A41E42A-A679-48CB-8CB9-AA5C7405C4C3}"/>
    <cellStyle name="Comma 632 2 3" xfId="7143" xr:uid="{2AFD38DF-D03D-4CC8-98A6-D85B2C5AE200}"/>
    <cellStyle name="Comma 632 2 3 2" xfId="17495" xr:uid="{B80950A8-CEC9-4E33-9634-4041C9DAE098}"/>
    <cellStyle name="Comma 632 2 4" xfId="12320" xr:uid="{ECBEC244-1A9F-4C93-A44A-886AF2BE03FB}"/>
    <cellStyle name="Comma 632 3" xfId="2938" xr:uid="{B3388841-4A40-4D64-9C15-33C267070E51}"/>
    <cellStyle name="Comma 632 3 2" xfId="8171" xr:uid="{A577D262-82BC-4E22-BC55-55F58B158A70}"/>
    <cellStyle name="Comma 632 3 2 2" xfId="18523" xr:uid="{88DD8725-8F1C-4D52-9B26-659B1621B1DA}"/>
    <cellStyle name="Comma 632 3 3" xfId="13348" xr:uid="{F7BF00A5-125D-4D5F-8CC7-357AB3B4240F}"/>
    <cellStyle name="Comma 632 4" xfId="5064" xr:uid="{AC40DE97-636F-412F-AA30-A6BED1500AF8}"/>
    <cellStyle name="Comma 632 4 2" xfId="10240" xr:uid="{D4C74E39-D5D6-4EF9-9AEE-A0ACD9AC6537}"/>
    <cellStyle name="Comma 632 4 2 2" xfId="20592" xr:uid="{C8BBB605-56FF-44AD-AF57-0A79B0AA6D1A}"/>
    <cellStyle name="Comma 632 4 3" xfId="15416" xr:uid="{6CC93DA0-9946-4D01-AF47-CC10BEBAA1C5}"/>
    <cellStyle name="Comma 632 5" xfId="6112" xr:uid="{6F3BB4D1-3604-47EA-88A7-27E15E0A3DA3}"/>
    <cellStyle name="Comma 632 5 2" xfId="16464" xr:uid="{890A9DE2-E30E-46BF-A7A6-2323B1528AB2}"/>
    <cellStyle name="Comma 632 6" xfId="11290" xr:uid="{5C6620D4-74C4-4355-8B2A-EF02351823AF}"/>
    <cellStyle name="Comma 633" xfId="873" xr:uid="{D460746E-9C7E-429F-97B1-7A212B754EEE}"/>
    <cellStyle name="Comma 633 2" xfId="1911" xr:uid="{9F76FB0C-10B9-46D4-A0A4-4D1C6C5D64B5}"/>
    <cellStyle name="Comma 633 2 2" xfId="3969" xr:uid="{D7311ED9-3B32-4844-AF0E-1372A156D48A}"/>
    <cellStyle name="Comma 633 2 2 2" xfId="9202" xr:uid="{31848F6F-8063-41B1-BD38-BF5BCD0FF559}"/>
    <cellStyle name="Comma 633 2 2 2 2" xfId="19554" xr:uid="{21487A36-5F03-4560-812F-F31F81AF2DDE}"/>
    <cellStyle name="Comma 633 2 2 3" xfId="14379" xr:uid="{4307E8C9-194D-490D-878C-B5CF9C49DE9B}"/>
    <cellStyle name="Comma 633 2 3" xfId="7144" xr:uid="{0695A8A8-4741-4C3D-920A-8F3C34CEF5B4}"/>
    <cellStyle name="Comma 633 2 3 2" xfId="17496" xr:uid="{CE3FFC62-7CD9-4492-BCD0-5AA58465C0C4}"/>
    <cellStyle name="Comma 633 2 4" xfId="12321" xr:uid="{6405F94C-38CD-4677-B0BC-7E155B42ED37}"/>
    <cellStyle name="Comma 633 3" xfId="2939" xr:uid="{F7A3E552-6E09-4C86-9476-DE4ACCE965F5}"/>
    <cellStyle name="Comma 633 3 2" xfId="8172" xr:uid="{ACF0D259-BD10-4136-B720-7669C4B48CB1}"/>
    <cellStyle name="Comma 633 3 2 2" xfId="18524" xr:uid="{CDC138AE-ED35-4DD5-AB74-A048698D512D}"/>
    <cellStyle name="Comma 633 3 3" xfId="13349" xr:uid="{297755E0-01FA-44F9-92E3-60E3D690A3CD}"/>
    <cellStyle name="Comma 633 4" xfId="5065" xr:uid="{20B09A82-AF30-412A-99D2-734512E638A1}"/>
    <cellStyle name="Comma 633 4 2" xfId="10241" xr:uid="{E1EAE02B-02D6-4CAE-A0B3-FD5C95E8DFB7}"/>
    <cellStyle name="Comma 633 4 2 2" xfId="20593" xr:uid="{0DC2DBB9-59F1-42A2-BD8A-D0CD60E6A02D}"/>
    <cellStyle name="Comma 633 4 3" xfId="15417" xr:uid="{48A0D95A-658D-4000-9843-4EB041F18E37}"/>
    <cellStyle name="Comma 633 5" xfId="6113" xr:uid="{D19494F8-14B5-4E5C-A54D-A02D8885CAB5}"/>
    <cellStyle name="Comma 633 5 2" xfId="16465" xr:uid="{FA6DDBDD-9DBB-4AE5-9295-74EDB09F4291}"/>
    <cellStyle name="Comma 633 6" xfId="11291" xr:uid="{BA5B286A-A8C7-4A54-848A-C315252E5396}"/>
    <cellStyle name="Comma 634" xfId="874" xr:uid="{4A61E18C-1598-4844-80EC-F8AE78A98AB6}"/>
    <cellStyle name="Comma 634 2" xfId="1912" xr:uid="{59FE0F98-107D-4CC4-B27E-F8C183D2DA45}"/>
    <cellStyle name="Comma 634 2 2" xfId="3970" xr:uid="{2352BDD8-4024-4A32-9571-34B62140A7A6}"/>
    <cellStyle name="Comma 634 2 2 2" xfId="9203" xr:uid="{E024DE74-95DC-4E61-8FDD-1B8DED9D2482}"/>
    <cellStyle name="Comma 634 2 2 2 2" xfId="19555" xr:uid="{9AC457B5-8475-4A60-8760-C268F02A3C8D}"/>
    <cellStyle name="Comma 634 2 2 3" xfId="14380" xr:uid="{160CCCCD-6197-4508-99CB-3C3760D4AEF4}"/>
    <cellStyle name="Comma 634 2 3" xfId="7145" xr:uid="{BCE81070-EE6A-4AD0-AE24-4916D860FE7A}"/>
    <cellStyle name="Comma 634 2 3 2" xfId="17497" xr:uid="{52A95281-0855-4DA3-88D7-FF0842EED2A7}"/>
    <cellStyle name="Comma 634 2 4" xfId="12322" xr:uid="{CE1EB7BE-ACC3-4F80-9804-1A1EDFFA6FAD}"/>
    <cellStyle name="Comma 634 3" xfId="2940" xr:uid="{87A057A8-BDCD-452F-91C0-5CF7D9F126F1}"/>
    <cellStyle name="Comma 634 3 2" xfId="8173" xr:uid="{03108E0B-0F65-41F0-8C84-19B464E507C7}"/>
    <cellStyle name="Comma 634 3 2 2" xfId="18525" xr:uid="{8E1D9A41-C2C5-416F-93A2-EFD8FF4CB074}"/>
    <cellStyle name="Comma 634 3 3" xfId="13350" xr:uid="{00FDC032-F742-43C7-AC69-E2E6CE880849}"/>
    <cellStyle name="Comma 634 4" xfId="5066" xr:uid="{EEEB4C58-DD27-473A-B87A-0D24D6B069E3}"/>
    <cellStyle name="Comma 634 4 2" xfId="10242" xr:uid="{01407DFC-D2A5-4E41-91F9-00DFDFBDE54F}"/>
    <cellStyle name="Comma 634 4 2 2" xfId="20594" xr:uid="{28834B67-B3F1-4F95-8080-50F76A947CEB}"/>
    <cellStyle name="Comma 634 4 3" xfId="15418" xr:uid="{177ABDFB-8BB4-4E8E-B32C-658CA4D4AAB7}"/>
    <cellStyle name="Comma 634 5" xfId="6114" xr:uid="{149B9EF2-E8DB-4669-B5D8-92146056BD60}"/>
    <cellStyle name="Comma 634 5 2" xfId="16466" xr:uid="{ED64ABE2-3249-46C7-8E28-F67FCCF84D73}"/>
    <cellStyle name="Comma 634 6" xfId="11292" xr:uid="{9ED54710-3BBA-4182-B2B2-CAAABF855346}"/>
    <cellStyle name="Comma 635" xfId="875" xr:uid="{A8EB3ADC-0CED-4B64-A66C-E05DEB4776F3}"/>
    <cellStyle name="Comma 635 2" xfId="1913" xr:uid="{561C5D8C-402C-4187-8A30-25EFEC8105AA}"/>
    <cellStyle name="Comma 635 2 2" xfId="3971" xr:uid="{EDC63BD6-8001-47BC-86B6-EA413F2626B7}"/>
    <cellStyle name="Comma 635 2 2 2" xfId="9204" xr:uid="{DDF492B6-BFDD-466B-8010-24FE76CF75CD}"/>
    <cellStyle name="Comma 635 2 2 2 2" xfId="19556" xr:uid="{A579BE55-A1DE-4BC2-A304-23DEB8EEAD60}"/>
    <cellStyle name="Comma 635 2 2 3" xfId="14381" xr:uid="{A333A24E-4638-42A1-91B3-77B9E96E54FA}"/>
    <cellStyle name="Comma 635 2 3" xfId="7146" xr:uid="{47FDCF24-B694-4191-9DA0-CF5583D410FF}"/>
    <cellStyle name="Comma 635 2 3 2" xfId="17498" xr:uid="{1CA8C24D-39B0-4BCC-A4A3-195F63A447FB}"/>
    <cellStyle name="Comma 635 2 4" xfId="12323" xr:uid="{5A7397D6-F583-453D-BAAB-FA56954BAC01}"/>
    <cellStyle name="Comma 635 3" xfId="2941" xr:uid="{21A2714F-D6E0-4B07-BA47-8E44BAD27F0E}"/>
    <cellStyle name="Comma 635 3 2" xfId="8174" xr:uid="{CCAD6DE8-D1AD-481F-941B-A4E6B1A72B63}"/>
    <cellStyle name="Comma 635 3 2 2" xfId="18526" xr:uid="{23DBD2BA-7A1C-42E4-A968-CAEC88FCAC2E}"/>
    <cellStyle name="Comma 635 3 3" xfId="13351" xr:uid="{5D56DA10-A87C-42BC-9933-4CC21F626294}"/>
    <cellStyle name="Comma 635 4" xfId="5067" xr:uid="{77D8A934-EA31-4B12-A47B-EE02C3BF1254}"/>
    <cellStyle name="Comma 635 4 2" xfId="10243" xr:uid="{CCB254E6-EBBA-489C-ADEC-D006435EE3CF}"/>
    <cellStyle name="Comma 635 4 2 2" xfId="20595" xr:uid="{EEDB0C68-D1BB-49DD-966D-C42672B304DF}"/>
    <cellStyle name="Comma 635 4 3" xfId="15419" xr:uid="{AB9C00D1-1FB1-4C47-B0EA-9FCEF354B07B}"/>
    <cellStyle name="Comma 635 5" xfId="6115" xr:uid="{99A7EAEB-4AB2-4E69-8396-28A84203F327}"/>
    <cellStyle name="Comma 635 5 2" xfId="16467" xr:uid="{93F13F96-9DA9-4AD8-937E-A88332B6ED83}"/>
    <cellStyle name="Comma 635 6" xfId="11293" xr:uid="{BEA69CE2-3657-441D-ACEF-F339F652678E}"/>
    <cellStyle name="Comma 636" xfId="876" xr:uid="{57726D36-9CD7-4F19-BAC2-39CF8EA725BC}"/>
    <cellStyle name="Comma 636 2" xfId="1914" xr:uid="{84981713-3915-4F2D-917E-BD35E226C391}"/>
    <cellStyle name="Comma 636 2 2" xfId="3972" xr:uid="{A76AE428-9A98-468A-BCB5-058F260E115D}"/>
    <cellStyle name="Comma 636 2 2 2" xfId="9205" xr:uid="{851CC3F9-1122-4202-BE24-AE47983F682B}"/>
    <cellStyle name="Comma 636 2 2 2 2" xfId="19557" xr:uid="{0710228A-7237-4995-BAE2-65F55CFF3892}"/>
    <cellStyle name="Comma 636 2 2 3" xfId="14382" xr:uid="{EF95AEE8-5A86-49F7-8292-BE6FAAEA8C0E}"/>
    <cellStyle name="Comma 636 2 3" xfId="7147" xr:uid="{450B8217-9CC2-4DE7-A3A2-AAB22DE63226}"/>
    <cellStyle name="Comma 636 2 3 2" xfId="17499" xr:uid="{91511EDB-25BA-4471-9C4E-2DDCAFEE8D2D}"/>
    <cellStyle name="Comma 636 2 4" xfId="12324" xr:uid="{8FF0B76D-4EB0-4D07-82B5-8CB2B5F743D9}"/>
    <cellStyle name="Comma 636 3" xfId="2942" xr:uid="{554FC34B-79E7-4B73-9F62-7DEFB8408FA4}"/>
    <cellStyle name="Comma 636 3 2" xfId="8175" xr:uid="{31C81BF1-9DFB-4281-9546-D10DFF45CE76}"/>
    <cellStyle name="Comma 636 3 2 2" xfId="18527" xr:uid="{A49E8613-9A8B-4C76-A18F-E8929A13737E}"/>
    <cellStyle name="Comma 636 3 3" xfId="13352" xr:uid="{54BB4ABE-2F04-4114-B401-9AD1ECC9FB7B}"/>
    <cellStyle name="Comma 636 4" xfId="5068" xr:uid="{936087B9-F7B2-4966-A152-E2B5657CA19F}"/>
    <cellStyle name="Comma 636 4 2" xfId="10244" xr:uid="{D1C04DD2-11EF-49E6-9D37-39524D72124E}"/>
    <cellStyle name="Comma 636 4 2 2" xfId="20596" xr:uid="{FF983925-2BB2-4DCC-83A6-29D2D3F355A0}"/>
    <cellStyle name="Comma 636 4 3" xfId="15420" xr:uid="{DEC44F5B-598C-43D7-B836-50E107FF709D}"/>
    <cellStyle name="Comma 636 5" xfId="6116" xr:uid="{D0A05B99-7E12-443B-A427-CF2E7EBE09AE}"/>
    <cellStyle name="Comma 636 5 2" xfId="16468" xr:uid="{72459EE1-F3D5-47F0-B9BC-F1435B8F875A}"/>
    <cellStyle name="Comma 636 6" xfId="11294" xr:uid="{A7999606-E1AC-4017-ADAF-476CB0305A37}"/>
    <cellStyle name="Comma 637" xfId="877" xr:uid="{5F357027-1B52-45F9-A2E9-D3D5FCBD579D}"/>
    <cellStyle name="Comma 637 2" xfId="1915" xr:uid="{A19CD71B-B8B1-4A4D-B631-DCCB28A7E3CC}"/>
    <cellStyle name="Comma 637 2 2" xfId="3973" xr:uid="{645E3A0B-C4AF-4A1E-8E39-F3313E7E3179}"/>
    <cellStyle name="Comma 637 2 2 2" xfId="9206" xr:uid="{71DA28A3-5DA6-4452-83A4-55704B410E2A}"/>
    <cellStyle name="Comma 637 2 2 2 2" xfId="19558" xr:uid="{8506DD1D-DA7B-448C-A589-F89A52895FD4}"/>
    <cellStyle name="Comma 637 2 2 3" xfId="14383" xr:uid="{D1DDE1AC-4B3F-4469-B82C-4A4FBB95D131}"/>
    <cellStyle name="Comma 637 2 3" xfId="7148" xr:uid="{FAB2B898-63D0-4B17-8794-858F668A60CD}"/>
    <cellStyle name="Comma 637 2 3 2" xfId="17500" xr:uid="{3BD7AD7D-4550-4887-BB7B-EDAB82076292}"/>
    <cellStyle name="Comma 637 2 4" xfId="12325" xr:uid="{9B5B16F8-A027-48B7-BAFA-03B86ECA8822}"/>
    <cellStyle name="Comma 637 3" xfId="2943" xr:uid="{0D74E07F-D84D-46F5-AA7F-6D369F198746}"/>
    <cellStyle name="Comma 637 3 2" xfId="8176" xr:uid="{E7827586-FE1B-4D2B-A494-DEB784DEBD1F}"/>
    <cellStyle name="Comma 637 3 2 2" xfId="18528" xr:uid="{2C80F151-FB88-41D4-A214-29566005F6AA}"/>
    <cellStyle name="Comma 637 3 3" xfId="13353" xr:uid="{DECC40B4-445B-47A1-BFF8-63C92FABAC9A}"/>
    <cellStyle name="Comma 637 4" xfId="5069" xr:uid="{05A018DC-2004-4A62-9F50-E333E6CE27C7}"/>
    <cellStyle name="Comma 637 4 2" xfId="10245" xr:uid="{D440D9CD-8253-47C6-908E-6715CD63703A}"/>
    <cellStyle name="Comma 637 4 2 2" xfId="20597" xr:uid="{313160DA-21A1-4885-9344-5AFDA5170BD4}"/>
    <cellStyle name="Comma 637 4 3" xfId="15421" xr:uid="{6A16B3EE-EE4A-404C-8DEA-1E98B5B96083}"/>
    <cellStyle name="Comma 637 5" xfId="6117" xr:uid="{095A256C-88CA-43DF-92B7-528C89CFB67B}"/>
    <cellStyle name="Comma 637 5 2" xfId="16469" xr:uid="{61C0ED33-BF74-47F3-9EB5-241A142E1517}"/>
    <cellStyle name="Comma 637 6" xfId="11295" xr:uid="{40B747ED-7825-4B21-B0BC-11EFF434716A}"/>
    <cellStyle name="Comma 638" xfId="878" xr:uid="{80758B0D-3C96-47CA-81CA-6BEA5DA94E73}"/>
    <cellStyle name="Comma 638 2" xfId="1916" xr:uid="{67189226-B148-4BC0-8383-2D25CA059F1A}"/>
    <cellStyle name="Comma 638 2 2" xfId="3974" xr:uid="{53A94E28-B88A-4C68-8D8F-3E8957D368C5}"/>
    <cellStyle name="Comma 638 2 2 2" xfId="9207" xr:uid="{ED129E0A-5DD8-46AF-BA12-9103899743B2}"/>
    <cellStyle name="Comma 638 2 2 2 2" xfId="19559" xr:uid="{B30BAE78-0CC4-48F9-AEEA-1004EBCF81E8}"/>
    <cellStyle name="Comma 638 2 2 3" xfId="14384" xr:uid="{B54C1513-1552-4EDA-879B-EBECC2926DEB}"/>
    <cellStyle name="Comma 638 2 3" xfId="7149" xr:uid="{FB9C198A-DA0E-42F7-893D-B18632F34AC4}"/>
    <cellStyle name="Comma 638 2 3 2" xfId="17501" xr:uid="{D0621BFE-5689-43B6-A439-FBCA07E1CC4D}"/>
    <cellStyle name="Comma 638 2 4" xfId="12326" xr:uid="{2F11B017-5224-4F29-AD6A-9EDC2A7D7DED}"/>
    <cellStyle name="Comma 638 3" xfId="2944" xr:uid="{EEEFB300-4164-450C-908B-FAD6804C85BA}"/>
    <cellStyle name="Comma 638 3 2" xfId="8177" xr:uid="{6006D744-4DC7-494B-8184-700E2CAAB736}"/>
    <cellStyle name="Comma 638 3 2 2" xfId="18529" xr:uid="{3316D326-B60B-448D-8765-DDFA1CC190FE}"/>
    <cellStyle name="Comma 638 3 3" xfId="13354" xr:uid="{B67F3CE5-6C51-4C3F-97C7-AC6C677C9252}"/>
    <cellStyle name="Comma 638 4" xfId="5070" xr:uid="{6868978D-1971-408F-B8CA-9FE762680AEC}"/>
    <cellStyle name="Comma 638 4 2" xfId="10246" xr:uid="{EA58D0C7-CC74-4144-8F83-7A6AEDB2AF17}"/>
    <cellStyle name="Comma 638 4 2 2" xfId="20598" xr:uid="{62F31B2A-24CE-4AD6-9D26-EAF8558DB9F3}"/>
    <cellStyle name="Comma 638 4 3" xfId="15422" xr:uid="{BBA0B9A9-F828-47BF-A5D0-112718FB644F}"/>
    <cellStyle name="Comma 638 5" xfId="6118" xr:uid="{81AFA6FD-5C3A-43DE-B59F-E6FA5750842A}"/>
    <cellStyle name="Comma 638 5 2" xfId="16470" xr:uid="{B9ED811A-3B50-48F4-BC66-3067859FD6A7}"/>
    <cellStyle name="Comma 638 6" xfId="11296" xr:uid="{BEF588A9-5016-47B1-955B-59D02917EB69}"/>
    <cellStyle name="Comma 639" xfId="879" xr:uid="{D8B1E60A-EEAC-4430-87ED-FFFDFB6BE483}"/>
    <cellStyle name="Comma 639 2" xfId="1917" xr:uid="{0E798C3A-FFD0-4C50-AAB1-BC6FA1068F64}"/>
    <cellStyle name="Comma 639 2 2" xfId="3975" xr:uid="{1708A278-7623-446C-AE79-BD5445BF78A5}"/>
    <cellStyle name="Comma 639 2 2 2" xfId="9208" xr:uid="{2C1E7F35-93A4-4E29-B396-91258D488BAC}"/>
    <cellStyle name="Comma 639 2 2 2 2" xfId="19560" xr:uid="{7C2C0600-9EB7-4417-B596-C8E73A232483}"/>
    <cellStyle name="Comma 639 2 2 3" xfId="14385" xr:uid="{9AC23D75-5C2E-420C-96FB-70A4161CDBB7}"/>
    <cellStyle name="Comma 639 2 3" xfId="7150" xr:uid="{A56E31E1-1B3E-45B8-9654-E1B89406C86D}"/>
    <cellStyle name="Comma 639 2 3 2" xfId="17502" xr:uid="{70EEB0ED-D15F-440B-89B1-532EB4DE6AF6}"/>
    <cellStyle name="Comma 639 2 4" xfId="12327" xr:uid="{8FCD481E-44E7-48D4-BC61-8602915101B9}"/>
    <cellStyle name="Comma 639 3" xfId="2945" xr:uid="{2F8321F3-27B2-4FF7-AF5A-68C978B1E48E}"/>
    <cellStyle name="Comma 639 3 2" xfId="8178" xr:uid="{B7BFD822-EE02-49A4-B1BF-465897482220}"/>
    <cellStyle name="Comma 639 3 2 2" xfId="18530" xr:uid="{319B757F-1C24-40C4-87BE-85B7DC274CCE}"/>
    <cellStyle name="Comma 639 3 3" xfId="13355" xr:uid="{611DCE78-F33D-43F3-A93B-AC5E841479A3}"/>
    <cellStyle name="Comma 639 4" xfId="5071" xr:uid="{E3636411-77F5-411A-9049-D439D51B6C18}"/>
    <cellStyle name="Comma 639 4 2" xfId="10247" xr:uid="{5EE9AD47-C790-4852-BC7D-95971CC0A3BE}"/>
    <cellStyle name="Comma 639 4 2 2" xfId="20599" xr:uid="{129A3A5E-ED03-4374-A34C-E7C0D630DCD3}"/>
    <cellStyle name="Comma 639 4 3" xfId="15423" xr:uid="{E49ED105-49DF-4AE9-BC9A-6F8B0EFF2EBA}"/>
    <cellStyle name="Comma 639 5" xfId="6119" xr:uid="{FFF70729-D4E7-497C-AF60-100653156AE0}"/>
    <cellStyle name="Comma 639 5 2" xfId="16471" xr:uid="{4F954019-AAF7-4891-8A58-D72F990BEF52}"/>
    <cellStyle name="Comma 639 6" xfId="11297" xr:uid="{3CF4A4D9-477A-425A-8D96-4A89F24FA28C}"/>
    <cellStyle name="Comma 64" xfId="265" xr:uid="{DF15C231-C6F6-4E61-BF59-865B41CC8FE6}"/>
    <cellStyle name="Comma 64 2" xfId="1342" xr:uid="{569BC52D-37EE-4CD9-AAA9-5B4A29113936}"/>
    <cellStyle name="Comma 64 2 2" xfId="3400" xr:uid="{E18374B9-8094-4F2B-AED1-32DB3B20AB20}"/>
    <cellStyle name="Comma 64 2 2 2" xfId="8633" xr:uid="{F9914E4B-6EAB-446A-A894-C4C9156A1496}"/>
    <cellStyle name="Comma 64 2 2 2 2" xfId="18985" xr:uid="{A86320B8-D894-407F-BB45-C4E373A62055}"/>
    <cellStyle name="Comma 64 2 2 3" xfId="13810" xr:uid="{7E75F6A3-AA86-4DF7-A0BF-41E86DBBEEC3}"/>
    <cellStyle name="Comma 64 2 3" xfId="6575" xr:uid="{A7B3B2AE-7DAA-4905-8056-B89AEEA765A3}"/>
    <cellStyle name="Comma 64 2 3 2" xfId="16927" xr:uid="{365A2F8E-4EB7-468C-972F-08B00C98BE59}"/>
    <cellStyle name="Comma 64 2 4" xfId="11752" xr:uid="{7E05728E-C607-4FB8-B6C4-F1BF7B7E7C84}"/>
    <cellStyle name="Comma 64 3" xfId="2370" xr:uid="{B11C9158-6A31-4C2C-A11D-AEC1B898E1DC}"/>
    <cellStyle name="Comma 64 3 2" xfId="7603" xr:uid="{FA0884A9-EAB9-45FF-8702-6C9197D42972}"/>
    <cellStyle name="Comma 64 3 2 2" xfId="17955" xr:uid="{4FC0C1C2-2825-4C05-8943-C20F7C2E1832}"/>
    <cellStyle name="Comma 64 3 3" xfId="12780" xr:uid="{FB9A97E1-6ECF-4429-BE3C-6825B67FE600}"/>
    <cellStyle name="Comma 64 4" xfId="4496" xr:uid="{6A6BD18F-C9F3-45ED-B776-D6EAE5466680}"/>
    <cellStyle name="Comma 64 4 2" xfId="9672" xr:uid="{04D8961A-44E9-44FC-9AB5-A896E8446F58}"/>
    <cellStyle name="Comma 64 4 2 2" xfId="20024" xr:uid="{B4F97CD0-815B-4271-8268-AA79C9D92FDB}"/>
    <cellStyle name="Comma 64 4 3" xfId="14848" xr:uid="{6E832EB8-3C4D-4212-AD39-E9808615795C}"/>
    <cellStyle name="Comma 64 5" xfId="5544" xr:uid="{93BE0863-2A4E-49D1-A593-FEFF716734F4}"/>
    <cellStyle name="Comma 64 5 2" xfId="15896" xr:uid="{94D0BB33-29BE-45B3-8508-25D9597898EE}"/>
    <cellStyle name="Comma 64 6" xfId="10722" xr:uid="{E991F7F3-81CE-4AE9-991C-710BCD244645}"/>
    <cellStyle name="Comma 640" xfId="880" xr:uid="{5AF8495A-3050-438A-AD14-709ACF146E27}"/>
    <cellStyle name="Comma 640 2" xfId="1918" xr:uid="{1020226A-D17E-49C5-B1CC-46444BD563EE}"/>
    <cellStyle name="Comma 640 2 2" xfId="3976" xr:uid="{1E895E38-2CCB-4E85-B135-CC45C455FC5C}"/>
    <cellStyle name="Comma 640 2 2 2" xfId="9209" xr:uid="{A25223A2-96A4-41EA-AFC6-CE53F689EA3A}"/>
    <cellStyle name="Comma 640 2 2 2 2" xfId="19561" xr:uid="{08D1B20A-C7BF-49ED-AE6F-D9C80C39E256}"/>
    <cellStyle name="Comma 640 2 2 3" xfId="14386" xr:uid="{3BEDF5B7-7FCA-40AB-9808-77E891D886DC}"/>
    <cellStyle name="Comma 640 2 3" xfId="7151" xr:uid="{F5CC1A98-4DAE-437F-B225-B00E489B23EE}"/>
    <cellStyle name="Comma 640 2 3 2" xfId="17503" xr:uid="{2A4CD9C3-85A7-469E-9FD6-AA943B06A12D}"/>
    <cellStyle name="Comma 640 2 4" xfId="12328" xr:uid="{BD16F141-A431-45AA-B006-494E2C55F132}"/>
    <cellStyle name="Comma 640 3" xfId="2946" xr:uid="{E6D79785-10B8-47A4-A3A9-831F3A9E9229}"/>
    <cellStyle name="Comma 640 3 2" xfId="8179" xr:uid="{FADC36B2-E5EB-4A70-AED6-FC17AB01C29D}"/>
    <cellStyle name="Comma 640 3 2 2" xfId="18531" xr:uid="{92A30901-9511-4DC2-8E4A-428A6E0E570B}"/>
    <cellStyle name="Comma 640 3 3" xfId="13356" xr:uid="{1E976E33-C64F-4309-854B-1B6E75B5B2D9}"/>
    <cellStyle name="Comma 640 4" xfId="5072" xr:uid="{02F802AC-72EA-4208-B720-69DB3AA06353}"/>
    <cellStyle name="Comma 640 4 2" xfId="10248" xr:uid="{51E17BD1-4642-4301-9597-AB92B61D0062}"/>
    <cellStyle name="Comma 640 4 2 2" xfId="20600" xr:uid="{65828577-958B-4E8D-9443-A63E05BB8601}"/>
    <cellStyle name="Comma 640 4 3" xfId="15424" xr:uid="{E86FCA15-AA7E-427E-AEBB-D9BFD807A9F4}"/>
    <cellStyle name="Comma 640 5" xfId="6120" xr:uid="{B9790574-D2CA-4233-A659-A1FC016E0B37}"/>
    <cellStyle name="Comma 640 5 2" xfId="16472" xr:uid="{DF62910F-5EB9-4C84-87F8-8B45A9663678}"/>
    <cellStyle name="Comma 640 6" xfId="11298" xr:uid="{CDD3E5F3-1AB3-47FF-A9D8-DD5393D46105}"/>
    <cellStyle name="Comma 641" xfId="881" xr:uid="{BF40E73D-3475-44A8-8FCA-B6B2BFF2E40B}"/>
    <cellStyle name="Comma 641 2" xfId="1919" xr:uid="{A0C1D7ED-0E8A-474B-8F34-7985EA3CD56E}"/>
    <cellStyle name="Comma 641 2 2" xfId="3977" xr:uid="{C2828748-3B14-4689-9198-C2C2F0D9AFDB}"/>
    <cellStyle name="Comma 641 2 2 2" xfId="9210" xr:uid="{E81E6A54-8823-43DB-85E9-0EA40E072B71}"/>
    <cellStyle name="Comma 641 2 2 2 2" xfId="19562" xr:uid="{099C369D-58F7-43B1-B0CA-ACBEE88F4E66}"/>
    <cellStyle name="Comma 641 2 2 3" xfId="14387" xr:uid="{76182983-1866-4789-8DCB-11B04988D8C2}"/>
    <cellStyle name="Comma 641 2 3" xfId="7152" xr:uid="{A6661738-1CEA-46D3-B6BC-22B3DC1A5273}"/>
    <cellStyle name="Comma 641 2 3 2" xfId="17504" xr:uid="{C63CDF75-83F2-41D9-B82C-8266CF4BB8F8}"/>
    <cellStyle name="Comma 641 2 4" xfId="12329" xr:uid="{9C7FFBEB-C327-4FD6-8F6A-A8328BD927DA}"/>
    <cellStyle name="Comma 641 3" xfId="2947" xr:uid="{268DDF80-C1F7-4703-AC7C-C4D52320EBA1}"/>
    <cellStyle name="Comma 641 3 2" xfId="8180" xr:uid="{3F1703C5-F72A-42E9-86BB-FFD77A0F76F6}"/>
    <cellStyle name="Comma 641 3 2 2" xfId="18532" xr:uid="{15B6CA2E-C072-40DC-8C98-BAF23BBF8014}"/>
    <cellStyle name="Comma 641 3 3" xfId="13357" xr:uid="{53A338CE-9D7C-4F37-9416-2A667B355B50}"/>
    <cellStyle name="Comma 641 4" xfId="5073" xr:uid="{E6B897C0-57AC-4070-9CA9-00706229ADAE}"/>
    <cellStyle name="Comma 641 4 2" xfId="10249" xr:uid="{E7983779-3F8F-4845-A176-AE2EABE46B59}"/>
    <cellStyle name="Comma 641 4 2 2" xfId="20601" xr:uid="{970AE2D1-DC26-4711-B3D7-47BBC9D3E1C7}"/>
    <cellStyle name="Comma 641 4 3" xfId="15425" xr:uid="{6F2280CD-6807-48E3-BADB-840C29D63A5A}"/>
    <cellStyle name="Comma 641 5" xfId="6121" xr:uid="{E6556266-26DB-406B-8C3B-FCE41AEBC5B4}"/>
    <cellStyle name="Comma 641 5 2" xfId="16473" xr:uid="{D5D972C2-B54C-403C-9637-766E9012D9B4}"/>
    <cellStyle name="Comma 641 6" xfId="11299" xr:uid="{FE42594C-A18E-4F61-8E8C-C637051D3EF3}"/>
    <cellStyle name="Comma 642" xfId="882" xr:uid="{51E409B5-5FAB-4B82-AFA8-F8B14FF990C7}"/>
    <cellStyle name="Comma 642 2" xfId="1920" xr:uid="{4893E372-4F83-4DB0-BAF3-347FC5AB1AE2}"/>
    <cellStyle name="Comma 642 2 2" xfId="3978" xr:uid="{E7BC17DE-0E18-4349-A2B8-8C290FA2C2DE}"/>
    <cellStyle name="Comma 642 2 2 2" xfId="9211" xr:uid="{D393F351-41F7-4C37-BC6D-1B6912A4D58B}"/>
    <cellStyle name="Comma 642 2 2 2 2" xfId="19563" xr:uid="{74B1E98F-5E96-4872-B5DB-A768B1722CC0}"/>
    <cellStyle name="Comma 642 2 2 3" xfId="14388" xr:uid="{4C016E7F-4785-4201-B603-30326E3133A5}"/>
    <cellStyle name="Comma 642 2 3" xfId="7153" xr:uid="{4DD2B625-04B7-4E15-B45C-8E4C7D64A5C3}"/>
    <cellStyle name="Comma 642 2 3 2" xfId="17505" xr:uid="{FCABF24B-F2F6-4C9B-8B0D-DF666A0734F2}"/>
    <cellStyle name="Comma 642 2 4" xfId="12330" xr:uid="{2D0F858C-FB0A-4470-BE26-E30E6CA69B39}"/>
    <cellStyle name="Comma 642 3" xfId="2948" xr:uid="{B7180279-25DA-4B3A-94A3-F3C904B6E23A}"/>
    <cellStyle name="Comma 642 3 2" xfId="8181" xr:uid="{75C85AE4-A85A-48AD-B576-63D4C20EE12F}"/>
    <cellStyle name="Comma 642 3 2 2" xfId="18533" xr:uid="{CCDDCF45-1FC5-4C50-A3DD-92ADBC5520D6}"/>
    <cellStyle name="Comma 642 3 3" xfId="13358" xr:uid="{7DCEDF65-3B17-45EB-80D7-5834143DBD72}"/>
    <cellStyle name="Comma 642 4" xfId="5074" xr:uid="{4A2E8B45-DEEC-4B4E-A3B2-C19A14C8A4A5}"/>
    <cellStyle name="Comma 642 4 2" xfId="10250" xr:uid="{14DC92BD-5921-43FC-8FB8-E20197016A95}"/>
    <cellStyle name="Comma 642 4 2 2" xfId="20602" xr:uid="{BE26821C-E659-412A-9EBC-38E1FC607C34}"/>
    <cellStyle name="Comma 642 4 3" xfId="15426" xr:uid="{7CDB0743-A8F8-48F7-8BEA-4CC2EB8AC48A}"/>
    <cellStyle name="Comma 642 5" xfId="6122" xr:uid="{62B99748-5FC1-4CFA-8726-76F32584C668}"/>
    <cellStyle name="Comma 642 5 2" xfId="16474" xr:uid="{695E178B-430F-4E72-9408-CF10EF543CBF}"/>
    <cellStyle name="Comma 642 6" xfId="11300" xr:uid="{C228BC91-BE9D-4A63-896D-4392603F6367}"/>
    <cellStyle name="Comma 643" xfId="883" xr:uid="{C270FAF1-1E07-430B-A19B-5FAF35701BE1}"/>
    <cellStyle name="Comma 643 2" xfId="1921" xr:uid="{C1290406-879F-4BF9-A609-AFB8271A0199}"/>
    <cellStyle name="Comma 643 2 2" xfId="3979" xr:uid="{4E00449B-9877-4581-A882-0B7777C0DE3B}"/>
    <cellStyle name="Comma 643 2 2 2" xfId="9212" xr:uid="{B719EE03-66D0-45A3-9DD4-0BFB5BAD50E4}"/>
    <cellStyle name="Comma 643 2 2 2 2" xfId="19564" xr:uid="{6C0C0843-82DB-4908-B2BD-83A4F416C587}"/>
    <cellStyle name="Comma 643 2 2 3" xfId="14389" xr:uid="{C0338D37-2390-44EC-882D-562F59AC18B6}"/>
    <cellStyle name="Comma 643 2 3" xfId="7154" xr:uid="{F4C0990E-59AE-41A4-BEAC-3E2BB3C0800C}"/>
    <cellStyle name="Comma 643 2 3 2" xfId="17506" xr:uid="{41EFE18D-1178-4BD3-9AE9-BC5F430ACE61}"/>
    <cellStyle name="Comma 643 2 4" xfId="12331" xr:uid="{8DD9EB26-4343-41A4-8CF7-CAF44FB8D08B}"/>
    <cellStyle name="Comma 643 3" xfId="2949" xr:uid="{C57B3694-8450-408C-B91B-716B85BC99BC}"/>
    <cellStyle name="Comma 643 3 2" xfId="8182" xr:uid="{C0F26E1A-8219-4627-8262-631C4D78781A}"/>
    <cellStyle name="Comma 643 3 2 2" xfId="18534" xr:uid="{11662635-999F-416E-94DC-0301C7BEB541}"/>
    <cellStyle name="Comma 643 3 3" xfId="13359" xr:uid="{30824C4F-6B64-488B-9128-E2BB3DEECEA7}"/>
    <cellStyle name="Comma 643 4" xfId="5075" xr:uid="{A4B53DE2-745F-4C80-A1D5-72738FB26CD6}"/>
    <cellStyle name="Comma 643 4 2" xfId="10251" xr:uid="{CAC35591-AB80-44DF-AC93-54D01789CACD}"/>
    <cellStyle name="Comma 643 4 2 2" xfId="20603" xr:uid="{BFD70D24-65E8-4170-9536-CC8AE834DE41}"/>
    <cellStyle name="Comma 643 4 3" xfId="15427" xr:uid="{3AFEB49B-5AB0-4DE2-BF15-2802340429D4}"/>
    <cellStyle name="Comma 643 5" xfId="6123" xr:uid="{C2E90B06-E00F-4E5E-9D51-E5219FE804A0}"/>
    <cellStyle name="Comma 643 5 2" xfId="16475" xr:uid="{A2FC25E7-FE47-4EE2-A0FD-59C4C0BFC114}"/>
    <cellStyle name="Comma 643 6" xfId="11301" xr:uid="{79411ECC-D168-402D-90B0-DA1EC002C50F}"/>
    <cellStyle name="Comma 644" xfId="884" xr:uid="{467CAB5D-778D-4AF1-9850-BDAEF9EC9233}"/>
    <cellStyle name="Comma 644 2" xfId="1922" xr:uid="{59CA17D3-04B1-483E-8C0C-14BF090CAFFE}"/>
    <cellStyle name="Comma 644 2 2" xfId="3980" xr:uid="{40BF80A3-8497-42FF-941E-526DBCB1E906}"/>
    <cellStyle name="Comma 644 2 2 2" xfId="9213" xr:uid="{ACDF8044-A208-42A0-BDD6-B703690016EC}"/>
    <cellStyle name="Comma 644 2 2 2 2" xfId="19565" xr:uid="{AB812B01-551B-4FB4-A483-88C6BDC93375}"/>
    <cellStyle name="Comma 644 2 2 3" xfId="14390" xr:uid="{A95764A7-3C5B-4CA7-907C-87546A7E106C}"/>
    <cellStyle name="Comma 644 2 3" xfId="7155" xr:uid="{13E56344-C3A3-4F19-B261-C7AFFE855E11}"/>
    <cellStyle name="Comma 644 2 3 2" xfId="17507" xr:uid="{9817437B-796D-4A6C-8042-712F1FD08883}"/>
    <cellStyle name="Comma 644 2 4" xfId="12332" xr:uid="{03545ED3-421F-44E1-882E-24DAD0D7D62E}"/>
    <cellStyle name="Comma 644 3" xfId="2950" xr:uid="{0ED981CA-A540-4861-BED9-38D5DF1EB34F}"/>
    <cellStyle name="Comma 644 3 2" xfId="8183" xr:uid="{60527307-1DF7-49ED-B5D5-189B61D9A22B}"/>
    <cellStyle name="Comma 644 3 2 2" xfId="18535" xr:uid="{280CAE52-3943-4737-BBBF-7826F46624AB}"/>
    <cellStyle name="Comma 644 3 3" xfId="13360" xr:uid="{36B4AD16-0119-4508-B544-EC8F809C3C00}"/>
    <cellStyle name="Comma 644 4" xfId="5076" xr:uid="{9565EB97-52E0-4647-81A6-89BD887229D9}"/>
    <cellStyle name="Comma 644 4 2" xfId="10252" xr:uid="{D0F5B22D-FDD1-4C96-947F-2ADAF466A393}"/>
    <cellStyle name="Comma 644 4 2 2" xfId="20604" xr:uid="{79E7A7A9-19AE-4BCB-8A98-0235109A7C7F}"/>
    <cellStyle name="Comma 644 4 3" xfId="15428" xr:uid="{4735F8EA-8B28-4615-B8AE-227EE087A8B6}"/>
    <cellStyle name="Comma 644 5" xfId="6124" xr:uid="{541C80A0-7FD5-4FF8-8194-0B332638FD60}"/>
    <cellStyle name="Comma 644 5 2" xfId="16476" xr:uid="{A2D9491C-8DC7-4CB8-A545-A927E548636E}"/>
    <cellStyle name="Comma 644 6" xfId="11302" xr:uid="{EA66CD3F-D568-4586-9995-AB8D4463A62E}"/>
    <cellStyle name="Comma 645" xfId="885" xr:uid="{CA6F2E30-6D0F-4CCD-9254-2960AAD3381E}"/>
    <cellStyle name="Comma 645 2" xfId="1923" xr:uid="{0336D4C1-42AF-45E4-89D7-438144C20D55}"/>
    <cellStyle name="Comma 645 2 2" xfId="3981" xr:uid="{11ADC584-2C6E-4FE6-B9B3-F30038AC9437}"/>
    <cellStyle name="Comma 645 2 2 2" xfId="9214" xr:uid="{5009E80E-2747-42AE-A228-4E33D14D6866}"/>
    <cellStyle name="Comma 645 2 2 2 2" xfId="19566" xr:uid="{FF2790B9-0B3A-4F36-AC63-3617A47B7FA0}"/>
    <cellStyle name="Comma 645 2 2 3" xfId="14391" xr:uid="{2AFE950A-B8EB-4BDD-B716-2F7FF96A2424}"/>
    <cellStyle name="Comma 645 2 3" xfId="7156" xr:uid="{5715A9A3-4EC3-4FCF-9AD0-C4F25E75A760}"/>
    <cellStyle name="Comma 645 2 3 2" xfId="17508" xr:uid="{EC39D397-0839-4280-B3CD-4EE3DD9A9BB4}"/>
    <cellStyle name="Comma 645 2 4" xfId="12333" xr:uid="{2CF595B5-D677-45C6-9B3F-A56DD0A5DDE8}"/>
    <cellStyle name="Comma 645 3" xfId="2951" xr:uid="{2DBE379D-AEBA-4984-BE6D-DB555BEBE319}"/>
    <cellStyle name="Comma 645 3 2" xfId="8184" xr:uid="{FEBA10B4-261B-4D81-A322-9F8DE624787E}"/>
    <cellStyle name="Comma 645 3 2 2" xfId="18536" xr:uid="{BBA2A12D-939B-4AB0-90BE-271FF647C80D}"/>
    <cellStyle name="Comma 645 3 3" xfId="13361" xr:uid="{FCFA5106-2D15-49B7-910C-2B921231FD5D}"/>
    <cellStyle name="Comma 645 4" xfId="5077" xr:uid="{C7C3B519-F210-4EC2-968A-952AE2800AA3}"/>
    <cellStyle name="Comma 645 4 2" xfId="10253" xr:uid="{D3732B78-3EC5-4108-9C89-567AA9EE30C1}"/>
    <cellStyle name="Comma 645 4 2 2" xfId="20605" xr:uid="{793803B7-7594-4472-9DC8-B02973EB6D48}"/>
    <cellStyle name="Comma 645 4 3" xfId="15429" xr:uid="{64156577-D608-43AB-8EDB-423063FC1455}"/>
    <cellStyle name="Comma 645 5" xfId="6125" xr:uid="{A9B56940-5140-4C9A-AB76-13DC24B4A317}"/>
    <cellStyle name="Comma 645 5 2" xfId="16477" xr:uid="{F17C5770-C66E-4F89-B0B6-425268BFDD91}"/>
    <cellStyle name="Comma 645 6" xfId="11303" xr:uid="{B786C9A3-CC0F-4B15-9C2C-25D3F77390CD}"/>
    <cellStyle name="Comma 646" xfId="886" xr:uid="{2A849CAE-693C-45CF-9183-18A1393BA7A4}"/>
    <cellStyle name="Comma 646 2" xfId="1924" xr:uid="{D95A3A7B-9AFB-4C45-B2BF-EBB58A20088C}"/>
    <cellStyle name="Comma 646 2 2" xfId="3982" xr:uid="{1196645F-BF1B-4857-AFB5-F5D7513B63D5}"/>
    <cellStyle name="Comma 646 2 2 2" xfId="9215" xr:uid="{13F85357-CE6F-4C29-B428-A07C03003E6C}"/>
    <cellStyle name="Comma 646 2 2 2 2" xfId="19567" xr:uid="{5FC491A7-52A5-4866-9962-63F4F89C5D9C}"/>
    <cellStyle name="Comma 646 2 2 3" xfId="14392" xr:uid="{D36881DF-6F55-4534-A9D8-8D0364FDABAC}"/>
    <cellStyle name="Comma 646 2 3" xfId="7157" xr:uid="{262BC314-BD85-4F2C-BB1A-D9E4956BBE77}"/>
    <cellStyle name="Comma 646 2 3 2" xfId="17509" xr:uid="{54B40A89-2338-4165-85A8-17C542C2E087}"/>
    <cellStyle name="Comma 646 2 4" xfId="12334" xr:uid="{C4CBFB44-E331-4EB2-8732-894A9F956EAD}"/>
    <cellStyle name="Comma 646 3" xfId="2952" xr:uid="{1DC3F02D-FF53-44E5-8FE9-779D20D6F07E}"/>
    <cellStyle name="Comma 646 3 2" xfId="8185" xr:uid="{89D0B3D0-AD9A-464B-AA56-4E1E31B40261}"/>
    <cellStyle name="Comma 646 3 2 2" xfId="18537" xr:uid="{2DFF0509-1766-4302-BCA8-3142248207A4}"/>
    <cellStyle name="Comma 646 3 3" xfId="13362" xr:uid="{0078426B-6E4E-408D-A8FD-A2CB336576D6}"/>
    <cellStyle name="Comma 646 4" xfId="5078" xr:uid="{1F36FCF6-1FD0-4B33-A2A7-C92644D8EB55}"/>
    <cellStyle name="Comma 646 4 2" xfId="10254" xr:uid="{29D45DB1-F8BC-4B90-845B-85CAE39A3F67}"/>
    <cellStyle name="Comma 646 4 2 2" xfId="20606" xr:uid="{F4325349-D1A4-41FA-82FB-36334C36B2F5}"/>
    <cellStyle name="Comma 646 4 3" xfId="15430" xr:uid="{DEE75FED-71A2-4EB6-8DE8-F7BEB5EF2240}"/>
    <cellStyle name="Comma 646 5" xfId="6126" xr:uid="{C4A80FCA-3BEC-46BA-B14B-8F7DABEA21DC}"/>
    <cellStyle name="Comma 646 5 2" xfId="16478" xr:uid="{695626E8-46A9-433C-B66E-6CCF04DD7CC4}"/>
    <cellStyle name="Comma 646 6" xfId="11304" xr:uid="{E55D0567-0892-4C9F-8B18-31E9FDA07466}"/>
    <cellStyle name="Comma 647" xfId="887" xr:uid="{4F8013EE-F341-4FE8-80AE-7E63228C713F}"/>
    <cellStyle name="Comma 647 2" xfId="1925" xr:uid="{0C4B70EF-3A34-4B50-B8C9-50A08832F912}"/>
    <cellStyle name="Comma 647 2 2" xfId="3983" xr:uid="{750F32BB-572B-442D-B156-57B14FAEEBDA}"/>
    <cellStyle name="Comma 647 2 2 2" xfId="9216" xr:uid="{525D0EEC-FDB9-4E12-BA9E-07E21C633799}"/>
    <cellStyle name="Comma 647 2 2 2 2" xfId="19568" xr:uid="{FA84F69B-4C0C-41C3-A329-781F4FF6972E}"/>
    <cellStyle name="Comma 647 2 2 3" xfId="14393" xr:uid="{E964A33F-B19D-4848-9076-6F25E08CF95B}"/>
    <cellStyle name="Comma 647 2 3" xfId="7158" xr:uid="{02A4A264-2248-4DD0-A79F-CA579C344029}"/>
    <cellStyle name="Comma 647 2 3 2" xfId="17510" xr:uid="{746DA5A2-43DC-4EDF-AC0B-FB498F048DEF}"/>
    <cellStyle name="Comma 647 2 4" xfId="12335" xr:uid="{0E2D40F3-72AA-4583-BBE5-9B79DDA62D08}"/>
    <cellStyle name="Comma 647 3" xfId="2953" xr:uid="{DF321CF9-99AD-4E43-B3F8-4BF3E2F93914}"/>
    <cellStyle name="Comma 647 3 2" xfId="8186" xr:uid="{DC463ED7-BB2B-42DC-B564-30378710D48B}"/>
    <cellStyle name="Comma 647 3 2 2" xfId="18538" xr:uid="{C4DFD495-4CC2-4A76-B502-4722942E5DBE}"/>
    <cellStyle name="Comma 647 3 3" xfId="13363" xr:uid="{ECF93FAA-F9E0-4847-92AC-3B46D8E9E74F}"/>
    <cellStyle name="Comma 647 4" xfId="5079" xr:uid="{A4838BD2-9BE8-4126-98E7-AC28E13318B5}"/>
    <cellStyle name="Comma 647 4 2" xfId="10255" xr:uid="{B8762FAA-BBC7-4675-BDE4-A0F8E211B71D}"/>
    <cellStyle name="Comma 647 4 2 2" xfId="20607" xr:uid="{59F54EFA-43D7-41BE-868C-B313ACB31C0B}"/>
    <cellStyle name="Comma 647 4 3" xfId="15431" xr:uid="{44F04983-6F9A-4AE8-A205-EB71EDD19720}"/>
    <cellStyle name="Comma 647 5" xfId="6127" xr:uid="{EB9C29BA-C684-47F7-87F9-914D7A731726}"/>
    <cellStyle name="Comma 647 5 2" xfId="16479" xr:uid="{6B3619AA-9066-4BD3-8CFA-53800C2F67AB}"/>
    <cellStyle name="Comma 647 6" xfId="11305" xr:uid="{F27FCA94-67EE-4A7D-B37D-F788F84A4AE6}"/>
    <cellStyle name="Comma 648" xfId="888" xr:uid="{D43F0E4F-17F5-4566-94F3-C0A699C4F249}"/>
    <cellStyle name="Comma 648 2" xfId="1926" xr:uid="{C3A21021-BFBF-4C63-815C-27E4C6780663}"/>
    <cellStyle name="Comma 648 2 2" xfId="3984" xr:uid="{DBA8DCFA-260D-466A-8691-0E1049097D3E}"/>
    <cellStyle name="Comma 648 2 2 2" xfId="9217" xr:uid="{CC8484C6-6421-43F0-9FCD-81F4ECAF446D}"/>
    <cellStyle name="Comma 648 2 2 2 2" xfId="19569" xr:uid="{B87723B0-7125-439A-907C-F77787EA342A}"/>
    <cellStyle name="Comma 648 2 2 3" xfId="14394" xr:uid="{F9954E72-CF1F-45BD-9856-E9AC04D87B29}"/>
    <cellStyle name="Comma 648 2 3" xfId="7159" xr:uid="{D6379578-5EA1-4708-99B6-9DF6CF2F50B0}"/>
    <cellStyle name="Comma 648 2 3 2" xfId="17511" xr:uid="{4EDBBEA3-1E49-4926-8E13-B62874AD5544}"/>
    <cellStyle name="Comma 648 2 4" xfId="12336" xr:uid="{9BFA22F2-868B-43F3-B428-86DDF274ECCA}"/>
    <cellStyle name="Comma 648 3" xfId="2954" xr:uid="{134AAB3D-B8AE-435B-AE60-DCAF5F9D3DD5}"/>
    <cellStyle name="Comma 648 3 2" xfId="8187" xr:uid="{65C2B8E7-81E2-4128-BFD5-82C909E03700}"/>
    <cellStyle name="Comma 648 3 2 2" xfId="18539" xr:uid="{6609C6EE-A0EC-4420-950A-9E79A64AA483}"/>
    <cellStyle name="Comma 648 3 3" xfId="13364" xr:uid="{507096BD-FDE6-4AF2-B584-2AB933C46BE7}"/>
    <cellStyle name="Comma 648 4" xfId="5080" xr:uid="{7DE5EAE3-7B7D-45FE-8D87-AA681FE7E7AF}"/>
    <cellStyle name="Comma 648 4 2" xfId="10256" xr:uid="{B219524E-F7AA-4255-B16A-3DDED0B498D6}"/>
    <cellStyle name="Comma 648 4 2 2" xfId="20608" xr:uid="{0DF091B5-0372-4B9F-8A55-5970965B9875}"/>
    <cellStyle name="Comma 648 4 3" xfId="15432" xr:uid="{23932947-D453-4D96-B6A2-136E6628EED8}"/>
    <cellStyle name="Comma 648 5" xfId="6128" xr:uid="{79F4A0C1-DEA2-4DFC-BF5E-9CD3DA528059}"/>
    <cellStyle name="Comma 648 5 2" xfId="16480" xr:uid="{79F4D034-BA2A-4A9B-9C6B-3BCE13E73166}"/>
    <cellStyle name="Comma 648 6" xfId="11306" xr:uid="{ACD70E04-D6FC-4965-BADD-02325D03B51C}"/>
    <cellStyle name="Comma 649" xfId="889" xr:uid="{F3A0C54D-F278-45A4-98D4-4DCC2F9D2462}"/>
    <cellStyle name="Comma 649 2" xfId="1927" xr:uid="{E342076E-C159-4414-A223-38FB41BCF533}"/>
    <cellStyle name="Comma 649 2 2" xfId="3985" xr:uid="{E8BDAD3A-6ECB-4629-9CCE-F0073C3B1494}"/>
    <cellStyle name="Comma 649 2 2 2" xfId="9218" xr:uid="{680FFA4F-240C-4C77-9DFD-CEDE957D973D}"/>
    <cellStyle name="Comma 649 2 2 2 2" xfId="19570" xr:uid="{5888CC37-6FE2-4232-B2FF-F47052D7EC80}"/>
    <cellStyle name="Comma 649 2 2 3" xfId="14395" xr:uid="{B5B5F52D-9E33-4192-888C-E217E91A473B}"/>
    <cellStyle name="Comma 649 2 3" xfId="7160" xr:uid="{81D35D1F-C234-4EA4-926B-8768CFFE59D9}"/>
    <cellStyle name="Comma 649 2 3 2" xfId="17512" xr:uid="{EBFAB9E1-A369-4042-9150-6E38E829657B}"/>
    <cellStyle name="Comma 649 2 4" xfId="12337" xr:uid="{BE2F7AE6-9747-43AF-9E1F-F25B06321584}"/>
    <cellStyle name="Comma 649 3" xfId="2955" xr:uid="{3DB45C99-6096-47E8-99ED-95841655C969}"/>
    <cellStyle name="Comma 649 3 2" xfId="8188" xr:uid="{1DC3E525-36FB-4566-911E-41FC7088632A}"/>
    <cellStyle name="Comma 649 3 2 2" xfId="18540" xr:uid="{F1F397CD-5286-4DCC-AA5A-25E68808454A}"/>
    <cellStyle name="Comma 649 3 3" xfId="13365" xr:uid="{5F5EAE06-40A0-49A5-86EB-F07DE3618921}"/>
    <cellStyle name="Comma 649 4" xfId="5081" xr:uid="{B56A485C-9EEF-4D3A-93C6-1705060761E3}"/>
    <cellStyle name="Comma 649 4 2" xfId="10257" xr:uid="{7F999B9B-2328-4EEF-B790-8BD0AF9552C5}"/>
    <cellStyle name="Comma 649 4 2 2" xfId="20609" xr:uid="{CA92565A-5C95-45BC-9875-08BF9A756C53}"/>
    <cellStyle name="Comma 649 4 3" xfId="15433" xr:uid="{4E92A59C-34B2-4221-B677-9CC9866D6CB9}"/>
    <cellStyle name="Comma 649 5" xfId="6129" xr:uid="{EBAD6851-B781-492F-AE95-85A47CCA6F04}"/>
    <cellStyle name="Comma 649 5 2" xfId="16481" xr:uid="{0ADA5A8F-8B2D-49C8-BFF5-AF4E8F20F821}"/>
    <cellStyle name="Comma 649 6" xfId="11307" xr:uid="{80C06830-6537-4E39-A816-76A57945CF3A}"/>
    <cellStyle name="Comma 65" xfId="268" xr:uid="{077F919B-2B41-449C-B167-79224E0DBF9E}"/>
    <cellStyle name="Comma 65 2" xfId="1343" xr:uid="{EE3285C2-5AB2-410B-A70F-8A9E9C85E605}"/>
    <cellStyle name="Comma 65 2 2" xfId="3401" xr:uid="{04B876E6-F104-4499-A2A5-BF83BF289471}"/>
    <cellStyle name="Comma 65 2 2 2" xfId="8634" xr:uid="{432AE81C-6FC0-4B76-B46E-99CFB3E806F6}"/>
    <cellStyle name="Comma 65 2 2 2 2" xfId="18986" xr:uid="{AF4A64D7-3077-4725-B6A5-3EA9B1B1B718}"/>
    <cellStyle name="Comma 65 2 2 3" xfId="13811" xr:uid="{15C30CDC-3963-41BA-AF4C-737B2E8916D2}"/>
    <cellStyle name="Comma 65 2 3" xfId="6576" xr:uid="{E25CFAF4-0607-470C-8BE7-7FDD638D0354}"/>
    <cellStyle name="Comma 65 2 3 2" xfId="16928" xr:uid="{33AABEBB-207D-4262-977A-CA3E3B1F3D53}"/>
    <cellStyle name="Comma 65 2 4" xfId="11753" xr:uid="{0F63988C-A20A-418A-9B95-2D8DA02CC085}"/>
    <cellStyle name="Comma 65 3" xfId="2371" xr:uid="{9B511E8A-1852-40E5-9DCE-C50A6E7DE2D2}"/>
    <cellStyle name="Comma 65 3 2" xfId="7604" xr:uid="{79B06E2B-584A-4CA5-AED2-F2FA76DD66B7}"/>
    <cellStyle name="Comma 65 3 2 2" xfId="17956" xr:uid="{409C828F-68ED-4479-9FC9-F699B197733F}"/>
    <cellStyle name="Comma 65 3 3" xfId="12781" xr:uid="{6CE0BE17-32A4-4B07-9971-09822EA935A6}"/>
    <cellStyle name="Comma 65 4" xfId="4497" xr:uid="{B723F7CE-BF9D-4F2E-A8D1-0410A55C29FF}"/>
    <cellStyle name="Comma 65 4 2" xfId="9673" xr:uid="{2C42B0FC-0A47-4E94-A471-DBC7A141B046}"/>
    <cellStyle name="Comma 65 4 2 2" xfId="20025" xr:uid="{E5905710-1019-4321-A77D-E7A02B64D4C5}"/>
    <cellStyle name="Comma 65 4 3" xfId="14849" xr:uid="{FD133F9D-C973-40EE-97E1-6E7FCF83E738}"/>
    <cellStyle name="Comma 65 5" xfId="5545" xr:uid="{3EFACA87-E62B-4C47-A0B3-695F7A659753}"/>
    <cellStyle name="Comma 65 5 2" xfId="15897" xr:uid="{0E36FD5D-27E2-466A-AB0B-C1C510FB8868}"/>
    <cellStyle name="Comma 65 6" xfId="10723" xr:uid="{E3C42705-3114-4599-86EB-36D70E6EFA48}"/>
    <cellStyle name="Comma 650" xfId="890" xr:uid="{ABE84F33-D3F0-4889-9DD9-67152A00E492}"/>
    <cellStyle name="Comma 650 2" xfId="1928" xr:uid="{71CF128C-7F90-49DB-A644-DAE4788F6D0D}"/>
    <cellStyle name="Comma 650 2 2" xfId="3986" xr:uid="{44E347F1-49E7-4FA2-AFD0-441CF8271347}"/>
    <cellStyle name="Comma 650 2 2 2" xfId="9219" xr:uid="{800C1ED2-9075-48FB-ACDC-FAE0B9E3C1F6}"/>
    <cellStyle name="Comma 650 2 2 2 2" xfId="19571" xr:uid="{D19DEEE3-D168-4A97-9A7E-382B5353FB50}"/>
    <cellStyle name="Comma 650 2 2 3" xfId="14396" xr:uid="{20D878D3-CE5D-4DA6-B8F3-5EA93BA9AF46}"/>
    <cellStyle name="Comma 650 2 3" xfId="7161" xr:uid="{9783AF95-F190-4CB9-AAC5-0CF36851B3C2}"/>
    <cellStyle name="Comma 650 2 3 2" xfId="17513" xr:uid="{4340DC4B-A67C-43CE-9223-8B02F6B468C2}"/>
    <cellStyle name="Comma 650 2 4" xfId="12338" xr:uid="{1D94D81E-6BAB-48D2-8634-792D0EE88D93}"/>
    <cellStyle name="Comma 650 3" xfId="2956" xr:uid="{0F4167EF-DDF4-4A21-B7D5-4D9770BD78C6}"/>
    <cellStyle name="Comma 650 3 2" xfId="8189" xr:uid="{26B3B130-CC28-460C-A626-20718304C843}"/>
    <cellStyle name="Comma 650 3 2 2" xfId="18541" xr:uid="{EA36A873-48CA-40D4-B72D-AFC4025B0C0D}"/>
    <cellStyle name="Comma 650 3 3" xfId="13366" xr:uid="{66A34117-A652-4CA8-B2DB-E27287FC6093}"/>
    <cellStyle name="Comma 650 4" xfId="5082" xr:uid="{3A397BB7-DF44-425E-B712-9F6F1BBCE554}"/>
    <cellStyle name="Comma 650 4 2" xfId="10258" xr:uid="{C8AE8729-5026-4F90-8F4F-E62A390B90EC}"/>
    <cellStyle name="Comma 650 4 2 2" xfId="20610" xr:uid="{B3007FD9-12C6-4702-A756-2FFD969F2BE4}"/>
    <cellStyle name="Comma 650 4 3" xfId="15434" xr:uid="{D1CBE1CB-BCE8-49FF-97E1-E611D09730E2}"/>
    <cellStyle name="Comma 650 5" xfId="6130" xr:uid="{C179F85A-8AD8-44DC-A54D-FBD4823689AC}"/>
    <cellStyle name="Comma 650 5 2" xfId="16482" xr:uid="{03A4D9E2-28F6-43E6-A42F-A7E9B87A1A52}"/>
    <cellStyle name="Comma 650 6" xfId="11308" xr:uid="{06351295-1430-46DC-B6C2-3E33FA5D0AF8}"/>
    <cellStyle name="Comma 651" xfId="891" xr:uid="{BE150A37-7D94-417D-8CDE-28E2A86C1198}"/>
    <cellStyle name="Comma 651 2" xfId="1929" xr:uid="{F3ABD1E8-F812-4DFE-8EDC-3621F1F3E700}"/>
    <cellStyle name="Comma 651 2 2" xfId="3987" xr:uid="{1FFD15EC-3DDF-4AE3-96C4-D8AC7CFD977B}"/>
    <cellStyle name="Comma 651 2 2 2" xfId="9220" xr:uid="{D8053D85-E1E6-4370-8ED8-55261E155F80}"/>
    <cellStyle name="Comma 651 2 2 2 2" xfId="19572" xr:uid="{733B4B76-EC3C-4287-8760-0952232287F0}"/>
    <cellStyle name="Comma 651 2 2 3" xfId="14397" xr:uid="{67CA5BAB-0868-4B61-BFBC-595DC0611A4C}"/>
    <cellStyle name="Comma 651 2 3" xfId="7162" xr:uid="{B5A190F5-1F18-460B-9922-914C5666C936}"/>
    <cellStyle name="Comma 651 2 3 2" xfId="17514" xr:uid="{6B3ECC11-A992-41B1-8B33-9FEDCF0972E3}"/>
    <cellStyle name="Comma 651 2 4" xfId="12339" xr:uid="{2EAB79D0-6C0D-47DF-81E1-414D0C1D702E}"/>
    <cellStyle name="Comma 651 3" xfId="2957" xr:uid="{FE51DB44-87CC-49C4-A057-E76387A1478A}"/>
    <cellStyle name="Comma 651 3 2" xfId="8190" xr:uid="{CE7C5018-7ED8-46D5-B42D-500FBD3B6A12}"/>
    <cellStyle name="Comma 651 3 2 2" xfId="18542" xr:uid="{AF36A257-4020-430B-AE75-8135685FFA99}"/>
    <cellStyle name="Comma 651 3 3" xfId="13367" xr:uid="{D0EFF51B-9D48-46CD-9965-E2C36A159230}"/>
    <cellStyle name="Comma 651 4" xfId="5083" xr:uid="{47981B9E-C26A-44CE-84F7-839A65ED4EC8}"/>
    <cellStyle name="Comma 651 4 2" xfId="10259" xr:uid="{350F6E62-367D-4DBD-89CA-A055B1DABD32}"/>
    <cellStyle name="Comma 651 4 2 2" xfId="20611" xr:uid="{B15075CE-4BE8-40E5-AF1C-313D35E82A33}"/>
    <cellStyle name="Comma 651 4 3" xfId="15435" xr:uid="{5A03C9F0-AB06-4780-AF30-9B8B768466D3}"/>
    <cellStyle name="Comma 651 5" xfId="6131" xr:uid="{88C5A368-E28C-4FD7-B78E-025ED9D295DF}"/>
    <cellStyle name="Comma 651 5 2" xfId="16483" xr:uid="{BAEB6DBD-2722-4486-A372-EBC6FE5C87E2}"/>
    <cellStyle name="Comma 651 6" xfId="11309" xr:uid="{93E25C7C-40DB-4957-ABF0-560864C8249B}"/>
    <cellStyle name="Comma 652" xfId="892" xr:uid="{ECEE3729-3DD0-445F-8BD9-C014B7A23A01}"/>
    <cellStyle name="Comma 652 2" xfId="1930" xr:uid="{04454BE9-91EA-49AB-8960-8E4204F357E0}"/>
    <cellStyle name="Comma 652 2 2" xfId="3988" xr:uid="{CA872DFA-01CA-46CC-B393-3D2232838D3B}"/>
    <cellStyle name="Comma 652 2 2 2" xfId="9221" xr:uid="{E3FDD623-77C3-494E-9425-8DFE9606A95A}"/>
    <cellStyle name="Comma 652 2 2 2 2" xfId="19573" xr:uid="{198A5846-80A8-4BFF-91CB-723BE05BCE7E}"/>
    <cellStyle name="Comma 652 2 2 3" xfId="14398" xr:uid="{F6934FDB-17A1-4965-BF64-080010E95205}"/>
    <cellStyle name="Comma 652 2 3" xfId="7163" xr:uid="{9916F484-2B5F-421C-A1A3-58E8C6E48A19}"/>
    <cellStyle name="Comma 652 2 3 2" xfId="17515" xr:uid="{C8070474-55CD-4E03-82B6-A4EFC9CF64E3}"/>
    <cellStyle name="Comma 652 2 4" xfId="12340" xr:uid="{8BC4BF65-886F-4405-A136-3CD999AED691}"/>
    <cellStyle name="Comma 652 3" xfId="2958" xr:uid="{2B72BB7A-5D50-4EDC-8C3A-DB5C5438FF2C}"/>
    <cellStyle name="Comma 652 3 2" xfId="8191" xr:uid="{BCB88600-6D84-48DA-A9C1-1987AA1CCD3C}"/>
    <cellStyle name="Comma 652 3 2 2" xfId="18543" xr:uid="{4C47A23B-77EF-44C6-BBF4-F01AA5B5DE5C}"/>
    <cellStyle name="Comma 652 3 3" xfId="13368" xr:uid="{9240747C-AABC-4A6C-B535-5D08EC855BC7}"/>
    <cellStyle name="Comma 652 4" xfId="5084" xr:uid="{91502305-2DAC-4672-9E16-5681BE88564B}"/>
    <cellStyle name="Comma 652 4 2" xfId="10260" xr:uid="{7B6ED1C5-5C29-4E18-AFC1-EA6D546BDF42}"/>
    <cellStyle name="Comma 652 4 2 2" xfId="20612" xr:uid="{6EAE3446-54BE-4DCD-AFA2-BF111784F6B5}"/>
    <cellStyle name="Comma 652 4 3" xfId="15436" xr:uid="{8D8130BC-5141-413B-8C3F-511EFD77E977}"/>
    <cellStyle name="Comma 652 5" xfId="6132" xr:uid="{15617F36-C477-4A40-894E-FE8151FF60B5}"/>
    <cellStyle name="Comma 652 5 2" xfId="16484" xr:uid="{716928F2-13D0-49A7-8535-A52A6A3330E7}"/>
    <cellStyle name="Comma 652 6" xfId="11310" xr:uid="{234321FE-4614-4DC0-805C-512B26824E5C}"/>
    <cellStyle name="Comma 653" xfId="893" xr:uid="{0F6E2556-DD9C-4016-A747-835FE31D8C15}"/>
    <cellStyle name="Comma 653 2" xfId="1931" xr:uid="{2DB7ECFF-F2AF-4060-AFBA-7FB613A19235}"/>
    <cellStyle name="Comma 653 2 2" xfId="3989" xr:uid="{94C0F974-BF18-47F0-BF42-973715A5EDA9}"/>
    <cellStyle name="Comma 653 2 2 2" xfId="9222" xr:uid="{E44E7D89-7330-4A52-8D4A-D8DCF0E639BC}"/>
    <cellStyle name="Comma 653 2 2 2 2" xfId="19574" xr:uid="{C4F0E7C3-BDD5-43D0-9260-9F257C260DB5}"/>
    <cellStyle name="Comma 653 2 2 3" xfId="14399" xr:uid="{97E1EA7B-8E2A-43B9-BD04-9640BD940F48}"/>
    <cellStyle name="Comma 653 2 3" xfId="7164" xr:uid="{ED9EB0D3-62F9-4C85-A253-D24BB03E5007}"/>
    <cellStyle name="Comma 653 2 3 2" xfId="17516" xr:uid="{284593C5-B404-4C28-9DC2-6379CDC8ED7F}"/>
    <cellStyle name="Comma 653 2 4" xfId="12341" xr:uid="{4394F469-6C4D-45FE-A9B8-AD8C051D2B07}"/>
    <cellStyle name="Comma 653 3" xfId="2959" xr:uid="{2A7C6E8D-DBD6-4C3C-B9F7-615E8EC86CB1}"/>
    <cellStyle name="Comma 653 3 2" xfId="8192" xr:uid="{C2FB9328-285B-4B52-A288-75DDC3692B9D}"/>
    <cellStyle name="Comma 653 3 2 2" xfId="18544" xr:uid="{D5FD7110-A205-4EC6-923B-1A56E50FEA6F}"/>
    <cellStyle name="Comma 653 3 3" xfId="13369" xr:uid="{4F52DDEC-3EFD-4487-86BC-3383DABE5EE5}"/>
    <cellStyle name="Comma 653 4" xfId="5085" xr:uid="{BFBEC417-95BD-4D7E-AD9D-C51A9252042F}"/>
    <cellStyle name="Comma 653 4 2" xfId="10261" xr:uid="{4C2CE379-DC53-4749-A27A-189D03723BA5}"/>
    <cellStyle name="Comma 653 4 2 2" xfId="20613" xr:uid="{894EFAFE-6405-4D86-9387-88F82F7204EB}"/>
    <cellStyle name="Comma 653 4 3" xfId="15437" xr:uid="{389B1073-9E61-48B6-BD9E-50624045C167}"/>
    <cellStyle name="Comma 653 5" xfId="6133" xr:uid="{AC90B2F6-3EFB-4CE8-A91A-4BD80BF255F6}"/>
    <cellStyle name="Comma 653 5 2" xfId="16485" xr:uid="{CD6EC1B3-3593-4CEA-8C96-83AA8225D922}"/>
    <cellStyle name="Comma 653 6" xfId="11311" xr:uid="{7AD70FE3-8D05-4ACA-9D8C-3B7AC3619336}"/>
    <cellStyle name="Comma 654" xfId="894" xr:uid="{480C74FA-039E-477A-AA2A-E378CDFBFD7F}"/>
    <cellStyle name="Comma 654 2" xfId="1932" xr:uid="{660BD7E9-CFB5-413A-AD76-F70D6D0823BC}"/>
    <cellStyle name="Comma 654 2 2" xfId="3990" xr:uid="{990CEDC4-2CAC-418F-B1FC-31955B401135}"/>
    <cellStyle name="Comma 654 2 2 2" xfId="9223" xr:uid="{6091ED74-04A4-4D8E-8F87-6765783257EF}"/>
    <cellStyle name="Comma 654 2 2 2 2" xfId="19575" xr:uid="{42B03212-0578-435A-9F3C-682952A82150}"/>
    <cellStyle name="Comma 654 2 2 3" xfId="14400" xr:uid="{FCD8EE58-F171-498E-97CB-6914681DD1CE}"/>
    <cellStyle name="Comma 654 2 3" xfId="7165" xr:uid="{4951CBA9-60C2-41E3-AD87-D9DD6275BF87}"/>
    <cellStyle name="Comma 654 2 3 2" xfId="17517" xr:uid="{82F998E2-F3BF-4BA2-A275-9404A70091E8}"/>
    <cellStyle name="Comma 654 2 4" xfId="12342" xr:uid="{247D8F9C-1DBC-4DA4-94A2-1D48ABC0EEC8}"/>
    <cellStyle name="Comma 654 3" xfId="2960" xr:uid="{CFD5C0CE-3DC9-49EC-8CA8-0B6F4CB6B236}"/>
    <cellStyle name="Comma 654 3 2" xfId="8193" xr:uid="{05FEF22A-A2EC-49F3-A754-613B43E8C542}"/>
    <cellStyle name="Comma 654 3 2 2" xfId="18545" xr:uid="{F653863B-D4D5-4192-B7EE-8C47CEC78F60}"/>
    <cellStyle name="Comma 654 3 3" xfId="13370" xr:uid="{79B7B439-CA4E-4492-B3AB-8D50E76C65C2}"/>
    <cellStyle name="Comma 654 4" xfId="5086" xr:uid="{01C1F827-377C-4FD5-B60D-DABEA58D95F8}"/>
    <cellStyle name="Comma 654 4 2" xfId="10262" xr:uid="{41FBC38A-F64C-4661-B116-07CA62517412}"/>
    <cellStyle name="Comma 654 4 2 2" xfId="20614" xr:uid="{FB56AB5A-3FCE-467E-A4B5-58CF63186CF4}"/>
    <cellStyle name="Comma 654 4 3" xfId="15438" xr:uid="{939373D5-3649-4CAB-9547-0D5ABBF74AC3}"/>
    <cellStyle name="Comma 654 5" xfId="6134" xr:uid="{96A48F09-FA84-4047-A00A-336939CDFE10}"/>
    <cellStyle name="Comma 654 5 2" xfId="16486" xr:uid="{4394EECD-1452-4A31-B1AB-8F7597679B9F}"/>
    <cellStyle name="Comma 654 6" xfId="11312" xr:uid="{273D4CC3-3846-4B74-A7A7-7128EB415AC9}"/>
    <cellStyle name="Comma 655" xfId="895" xr:uid="{FDBF8E3B-4771-4C59-97B2-54EDAFDB9FE5}"/>
    <cellStyle name="Comma 655 2" xfId="1933" xr:uid="{FF8C9BBE-0403-4AAD-9A01-16DEF71E60F4}"/>
    <cellStyle name="Comma 655 2 2" xfId="3991" xr:uid="{DDE2FFCF-DA4F-43B6-AD51-3FF9E7888595}"/>
    <cellStyle name="Comma 655 2 2 2" xfId="9224" xr:uid="{CC57684B-A0B8-46B8-B693-6CF032A0F3BD}"/>
    <cellStyle name="Comma 655 2 2 2 2" xfId="19576" xr:uid="{3A80BD6F-713D-48DB-9A34-AC38D7DD5E8C}"/>
    <cellStyle name="Comma 655 2 2 3" xfId="14401" xr:uid="{5BD8D9C3-D8C6-4549-B4D2-D422F03C4ED1}"/>
    <cellStyle name="Comma 655 2 3" xfId="7166" xr:uid="{393B6FC0-2071-4F0F-8032-FB9E4C995CDA}"/>
    <cellStyle name="Comma 655 2 3 2" xfId="17518" xr:uid="{82DED0FA-06AA-424E-A4E2-9FABF6E2E2AE}"/>
    <cellStyle name="Comma 655 2 4" xfId="12343" xr:uid="{58B65CD3-0EF9-4139-A495-47DCF8D427F5}"/>
    <cellStyle name="Comma 655 3" xfId="2961" xr:uid="{495979F6-7EC8-4546-B12D-E633581BB78C}"/>
    <cellStyle name="Comma 655 3 2" xfId="8194" xr:uid="{BE10991E-7C07-4A34-999D-6CF3333C0F80}"/>
    <cellStyle name="Comma 655 3 2 2" xfId="18546" xr:uid="{1FBEE356-63B7-478A-917E-3FD0414C3727}"/>
    <cellStyle name="Comma 655 3 3" xfId="13371" xr:uid="{A3E3CBAB-2B4F-4671-9DFD-CEBF82EB3A72}"/>
    <cellStyle name="Comma 655 4" xfId="5087" xr:uid="{96EB8E78-1B09-413F-9ADC-74E3D69AC2C2}"/>
    <cellStyle name="Comma 655 4 2" xfId="10263" xr:uid="{B270C0C3-6121-4241-9697-5425E4E40DBD}"/>
    <cellStyle name="Comma 655 4 2 2" xfId="20615" xr:uid="{05D0EB33-1F61-43EC-8B69-304F4C5E366D}"/>
    <cellStyle name="Comma 655 4 3" xfId="15439" xr:uid="{6388DFD4-3054-42C6-B3E5-553F53B21705}"/>
    <cellStyle name="Comma 655 5" xfId="6135" xr:uid="{172EF16E-696A-4013-944C-8B2EB700901E}"/>
    <cellStyle name="Comma 655 5 2" xfId="16487" xr:uid="{05DE8A03-FE0A-489A-8C46-33289BF35BF1}"/>
    <cellStyle name="Comma 655 6" xfId="11313" xr:uid="{F40B547D-C02C-4A90-ADC8-6B2580D169DB}"/>
    <cellStyle name="Comma 656" xfId="896" xr:uid="{087687CE-D0C4-4FEE-8DF2-D2DFCBD60962}"/>
    <cellStyle name="Comma 656 2" xfId="1934" xr:uid="{EFB10129-A18C-43F7-82B5-30BE53423DF6}"/>
    <cellStyle name="Comma 656 2 2" xfId="3992" xr:uid="{61DA9276-A2EE-484E-B998-6A56712149A5}"/>
    <cellStyle name="Comma 656 2 2 2" xfId="9225" xr:uid="{69E6D1B0-0DBE-470D-9853-23F5550E943B}"/>
    <cellStyle name="Comma 656 2 2 2 2" xfId="19577" xr:uid="{F2DF3741-067C-400B-9EDE-D972E9961AFE}"/>
    <cellStyle name="Comma 656 2 2 3" xfId="14402" xr:uid="{9F0FC739-524A-4DDB-9201-2B8773F30972}"/>
    <cellStyle name="Comma 656 2 3" xfId="7167" xr:uid="{4DAFCCD6-6205-4512-876B-99FEC139D9F6}"/>
    <cellStyle name="Comma 656 2 3 2" xfId="17519" xr:uid="{38638E73-0C99-4B77-9023-E89EA255830D}"/>
    <cellStyle name="Comma 656 2 4" xfId="12344" xr:uid="{1C2CA99C-EC97-4A9B-B834-E2FAEB32CEC1}"/>
    <cellStyle name="Comma 656 3" xfId="2962" xr:uid="{2A5D9DB4-E245-4912-B2ED-5570CD326A6E}"/>
    <cellStyle name="Comma 656 3 2" xfId="8195" xr:uid="{1D8777C0-FAD3-48B2-9D97-C2341E5E2840}"/>
    <cellStyle name="Comma 656 3 2 2" xfId="18547" xr:uid="{4FBB644A-1C96-4822-AE44-D1C9339A6B59}"/>
    <cellStyle name="Comma 656 3 3" xfId="13372" xr:uid="{8C8CEE11-AE5B-4ABC-A968-000ED942AE02}"/>
    <cellStyle name="Comma 656 4" xfId="5088" xr:uid="{60EC327E-81B4-4D42-917F-D9720AB0BEB6}"/>
    <cellStyle name="Comma 656 4 2" xfId="10264" xr:uid="{C91D0556-4171-40D9-A038-1F8050C7D0B3}"/>
    <cellStyle name="Comma 656 4 2 2" xfId="20616" xr:uid="{7553E261-F8B2-4705-95C4-A79A23C6E442}"/>
    <cellStyle name="Comma 656 4 3" xfId="15440" xr:uid="{B3A76398-2D43-4A56-AD8A-727002220A96}"/>
    <cellStyle name="Comma 656 5" xfId="6136" xr:uid="{3CFE5DCD-70E6-4DBE-869F-8E5C12567AF5}"/>
    <cellStyle name="Comma 656 5 2" xfId="16488" xr:uid="{F1F03BF2-7F62-4933-9A33-2AC523FB43C0}"/>
    <cellStyle name="Comma 656 6" xfId="11314" xr:uid="{10063558-A5A7-444F-AE9F-596B35673162}"/>
    <cellStyle name="Comma 657" xfId="897" xr:uid="{608B7FC8-BE81-4975-AD88-1EF8849A690F}"/>
    <cellStyle name="Comma 657 2" xfId="1935" xr:uid="{C45A8374-869C-4CED-9671-32A54178E376}"/>
    <cellStyle name="Comma 657 2 2" xfId="3993" xr:uid="{61846462-19B6-4031-BEA0-72365DCF9BEB}"/>
    <cellStyle name="Comma 657 2 2 2" xfId="9226" xr:uid="{7CBA7180-6D58-45C1-8E83-4322C2F9EF75}"/>
    <cellStyle name="Comma 657 2 2 2 2" xfId="19578" xr:uid="{DF896AD4-74AE-4010-B4CC-9266F49179DB}"/>
    <cellStyle name="Comma 657 2 2 3" xfId="14403" xr:uid="{8F959975-21B9-46C7-885B-720272934092}"/>
    <cellStyle name="Comma 657 2 3" xfId="7168" xr:uid="{36E7E52B-EF43-4204-9B4C-1C7C07F12A82}"/>
    <cellStyle name="Comma 657 2 3 2" xfId="17520" xr:uid="{47E23379-687F-4FC4-A748-3131A5AB2ACE}"/>
    <cellStyle name="Comma 657 2 4" xfId="12345" xr:uid="{9C1FEBD0-3666-4552-8114-2B6AA2DB2E0C}"/>
    <cellStyle name="Comma 657 3" xfId="2963" xr:uid="{6D6ABCF5-6D84-4570-8173-E2301214B471}"/>
    <cellStyle name="Comma 657 3 2" xfId="8196" xr:uid="{E4BAFC58-2355-444C-AE47-6A1EC5A9381F}"/>
    <cellStyle name="Comma 657 3 2 2" xfId="18548" xr:uid="{78228B90-9CA8-4BA1-B9E6-80A2EB4469E7}"/>
    <cellStyle name="Comma 657 3 3" xfId="13373" xr:uid="{1BE8262A-FF7C-4EBC-A3B7-635784150ED8}"/>
    <cellStyle name="Comma 657 4" xfId="5089" xr:uid="{431A75EA-AE5C-458B-B791-C500128C211B}"/>
    <cellStyle name="Comma 657 4 2" xfId="10265" xr:uid="{F4A6F170-08BC-4FEC-B7CC-B05DE951BBD6}"/>
    <cellStyle name="Comma 657 4 2 2" xfId="20617" xr:uid="{8D508611-68C8-45EB-BDED-41E1AE654917}"/>
    <cellStyle name="Comma 657 4 3" xfId="15441" xr:uid="{D73A79C1-D746-4B79-85DB-12175C62B38A}"/>
    <cellStyle name="Comma 657 5" xfId="6137" xr:uid="{7432B17B-90E8-4E06-918F-7CC747C4839E}"/>
    <cellStyle name="Comma 657 5 2" xfId="16489" xr:uid="{9E3D3799-9184-4142-B0D0-38581EC8B977}"/>
    <cellStyle name="Comma 657 6" xfId="11315" xr:uid="{DEC27748-CE88-4BDE-B88F-FC5EA686C4E8}"/>
    <cellStyle name="Comma 658" xfId="898" xr:uid="{A5458EE4-DCFB-4061-B565-78F4B3DC840F}"/>
    <cellStyle name="Comma 658 2" xfId="1936" xr:uid="{E9B441E3-32BD-4D24-ACAD-CEC02398DE96}"/>
    <cellStyle name="Comma 658 2 2" xfId="3994" xr:uid="{D2C1C64E-606B-4F34-9F91-0935C79F4193}"/>
    <cellStyle name="Comma 658 2 2 2" xfId="9227" xr:uid="{E9CBC866-CC79-44A5-B9E7-BB6CCBC98B40}"/>
    <cellStyle name="Comma 658 2 2 2 2" xfId="19579" xr:uid="{3345AD88-1FC9-4112-8E5B-1C5224E8203F}"/>
    <cellStyle name="Comma 658 2 2 3" xfId="14404" xr:uid="{DCD725AB-8E55-4AE2-8138-FDB98C53BDA5}"/>
    <cellStyle name="Comma 658 2 3" xfId="7169" xr:uid="{2AD2F33A-38D5-4680-A9E1-AB90E8DF67FF}"/>
    <cellStyle name="Comma 658 2 3 2" xfId="17521" xr:uid="{8D4800F2-BCDE-443C-8D89-355F28D12EBD}"/>
    <cellStyle name="Comma 658 2 4" xfId="12346" xr:uid="{457D9F9C-2C16-4781-96B5-9303B5EE5482}"/>
    <cellStyle name="Comma 658 3" xfId="2964" xr:uid="{201E1F0A-F67F-482C-9BB2-186047E66CF9}"/>
    <cellStyle name="Comma 658 3 2" xfId="8197" xr:uid="{99E21326-2895-4702-8E18-D18E8F13F169}"/>
    <cellStyle name="Comma 658 3 2 2" xfId="18549" xr:uid="{9AA4B548-759C-4414-920C-85109C8497A2}"/>
    <cellStyle name="Comma 658 3 3" xfId="13374" xr:uid="{62022B8C-484A-41EC-9746-A923ED4AF3F4}"/>
    <cellStyle name="Comma 658 4" xfId="5090" xr:uid="{8599D5E4-4165-4C07-9F0B-6A85A33EB74A}"/>
    <cellStyle name="Comma 658 4 2" xfId="10266" xr:uid="{FEB4D9F9-76E2-44D2-9CE2-4FE9217824FC}"/>
    <cellStyle name="Comma 658 4 2 2" xfId="20618" xr:uid="{BAD98801-7F2C-47EC-ABFA-81524DC2F010}"/>
    <cellStyle name="Comma 658 4 3" xfId="15442" xr:uid="{6D259CA5-F3F6-4CB8-A04D-40684A13E17C}"/>
    <cellStyle name="Comma 658 5" xfId="6138" xr:uid="{DBB3168A-B980-4712-AD24-A2EA39628723}"/>
    <cellStyle name="Comma 658 5 2" xfId="16490" xr:uid="{8D3A8B0A-A6D7-4B9F-80BF-57D67585CD83}"/>
    <cellStyle name="Comma 658 6" xfId="11316" xr:uid="{519F4B9D-F359-490F-BD27-56ECB9B890E6}"/>
    <cellStyle name="Comma 659" xfId="899" xr:uid="{9316FA47-B9CE-4A68-9128-86877AC63FA7}"/>
    <cellStyle name="Comma 659 2" xfId="1937" xr:uid="{3B670598-CEC1-4104-97E4-BAEB5E65BBEF}"/>
    <cellStyle name="Comma 659 2 2" xfId="3995" xr:uid="{98282A5C-9A04-4B51-8237-45ADCE8B09FD}"/>
    <cellStyle name="Comma 659 2 2 2" xfId="9228" xr:uid="{27522546-06DC-4302-B047-EA728C43F0B0}"/>
    <cellStyle name="Comma 659 2 2 2 2" xfId="19580" xr:uid="{75CE0BC9-9131-4B1F-80B4-5341563247EF}"/>
    <cellStyle name="Comma 659 2 2 3" xfId="14405" xr:uid="{17B5AF13-2042-4F9D-B9EF-B56339B8CD0B}"/>
    <cellStyle name="Comma 659 2 3" xfId="7170" xr:uid="{D97D78B0-C514-45DE-BD08-58F7A04BFB88}"/>
    <cellStyle name="Comma 659 2 3 2" xfId="17522" xr:uid="{36338350-CAF2-4A22-8189-5BBB5ADE2730}"/>
    <cellStyle name="Comma 659 2 4" xfId="12347" xr:uid="{42DAA9DF-4467-45AA-906C-D3A1BDFA580A}"/>
    <cellStyle name="Comma 659 3" xfId="2965" xr:uid="{682A1529-3CD3-4898-81E8-BAF9EF2BF3A9}"/>
    <cellStyle name="Comma 659 3 2" xfId="8198" xr:uid="{40F0C748-F122-4F0C-8746-35405F6E27FF}"/>
    <cellStyle name="Comma 659 3 2 2" xfId="18550" xr:uid="{33F77A75-16E9-4D0A-96A2-A18135A49EC1}"/>
    <cellStyle name="Comma 659 3 3" xfId="13375" xr:uid="{189A363A-C94A-4E1D-958F-0C9B2DD09EBB}"/>
    <cellStyle name="Comma 659 4" xfId="5091" xr:uid="{6A565B07-9BC2-41EF-A936-7E3FB8238430}"/>
    <cellStyle name="Comma 659 4 2" xfId="10267" xr:uid="{A02B762F-4B30-4A14-B18A-1D6528420399}"/>
    <cellStyle name="Comma 659 4 2 2" xfId="20619" xr:uid="{38E5126C-EA89-4E39-8A43-1EACE907A22B}"/>
    <cellStyle name="Comma 659 4 3" xfId="15443" xr:uid="{28FE7BFF-9B2B-4024-95EE-BC98B5A12035}"/>
    <cellStyle name="Comma 659 5" xfId="6139" xr:uid="{0ED82966-F215-435C-9DAA-37B29AED7869}"/>
    <cellStyle name="Comma 659 5 2" xfId="16491" xr:uid="{AD870A1A-268C-463D-A4B5-2C33FC1A22AB}"/>
    <cellStyle name="Comma 659 6" xfId="11317" xr:uid="{557E9ECE-DB58-4A8D-9B57-CB5B5A283634}"/>
    <cellStyle name="Comma 66" xfId="269" xr:uid="{99E5653B-1A06-4EE0-A1E1-58E611108330}"/>
    <cellStyle name="Comma 66 2" xfId="1344" xr:uid="{C89EBBE5-AA62-4FB8-9669-625E73289C1E}"/>
    <cellStyle name="Comma 66 2 2" xfId="3402" xr:uid="{F574A18A-B417-41F7-95E5-631322DC1D39}"/>
    <cellStyle name="Comma 66 2 2 2" xfId="8635" xr:uid="{30BB56A0-6C63-4298-8DB9-6DE426911208}"/>
    <cellStyle name="Comma 66 2 2 2 2" xfId="18987" xr:uid="{9EA67244-EB69-4C23-A338-A07537785A37}"/>
    <cellStyle name="Comma 66 2 2 3" xfId="13812" xr:uid="{85B27AA7-F8B0-4E11-B255-AE9FEDBF4F61}"/>
    <cellStyle name="Comma 66 2 3" xfId="6577" xr:uid="{C0F04E6A-26CB-47C6-B332-577A968E1948}"/>
    <cellStyle name="Comma 66 2 3 2" xfId="16929" xr:uid="{DA3B10C3-9091-40E8-99E4-D585591A8F18}"/>
    <cellStyle name="Comma 66 2 4" xfId="11754" xr:uid="{F70F45A4-52C2-41D9-BBA2-CF659C84AFB2}"/>
    <cellStyle name="Comma 66 3" xfId="2372" xr:uid="{8F950BDC-AB03-47AC-80E4-FD078517D9E9}"/>
    <cellStyle name="Comma 66 3 2" xfId="7605" xr:uid="{97824E53-AE1D-4EE8-9FA3-26674BA7F0F6}"/>
    <cellStyle name="Comma 66 3 2 2" xfId="17957" xr:uid="{B71B01FD-ECB9-408A-A50F-2A689726F170}"/>
    <cellStyle name="Comma 66 3 3" xfId="12782" xr:uid="{69A7CDA1-CDB6-48D8-A68E-5635CE0CA6BF}"/>
    <cellStyle name="Comma 66 4" xfId="4498" xr:uid="{0363B10C-2758-42E3-A293-90C83D7CB6BA}"/>
    <cellStyle name="Comma 66 4 2" xfId="9674" xr:uid="{115AD6CD-6051-44B7-B9F6-4A6ADD2F6D98}"/>
    <cellStyle name="Comma 66 4 2 2" xfId="20026" xr:uid="{D6FD5CBC-4D55-46E4-9957-D933BD386CE5}"/>
    <cellStyle name="Comma 66 4 3" xfId="14850" xr:uid="{5D7AC3EC-B21F-439A-B0E3-DB9727007AB0}"/>
    <cellStyle name="Comma 66 5" xfId="5546" xr:uid="{E105D243-CB38-484A-AE1C-B68F8DC4BCDD}"/>
    <cellStyle name="Comma 66 5 2" xfId="15898" xr:uid="{9FDD1EBA-E8B1-40BF-9B99-F81703A3410A}"/>
    <cellStyle name="Comma 66 6" xfId="10724" xr:uid="{C0CE4A41-B806-4982-A21C-7FCA33088052}"/>
    <cellStyle name="Comma 660" xfId="900" xr:uid="{1A7EEA42-8343-4D2F-A9DF-686DC6C70FC1}"/>
    <cellStyle name="Comma 660 2" xfId="1938" xr:uid="{740D63EA-DFCE-4717-A7A4-37D1F5B25F14}"/>
    <cellStyle name="Comma 660 2 2" xfId="3996" xr:uid="{09DBE1D8-82E2-477A-A7E2-5DFADE173E1A}"/>
    <cellStyle name="Comma 660 2 2 2" xfId="9229" xr:uid="{4D67D371-7E97-4767-AAC5-9368DE21DA10}"/>
    <cellStyle name="Comma 660 2 2 2 2" xfId="19581" xr:uid="{1967FEAC-3E65-4C7F-B434-C810D239BEFD}"/>
    <cellStyle name="Comma 660 2 2 3" xfId="14406" xr:uid="{15387FF3-34A6-40AE-9D4B-04B8F52FD5A8}"/>
    <cellStyle name="Comma 660 2 3" xfId="7171" xr:uid="{28378D1D-9066-4E03-A805-D087945324DB}"/>
    <cellStyle name="Comma 660 2 3 2" xfId="17523" xr:uid="{75D6F086-A353-4467-9D72-D157AA221DBE}"/>
    <cellStyle name="Comma 660 2 4" xfId="12348" xr:uid="{8B6C3B7F-53D2-4BE4-971E-8BCB8AD774A7}"/>
    <cellStyle name="Comma 660 3" xfId="2966" xr:uid="{A1A79693-B401-4AE1-BE3B-8D6B310EE564}"/>
    <cellStyle name="Comma 660 3 2" xfId="8199" xr:uid="{64DF7AD4-5E2C-484F-BC9E-7EDD942FD548}"/>
    <cellStyle name="Comma 660 3 2 2" xfId="18551" xr:uid="{46563A0F-FAC6-4874-8FF0-FBA318C5ABF7}"/>
    <cellStyle name="Comma 660 3 3" xfId="13376" xr:uid="{0F50B0A9-029E-4EB7-AA2B-3F5CDE9BF512}"/>
    <cellStyle name="Comma 660 4" xfId="5092" xr:uid="{CFA8814E-D47D-4D3E-91FE-23FCF5B9BFC6}"/>
    <cellStyle name="Comma 660 4 2" xfId="10268" xr:uid="{D856B803-D02E-4927-AD04-3352C131DEE2}"/>
    <cellStyle name="Comma 660 4 2 2" xfId="20620" xr:uid="{97EC2F1C-8962-4D35-A71E-751CABFD135E}"/>
    <cellStyle name="Comma 660 4 3" xfId="15444" xr:uid="{7177AAEC-20A3-4699-BD7B-52153CFF8986}"/>
    <cellStyle name="Comma 660 5" xfId="6140" xr:uid="{A7128FAE-EC9E-4B98-8CB6-D60E7DD67617}"/>
    <cellStyle name="Comma 660 5 2" xfId="16492" xr:uid="{1A8D0C7C-5A3B-4F5F-9B0E-079F7411A88C}"/>
    <cellStyle name="Comma 660 6" xfId="11318" xr:uid="{4F3772F1-4D65-4B2E-8EF9-F7671C48367A}"/>
    <cellStyle name="Comma 661" xfId="901" xr:uid="{A5E63E93-C9ED-445F-896D-D07F40EE558C}"/>
    <cellStyle name="Comma 661 2" xfId="1939" xr:uid="{360718F0-FAB7-47F5-A406-F0354C9FD72A}"/>
    <cellStyle name="Comma 661 2 2" xfId="3997" xr:uid="{0B5D8ABE-54A6-4557-BA67-A6F1978C4784}"/>
    <cellStyle name="Comma 661 2 2 2" xfId="9230" xr:uid="{792FBE88-DBA4-479E-884A-C0A92476510C}"/>
    <cellStyle name="Comma 661 2 2 2 2" xfId="19582" xr:uid="{571955A9-CB5E-4CB4-A786-2033ACD6E150}"/>
    <cellStyle name="Comma 661 2 2 3" xfId="14407" xr:uid="{73D9EF78-8CFB-4D0D-85E6-4E66E8F7551C}"/>
    <cellStyle name="Comma 661 2 3" xfId="7172" xr:uid="{B153FEF0-2DC1-441E-A363-1FDB8C24D2B7}"/>
    <cellStyle name="Comma 661 2 3 2" xfId="17524" xr:uid="{C8473DF1-5A38-458C-A492-2A032BAEFDBE}"/>
    <cellStyle name="Comma 661 2 4" xfId="12349" xr:uid="{DEC11FCB-6442-413D-8E4A-35F735F078EC}"/>
    <cellStyle name="Comma 661 3" xfId="2967" xr:uid="{94DE2978-00CB-46E2-B770-AAB61331AC80}"/>
    <cellStyle name="Comma 661 3 2" xfId="8200" xr:uid="{6C7120A0-7494-42B3-97D6-264E051964C8}"/>
    <cellStyle name="Comma 661 3 2 2" xfId="18552" xr:uid="{4503205B-6F7D-47A5-A275-A4573B8A5C16}"/>
    <cellStyle name="Comma 661 3 3" xfId="13377" xr:uid="{189E5C09-396E-4351-8057-85BCBF0250AF}"/>
    <cellStyle name="Comma 661 4" xfId="5093" xr:uid="{375429C2-34DC-4E08-AEF9-9C9FFD7F1837}"/>
    <cellStyle name="Comma 661 4 2" xfId="10269" xr:uid="{183962BD-CEA0-4EA1-9163-07474B0B3093}"/>
    <cellStyle name="Comma 661 4 2 2" xfId="20621" xr:uid="{862C8AE7-B4D5-46BA-B3AF-0D2CB93F4BCF}"/>
    <cellStyle name="Comma 661 4 3" xfId="15445" xr:uid="{3DE506B3-8085-4991-88F7-1F75E6F18A09}"/>
    <cellStyle name="Comma 661 5" xfId="6141" xr:uid="{3810DD54-00FE-4438-982E-493FB2BCE848}"/>
    <cellStyle name="Comma 661 5 2" xfId="16493" xr:uid="{A133A0B3-F658-4F48-84DD-43545C74AF76}"/>
    <cellStyle name="Comma 661 6" xfId="11319" xr:uid="{DC7C5589-43F4-4B59-902A-D71176AC52DF}"/>
    <cellStyle name="Comma 662" xfId="902" xr:uid="{97BE077E-FCFC-4C68-AE35-37612C7930CD}"/>
    <cellStyle name="Comma 662 2" xfId="1940" xr:uid="{C5F8CF4C-3B86-4E4E-B37E-E32729A859D0}"/>
    <cellStyle name="Comma 662 2 2" xfId="3998" xr:uid="{E9852ED8-1314-47DA-B7FF-B722BC87EBC3}"/>
    <cellStyle name="Comma 662 2 2 2" xfId="9231" xr:uid="{5D35FFAD-D1CA-4741-9159-F1E739F2C603}"/>
    <cellStyle name="Comma 662 2 2 2 2" xfId="19583" xr:uid="{EDD0C3DD-F6B9-4B03-A748-8F03D87EC649}"/>
    <cellStyle name="Comma 662 2 2 3" xfId="14408" xr:uid="{FD270EFA-FA48-472F-B99A-EE505105D8E2}"/>
    <cellStyle name="Comma 662 2 3" xfId="7173" xr:uid="{0411AC3B-AB6E-43C4-B48D-C0502EF6747C}"/>
    <cellStyle name="Comma 662 2 3 2" xfId="17525" xr:uid="{C8CE7E7E-8BC5-4250-B9AB-DDFD37C8D40B}"/>
    <cellStyle name="Comma 662 2 4" xfId="12350" xr:uid="{CFE245EB-50FA-4EFB-96C1-69ADD5A0BE4D}"/>
    <cellStyle name="Comma 662 3" xfId="2968" xr:uid="{6350F4C4-0E36-460D-A215-CDC9DE9B7B61}"/>
    <cellStyle name="Comma 662 3 2" xfId="8201" xr:uid="{5FB2573E-5B66-47B3-8B24-4EDF60EC3495}"/>
    <cellStyle name="Comma 662 3 2 2" xfId="18553" xr:uid="{614FF20A-F7E0-46E1-87D0-AF21EE5B7A09}"/>
    <cellStyle name="Comma 662 3 3" xfId="13378" xr:uid="{2AAE72E1-F5A0-46CA-8306-0CB658FDF18C}"/>
    <cellStyle name="Comma 662 4" xfId="5094" xr:uid="{C904518D-2CF9-4547-A7D7-735F46B646A7}"/>
    <cellStyle name="Comma 662 4 2" xfId="10270" xr:uid="{AE5EAA31-19B8-4C65-B218-C01F16AFAE8C}"/>
    <cellStyle name="Comma 662 4 2 2" xfId="20622" xr:uid="{FE54227D-2A21-4B8D-A482-75850E58D61F}"/>
    <cellStyle name="Comma 662 4 3" xfId="15446" xr:uid="{1A1152BF-D899-4104-92B4-1E2B828636E8}"/>
    <cellStyle name="Comma 662 5" xfId="6142" xr:uid="{74612386-E844-4B69-A84A-B16FFA897ADE}"/>
    <cellStyle name="Comma 662 5 2" xfId="16494" xr:uid="{675B064D-2311-4FA3-821F-75E6B403EB26}"/>
    <cellStyle name="Comma 662 6" xfId="11320" xr:uid="{32747157-F08D-4C1B-BE77-835AD60E260C}"/>
    <cellStyle name="Comma 663" xfId="903" xr:uid="{C8BDEC8E-B135-4808-B528-84D6940E427B}"/>
    <cellStyle name="Comma 663 2" xfId="1941" xr:uid="{3D0C972A-9216-4A67-9133-D388D5FCC621}"/>
    <cellStyle name="Comma 663 2 2" xfId="3999" xr:uid="{BCCE0409-0B7D-4AA2-8F49-78B1B92D0ABA}"/>
    <cellStyle name="Comma 663 2 2 2" xfId="9232" xr:uid="{D0BDA411-3605-48EA-98D6-6972324F002D}"/>
    <cellStyle name="Comma 663 2 2 2 2" xfId="19584" xr:uid="{5084D46B-08B0-49A5-ACA4-CDA0A53029F4}"/>
    <cellStyle name="Comma 663 2 2 3" xfId="14409" xr:uid="{C25AA663-6E2F-46CE-A74F-C81E71801542}"/>
    <cellStyle name="Comma 663 2 3" xfId="7174" xr:uid="{50945708-8602-4491-9EBD-2A6A3100EA53}"/>
    <cellStyle name="Comma 663 2 3 2" xfId="17526" xr:uid="{F59A1ABD-BBCA-49B9-A7ED-7FA41EDFA483}"/>
    <cellStyle name="Comma 663 2 4" xfId="12351" xr:uid="{4B5529F1-3338-42CD-84F5-72A027D42228}"/>
    <cellStyle name="Comma 663 3" xfId="2969" xr:uid="{5D251B94-CB46-4CF4-B846-21374CAB57E0}"/>
    <cellStyle name="Comma 663 3 2" xfId="8202" xr:uid="{DC632232-FA79-4C5F-8438-7D5D9FB51250}"/>
    <cellStyle name="Comma 663 3 2 2" xfId="18554" xr:uid="{D3C06AF7-44CF-4329-A73B-C7C704AF0B28}"/>
    <cellStyle name="Comma 663 3 3" xfId="13379" xr:uid="{5620AD41-6FC1-41E1-9C88-51DE6F3D9120}"/>
    <cellStyle name="Comma 663 4" xfId="5095" xr:uid="{25C7B294-1629-48E6-9028-0DA8730AA529}"/>
    <cellStyle name="Comma 663 4 2" xfId="10271" xr:uid="{15121A3F-3E95-49DE-9FA8-8914F763DC43}"/>
    <cellStyle name="Comma 663 4 2 2" xfId="20623" xr:uid="{9B8F5E07-50C7-42C8-A2FF-703F79438F66}"/>
    <cellStyle name="Comma 663 4 3" xfId="15447" xr:uid="{947F4E0F-AE9A-4C54-947A-39B2D22BB261}"/>
    <cellStyle name="Comma 663 5" xfId="6143" xr:uid="{EBC1F1A6-16FB-40BB-842A-ACEF025A6809}"/>
    <cellStyle name="Comma 663 5 2" xfId="16495" xr:uid="{43552301-D5EE-47F8-9BC4-B672C0F3C4EB}"/>
    <cellStyle name="Comma 663 6" xfId="11321" xr:uid="{2E9E422F-7D4B-4BAD-8909-1969E440D0B0}"/>
    <cellStyle name="Comma 664" xfId="904" xr:uid="{28D1A59D-0756-4A94-A1D0-821E5C3003ED}"/>
    <cellStyle name="Comma 664 2" xfId="1942" xr:uid="{6333973A-E110-489F-AB66-B0FB7C235029}"/>
    <cellStyle name="Comma 664 2 2" xfId="4000" xr:uid="{36DDB59D-B7FA-4136-919D-241507B6AB47}"/>
    <cellStyle name="Comma 664 2 2 2" xfId="9233" xr:uid="{9CDB8923-B3B1-4743-89CB-DB2C68C22C69}"/>
    <cellStyle name="Comma 664 2 2 2 2" xfId="19585" xr:uid="{18B0B820-8CFC-4130-867C-E1387E17C772}"/>
    <cellStyle name="Comma 664 2 2 3" xfId="14410" xr:uid="{BAD8E91F-F2A1-4207-A72D-FD5B668D16A2}"/>
    <cellStyle name="Comma 664 2 3" xfId="7175" xr:uid="{1E30AB4F-6CB6-4C17-A0DA-052FA3D7F177}"/>
    <cellStyle name="Comma 664 2 3 2" xfId="17527" xr:uid="{B96023A0-436D-4D65-8748-80DB6A8EEBC8}"/>
    <cellStyle name="Comma 664 2 4" xfId="12352" xr:uid="{6ACCD290-2E4A-456B-B363-8343515CEED2}"/>
    <cellStyle name="Comma 664 3" xfId="2970" xr:uid="{30A0B856-9C18-43A8-B0CF-7F6D9DB2E033}"/>
    <cellStyle name="Comma 664 3 2" xfId="8203" xr:uid="{DD3FE633-0750-4452-A605-B4CEC356046A}"/>
    <cellStyle name="Comma 664 3 2 2" xfId="18555" xr:uid="{10C3157C-DC3B-4AA0-A1DC-04A4EC6DF17B}"/>
    <cellStyle name="Comma 664 3 3" xfId="13380" xr:uid="{E162055C-37B8-4FC5-9C09-DB920C635C65}"/>
    <cellStyle name="Comma 664 4" xfId="5096" xr:uid="{AEFDBD2A-9D95-4040-9430-734CED39F371}"/>
    <cellStyle name="Comma 664 4 2" xfId="10272" xr:uid="{8EF1EA57-0EB3-49EC-96B9-0EBDCEBBC628}"/>
    <cellStyle name="Comma 664 4 2 2" xfId="20624" xr:uid="{A79F93E2-231E-473C-9E7C-363AB16DD3BC}"/>
    <cellStyle name="Comma 664 4 3" xfId="15448" xr:uid="{A53B8481-A584-4242-95E5-927494E7830E}"/>
    <cellStyle name="Comma 664 5" xfId="6144" xr:uid="{9E9069D3-F7E4-4A76-B149-E617FD21D1EB}"/>
    <cellStyle name="Comma 664 5 2" xfId="16496" xr:uid="{F601E37B-426E-422E-B465-8681CC969BAC}"/>
    <cellStyle name="Comma 664 6" xfId="11322" xr:uid="{D6BB2F33-C5C5-404B-A226-44DACA8409F2}"/>
    <cellStyle name="Comma 665" xfId="905" xr:uid="{6042F8F8-1EB2-4AFA-A7E4-5E6C457E4312}"/>
    <cellStyle name="Comma 665 2" xfId="1943" xr:uid="{B1FAE2EA-4D93-41C6-B8B0-66707C8BF517}"/>
    <cellStyle name="Comma 665 2 2" xfId="4001" xr:uid="{8BE88F4C-5A39-453D-9A3E-E5223D7E3EF5}"/>
    <cellStyle name="Comma 665 2 2 2" xfId="9234" xr:uid="{803E8E90-139F-4853-A7A3-4D100341B672}"/>
    <cellStyle name="Comma 665 2 2 2 2" xfId="19586" xr:uid="{9AE5A43B-DFE3-43C1-AE34-93394FF13953}"/>
    <cellStyle name="Comma 665 2 2 3" xfId="14411" xr:uid="{55197107-CE28-427D-85D8-9938A914FF67}"/>
    <cellStyle name="Comma 665 2 3" xfId="7176" xr:uid="{03E5B7B8-E29F-4C13-8AF8-FE47D5A3EED8}"/>
    <cellStyle name="Comma 665 2 3 2" xfId="17528" xr:uid="{55C7B9CC-C39F-4AB9-85CC-1C42732E7A0E}"/>
    <cellStyle name="Comma 665 2 4" xfId="12353" xr:uid="{99481320-3191-4C73-86E2-247461E7579D}"/>
    <cellStyle name="Comma 665 3" xfId="2971" xr:uid="{71D0A325-1312-4537-BA9C-241404151501}"/>
    <cellStyle name="Comma 665 3 2" xfId="8204" xr:uid="{4D8C9E4C-210F-440D-A280-CADBB95F5D66}"/>
    <cellStyle name="Comma 665 3 2 2" xfId="18556" xr:uid="{B03CF5A2-1CF9-4E65-9CB0-88A5DAE28498}"/>
    <cellStyle name="Comma 665 3 3" xfId="13381" xr:uid="{61F58AD7-9495-467E-83D9-193C86C1131C}"/>
    <cellStyle name="Comma 665 4" xfId="5097" xr:uid="{86FD81BF-C1AF-40E1-9B01-D18D12BA08AB}"/>
    <cellStyle name="Comma 665 4 2" xfId="10273" xr:uid="{40F15F7A-E17D-4E71-831E-E68D4965F4A8}"/>
    <cellStyle name="Comma 665 4 2 2" xfId="20625" xr:uid="{E6AE0465-DD2C-4EA7-8063-8254994B1055}"/>
    <cellStyle name="Comma 665 4 3" xfId="15449" xr:uid="{F89B4740-7CF3-4F25-87AA-CAD4A8E691EC}"/>
    <cellStyle name="Comma 665 5" xfId="6145" xr:uid="{91DC83EF-6984-46F4-9791-AD007560CDC5}"/>
    <cellStyle name="Comma 665 5 2" xfId="16497" xr:uid="{F3B3C2F5-92F6-4E36-80EC-3F37733DCFD8}"/>
    <cellStyle name="Comma 665 6" xfId="11323" xr:uid="{09727C54-7B82-4476-B6AB-1EA57920030F}"/>
    <cellStyle name="Comma 666" xfId="906" xr:uid="{6A999220-3474-4795-9138-EC7B9A989473}"/>
    <cellStyle name="Comma 666 2" xfId="1944" xr:uid="{2193544F-B745-40F1-B212-EE753C7B2A8D}"/>
    <cellStyle name="Comma 666 2 2" xfId="4002" xr:uid="{5FF888B9-B089-41B4-9217-7CAADB4A6631}"/>
    <cellStyle name="Comma 666 2 2 2" xfId="9235" xr:uid="{5BB63BD8-172D-4961-99D2-996814ED0F33}"/>
    <cellStyle name="Comma 666 2 2 2 2" xfId="19587" xr:uid="{4317067D-BBD7-42B0-B91C-20D6C9193EFB}"/>
    <cellStyle name="Comma 666 2 2 3" xfId="14412" xr:uid="{B7B0B348-9E68-4CE9-AEC4-3D7C6E6450A0}"/>
    <cellStyle name="Comma 666 2 3" xfId="7177" xr:uid="{C34722C0-C152-4B4B-89A4-5C8E8CFF0420}"/>
    <cellStyle name="Comma 666 2 3 2" xfId="17529" xr:uid="{F5E891CF-92BD-4F06-8AF1-E9F8B22F2742}"/>
    <cellStyle name="Comma 666 2 4" xfId="12354" xr:uid="{35215EC7-9E70-40C2-A92F-FECADC31DA7C}"/>
    <cellStyle name="Comma 666 3" xfId="2972" xr:uid="{5FA165A4-1ED7-428C-A27B-2DC4A534B37E}"/>
    <cellStyle name="Comma 666 3 2" xfId="8205" xr:uid="{54202F87-FFFB-4041-95A9-E4E34C6F5FED}"/>
    <cellStyle name="Comma 666 3 2 2" xfId="18557" xr:uid="{6C01CD94-A9FA-47D5-AB43-970D682D8728}"/>
    <cellStyle name="Comma 666 3 3" xfId="13382" xr:uid="{8A1DE1E8-215A-4F0B-BB7D-8183DE144470}"/>
    <cellStyle name="Comma 666 4" xfId="5098" xr:uid="{DE3D9301-7987-4284-8703-E6C37E86C2B8}"/>
    <cellStyle name="Comma 666 4 2" xfId="10274" xr:uid="{F311CB97-F351-4AE4-A4C7-FB94A2A3F280}"/>
    <cellStyle name="Comma 666 4 2 2" xfId="20626" xr:uid="{99DEB3DF-092F-4733-A49C-A2098A639369}"/>
    <cellStyle name="Comma 666 4 3" xfId="15450" xr:uid="{37E87018-D817-45AB-B4C7-AB887196FE33}"/>
    <cellStyle name="Comma 666 5" xfId="6146" xr:uid="{432F47C2-5594-45DA-8C65-9010044225A9}"/>
    <cellStyle name="Comma 666 5 2" xfId="16498" xr:uid="{C9F0857A-0C89-445B-96A5-ED0D615A459A}"/>
    <cellStyle name="Comma 666 6" xfId="11324" xr:uid="{B2763450-5E74-441B-8D59-8F284B4C07BE}"/>
    <cellStyle name="Comma 667" xfId="907" xr:uid="{CD22C50A-7247-4BD1-A95C-66D1C70EB881}"/>
    <cellStyle name="Comma 667 2" xfId="1945" xr:uid="{CC475A5B-0521-42A3-9A27-A76A35775E74}"/>
    <cellStyle name="Comma 667 2 2" xfId="4003" xr:uid="{5ED1FF0B-DB84-47EF-9BDB-2C9474C1770E}"/>
    <cellStyle name="Comma 667 2 2 2" xfId="9236" xr:uid="{17D8FECF-741E-4566-8D5F-260D38B6A223}"/>
    <cellStyle name="Comma 667 2 2 2 2" xfId="19588" xr:uid="{65B4FA77-0036-4DDC-AA7F-302667435968}"/>
    <cellStyle name="Comma 667 2 2 3" xfId="14413" xr:uid="{6C0F9D95-1214-4D2A-8C5F-6DEEE3BEF31B}"/>
    <cellStyle name="Comma 667 2 3" xfId="7178" xr:uid="{CA6B2A33-5890-4166-95F2-FF1D4747735E}"/>
    <cellStyle name="Comma 667 2 3 2" xfId="17530" xr:uid="{07A99ABA-6736-4C8A-9B0D-937DFC86E2BF}"/>
    <cellStyle name="Comma 667 2 4" xfId="12355" xr:uid="{E157B8AC-76E3-46F3-B00E-772F0D41DA3A}"/>
    <cellStyle name="Comma 667 3" xfId="2973" xr:uid="{3423439D-868D-4523-9729-15AF900D0E4B}"/>
    <cellStyle name="Comma 667 3 2" xfId="8206" xr:uid="{7316EE83-91E7-4054-97DF-DBA1ACDEE73C}"/>
    <cellStyle name="Comma 667 3 2 2" xfId="18558" xr:uid="{EED4A803-F8A5-40B4-8020-A5B9D8A4A141}"/>
    <cellStyle name="Comma 667 3 3" xfId="13383" xr:uid="{C6493158-1A35-4E67-A161-8E3B9729A428}"/>
    <cellStyle name="Comma 667 4" xfId="5099" xr:uid="{B0F621F4-FC69-4120-A941-249C5AA617E1}"/>
    <cellStyle name="Comma 667 4 2" xfId="10275" xr:uid="{361CA435-0909-4E85-9719-7CDA51381286}"/>
    <cellStyle name="Comma 667 4 2 2" xfId="20627" xr:uid="{A9EFAB15-C163-47DA-9E22-EF07F30895ED}"/>
    <cellStyle name="Comma 667 4 3" xfId="15451" xr:uid="{215AB174-6576-4425-89F3-CE7948F79107}"/>
    <cellStyle name="Comma 667 5" xfId="6147" xr:uid="{4FE04207-37C1-4B10-8BC3-81978961AA8B}"/>
    <cellStyle name="Comma 667 5 2" xfId="16499" xr:uid="{F339F7D3-06C4-489F-879A-1079F3E670D7}"/>
    <cellStyle name="Comma 667 6" xfId="11325" xr:uid="{B953A20A-C580-45A9-9083-1B34ABFA7BD6}"/>
    <cellStyle name="Comma 668" xfId="908" xr:uid="{99B5816A-FEF1-4298-ACB7-854D0B87050A}"/>
    <cellStyle name="Comma 668 2" xfId="1946" xr:uid="{550A72FD-3FDF-4CE8-A075-CE2395E46BAC}"/>
    <cellStyle name="Comma 668 2 2" xfId="4004" xr:uid="{0D5C99D5-4859-4161-982A-C548009AFC0D}"/>
    <cellStyle name="Comma 668 2 2 2" xfId="9237" xr:uid="{33B3DC83-B1FE-4C89-96D6-D4780B4508F0}"/>
    <cellStyle name="Comma 668 2 2 2 2" xfId="19589" xr:uid="{96116BB8-5A8B-4DC2-A1D2-0CF0CFCBDE2A}"/>
    <cellStyle name="Comma 668 2 2 3" xfId="14414" xr:uid="{56AEA135-D211-4ADA-B864-0B91BFC40FC9}"/>
    <cellStyle name="Comma 668 2 3" xfId="7179" xr:uid="{F0716118-3244-45FE-AEEC-523AF6B0F493}"/>
    <cellStyle name="Comma 668 2 3 2" xfId="17531" xr:uid="{CD46F11A-28CC-4A2A-9C5C-A151D693AA21}"/>
    <cellStyle name="Comma 668 2 4" xfId="12356" xr:uid="{3C02B43F-7643-4871-A2AE-5927887809A0}"/>
    <cellStyle name="Comma 668 3" xfId="2974" xr:uid="{A3EC553D-D325-4AC7-966D-AD82584E339B}"/>
    <cellStyle name="Comma 668 3 2" xfId="8207" xr:uid="{D4C66FA6-7937-4A3F-BA0A-6A1646FEDD10}"/>
    <cellStyle name="Comma 668 3 2 2" xfId="18559" xr:uid="{66518AAF-6C94-4578-A7AC-5DDCBBFEA224}"/>
    <cellStyle name="Comma 668 3 3" xfId="13384" xr:uid="{5283EE0C-ADE2-43B4-8B37-8ABA74E1F2E7}"/>
    <cellStyle name="Comma 668 4" xfId="5100" xr:uid="{8C06B619-BE35-444F-A148-0E8D4FD766BD}"/>
    <cellStyle name="Comma 668 4 2" xfId="10276" xr:uid="{5A0AAF32-58BD-404B-A3FE-0B0D30ED318F}"/>
    <cellStyle name="Comma 668 4 2 2" xfId="20628" xr:uid="{CD223D00-169E-4502-A8AA-7A10F2D5C7A4}"/>
    <cellStyle name="Comma 668 4 3" xfId="15452" xr:uid="{A11E3487-0AB3-4909-A0D0-D2B387FEF8FD}"/>
    <cellStyle name="Comma 668 5" xfId="6148" xr:uid="{9EDB1C2F-4581-4DC2-8DB4-B9ABF32BE911}"/>
    <cellStyle name="Comma 668 5 2" xfId="16500" xr:uid="{4C2051DC-E9B0-4E4C-97A3-F5671EC67A74}"/>
    <cellStyle name="Comma 668 6" xfId="11326" xr:uid="{797207DF-1B6B-49F2-9404-4B6F42D7EC14}"/>
    <cellStyle name="Comma 669" xfId="909" xr:uid="{52D2327B-3A71-4037-AADD-BFC9353B6C86}"/>
    <cellStyle name="Comma 669 2" xfId="1947" xr:uid="{538E5CD0-41A0-4724-91A9-93331F97C508}"/>
    <cellStyle name="Comma 669 2 2" xfId="4005" xr:uid="{0958743F-7E9F-4AEB-9E4C-D851E350E77D}"/>
    <cellStyle name="Comma 669 2 2 2" xfId="9238" xr:uid="{986F1038-B595-4F9A-B952-F24F018E7CAD}"/>
    <cellStyle name="Comma 669 2 2 2 2" xfId="19590" xr:uid="{31A13024-1BE6-4DC1-9236-B4CE0BABD3FF}"/>
    <cellStyle name="Comma 669 2 2 3" xfId="14415" xr:uid="{DDCE9069-EBE0-4E25-A868-B725DCD5BCFD}"/>
    <cellStyle name="Comma 669 2 3" xfId="7180" xr:uid="{FE496D40-3C82-4405-AF91-3C6CB1AFF144}"/>
    <cellStyle name="Comma 669 2 3 2" xfId="17532" xr:uid="{4860B5A5-3519-4928-BA5B-CFCAAB0D9B9F}"/>
    <cellStyle name="Comma 669 2 4" xfId="12357" xr:uid="{4069D9C9-B1C0-4E44-A108-D11B9D5319F8}"/>
    <cellStyle name="Comma 669 3" xfId="2975" xr:uid="{C81C89ED-4D10-4E4B-B83C-8B3D681FB674}"/>
    <cellStyle name="Comma 669 3 2" xfId="8208" xr:uid="{934977CF-DCEB-4FF9-A95D-1D5E193972B6}"/>
    <cellStyle name="Comma 669 3 2 2" xfId="18560" xr:uid="{2AE59E4F-C8D4-41D0-9032-266977D96E9F}"/>
    <cellStyle name="Comma 669 3 3" xfId="13385" xr:uid="{1455D9A5-0277-4FF2-9A95-3CFF6D93DC59}"/>
    <cellStyle name="Comma 669 4" xfId="5101" xr:uid="{DC5E6E20-6302-4F50-8D87-B8D3A90D4646}"/>
    <cellStyle name="Comma 669 4 2" xfId="10277" xr:uid="{B79790C0-4D1B-4305-BBD5-A407BE06987A}"/>
    <cellStyle name="Comma 669 4 2 2" xfId="20629" xr:uid="{EC46D1CE-3B58-4FA3-AB91-5400BC6126DC}"/>
    <cellStyle name="Comma 669 4 3" xfId="15453" xr:uid="{005888E9-3EC1-4FA7-BA7F-8BB72516DCDC}"/>
    <cellStyle name="Comma 669 5" xfId="6149" xr:uid="{07D68FE4-68E4-4A48-8C41-12D24E88175F}"/>
    <cellStyle name="Comma 669 5 2" xfId="16501" xr:uid="{8D56EE79-735F-4D7A-9B8E-D85398F49836}"/>
    <cellStyle name="Comma 669 6" xfId="11327" xr:uid="{A9B0B352-86CB-44B1-92BB-EF0AC16793B8}"/>
    <cellStyle name="Comma 67" xfId="270" xr:uid="{69D5E901-2024-4BD5-983D-9FDCE7F0EA29}"/>
    <cellStyle name="Comma 67 2" xfId="1345" xr:uid="{F210575B-039F-491C-943B-3C229FEC42CF}"/>
    <cellStyle name="Comma 67 2 2" xfId="3403" xr:uid="{D9A26CA1-D90F-4BBF-A28E-1212BD3EF5F5}"/>
    <cellStyle name="Comma 67 2 2 2" xfId="8636" xr:uid="{60EBA834-0B0B-4145-9D74-52FBC3229A7E}"/>
    <cellStyle name="Comma 67 2 2 2 2" xfId="18988" xr:uid="{E1B90F9A-AEB0-4BD6-8D94-8F6CAE36FB3B}"/>
    <cellStyle name="Comma 67 2 2 3" xfId="13813" xr:uid="{F683F6A7-029E-467C-AC4A-172CF332119D}"/>
    <cellStyle name="Comma 67 2 3" xfId="6578" xr:uid="{C7618046-4289-4F6B-A0EB-3E9FE8011D2C}"/>
    <cellStyle name="Comma 67 2 3 2" xfId="16930" xr:uid="{895F3C6B-1FFF-405E-BF67-C181411A4372}"/>
    <cellStyle name="Comma 67 2 4" xfId="11755" xr:uid="{4ECDE6DD-AC4F-496E-8B7E-B7E38561F7E3}"/>
    <cellStyle name="Comma 67 3" xfId="2373" xr:uid="{C8E9DE94-078C-4C12-B883-1F54D0AEA7FA}"/>
    <cellStyle name="Comma 67 3 2" xfId="7606" xr:uid="{54FCE97E-66FD-4FA2-9ABC-32C131EFBC9E}"/>
    <cellStyle name="Comma 67 3 2 2" xfId="17958" xr:uid="{5B9E9441-3596-45AB-AE21-DF180416A26A}"/>
    <cellStyle name="Comma 67 3 3" xfId="12783" xr:uid="{EE1471A9-2B1C-4940-8E78-F7B634F53AF4}"/>
    <cellStyle name="Comma 67 4" xfId="4499" xr:uid="{CD99369E-6444-4B44-96AF-B31A8DB5B06C}"/>
    <cellStyle name="Comma 67 4 2" xfId="9675" xr:uid="{EFB8F31D-B441-487A-8157-515A75599743}"/>
    <cellStyle name="Comma 67 4 2 2" xfId="20027" xr:uid="{B5EFC235-E46D-4996-AFC5-61E21F1655A2}"/>
    <cellStyle name="Comma 67 4 3" xfId="14851" xr:uid="{88D7C5BB-D41A-475F-88D7-9B3325497507}"/>
    <cellStyle name="Comma 67 5" xfId="5547" xr:uid="{B174EAF9-566C-44A0-8F09-36F47503AB61}"/>
    <cellStyle name="Comma 67 5 2" xfId="15899" xr:uid="{FDAE496F-FD48-4E4F-9C11-FA7700A77A9A}"/>
    <cellStyle name="Comma 67 6" xfId="10725" xr:uid="{A135F6BE-2424-403D-9E07-984F3E070A49}"/>
    <cellStyle name="Comma 670" xfId="910" xr:uid="{0B5A1ED8-0B19-498E-9D60-97B985A083A6}"/>
    <cellStyle name="Comma 670 2" xfId="1948" xr:uid="{DB114444-1AF3-46DA-B195-6AE5B13DDFE1}"/>
    <cellStyle name="Comma 670 2 2" xfId="4006" xr:uid="{4C4E92E9-F216-4F61-8704-F40DE46511AE}"/>
    <cellStyle name="Comma 670 2 2 2" xfId="9239" xr:uid="{80CC8855-3AAB-4594-85A0-8AFAFB43E5CC}"/>
    <cellStyle name="Comma 670 2 2 2 2" xfId="19591" xr:uid="{0EB6D37E-BC11-4626-AAEC-5F09CC36AB43}"/>
    <cellStyle name="Comma 670 2 2 3" xfId="14416" xr:uid="{371A6569-D54E-45A2-BE1E-74C75FBBC277}"/>
    <cellStyle name="Comma 670 2 3" xfId="7181" xr:uid="{20348319-2A4D-40E5-B3BE-1BE5374FEA4E}"/>
    <cellStyle name="Comma 670 2 3 2" xfId="17533" xr:uid="{107DE366-F765-4090-9CC6-527A0E6BECAC}"/>
    <cellStyle name="Comma 670 2 4" xfId="12358" xr:uid="{9703F941-EBF2-4271-94B3-63293FB576AD}"/>
    <cellStyle name="Comma 670 3" xfId="2976" xr:uid="{C59C4247-D016-402C-9176-CF102510586B}"/>
    <cellStyle name="Comma 670 3 2" xfId="8209" xr:uid="{B88054AD-A003-41C9-99D8-AA1D8D70CAEB}"/>
    <cellStyle name="Comma 670 3 2 2" xfId="18561" xr:uid="{6423F57E-F682-4D8A-92F3-BBFF86403747}"/>
    <cellStyle name="Comma 670 3 3" xfId="13386" xr:uid="{4EDFDE8B-C68F-4AC6-A9EF-6AD4CC44BE3F}"/>
    <cellStyle name="Comma 670 4" xfId="5102" xr:uid="{4D50F6A4-DC9C-470C-B233-114D3BDA1727}"/>
    <cellStyle name="Comma 670 4 2" xfId="10278" xr:uid="{F2BAE77E-3EEB-470A-B0E1-E7A3070A9EAA}"/>
    <cellStyle name="Comma 670 4 2 2" xfId="20630" xr:uid="{3DE6DA12-B129-4790-B42E-5C3CCFFDC048}"/>
    <cellStyle name="Comma 670 4 3" xfId="15454" xr:uid="{5415500C-0688-49B3-8D9B-A37FE36CD480}"/>
    <cellStyle name="Comma 670 5" xfId="6150" xr:uid="{61A6B5A9-3E52-492A-BCEC-965F4CC07CDD}"/>
    <cellStyle name="Comma 670 5 2" xfId="16502" xr:uid="{3F84F3CB-0CD9-481F-B49B-2DED53601F60}"/>
    <cellStyle name="Comma 670 6" xfId="11328" xr:uid="{7F246D6B-9981-4B55-A149-DBBE74FD4ED3}"/>
    <cellStyle name="Comma 671" xfId="911" xr:uid="{29DEBB46-10FB-4C74-A74F-D41DEA518FB7}"/>
    <cellStyle name="Comma 671 2" xfId="1949" xr:uid="{D116F57F-77BC-4CD8-A4AD-394C06830F99}"/>
    <cellStyle name="Comma 671 2 2" xfId="4007" xr:uid="{BE3CA3BC-4326-49F6-870A-899B5615416A}"/>
    <cellStyle name="Comma 671 2 2 2" xfId="9240" xr:uid="{4B12FC6D-FB92-4A26-8727-58230CDA8484}"/>
    <cellStyle name="Comma 671 2 2 2 2" xfId="19592" xr:uid="{4112C1B3-BB6A-458E-9C14-AB7133BEDF92}"/>
    <cellStyle name="Comma 671 2 2 3" xfId="14417" xr:uid="{0FBE79CE-BC8F-48B3-9341-30C7F3F4033B}"/>
    <cellStyle name="Comma 671 2 3" xfId="7182" xr:uid="{BB88F064-0A8D-418A-A9DC-53456F868B7E}"/>
    <cellStyle name="Comma 671 2 3 2" xfId="17534" xr:uid="{DF0F0338-B739-4959-B29E-EEF1E834A954}"/>
    <cellStyle name="Comma 671 2 4" xfId="12359" xr:uid="{D6FE0F4C-BE5C-4FFB-8DA2-3306159C566A}"/>
    <cellStyle name="Comma 671 3" xfId="2977" xr:uid="{E27EDF71-E475-4F26-BEB8-049529989EAF}"/>
    <cellStyle name="Comma 671 3 2" xfId="8210" xr:uid="{F5F3BB25-A0EA-45B1-8BBF-F3F76D31AB5F}"/>
    <cellStyle name="Comma 671 3 2 2" xfId="18562" xr:uid="{25749C8A-03DF-4A19-916C-25B789936A44}"/>
    <cellStyle name="Comma 671 3 3" xfId="13387" xr:uid="{4AB5FD5D-13AA-467B-A305-83BCC994D051}"/>
    <cellStyle name="Comma 671 4" xfId="5103" xr:uid="{5A0C1F13-F930-4038-86A0-63B1310AABF2}"/>
    <cellStyle name="Comma 671 4 2" xfId="10279" xr:uid="{7339F28B-1231-4DD6-B0F0-051C4E35ADE3}"/>
    <cellStyle name="Comma 671 4 2 2" xfId="20631" xr:uid="{BAE7009D-8158-41C2-967A-C65824F6C594}"/>
    <cellStyle name="Comma 671 4 3" xfId="15455" xr:uid="{4219C810-4948-4A35-A54C-36AB9D8DBC72}"/>
    <cellStyle name="Comma 671 5" xfId="6151" xr:uid="{E7C5EA26-5CF4-43C0-8A58-8472A432928B}"/>
    <cellStyle name="Comma 671 5 2" xfId="16503" xr:uid="{8FBA7AC9-A482-49B4-AFC4-30CBA79B5113}"/>
    <cellStyle name="Comma 671 6" xfId="11329" xr:uid="{10F64B3E-3ECB-409C-B1DE-DAC25FEDC2C8}"/>
    <cellStyle name="Comma 672" xfId="912" xr:uid="{64ADB63C-5922-4BCC-9A36-C3C3056A2D93}"/>
    <cellStyle name="Comma 672 2" xfId="1950" xr:uid="{7A2A56A5-4247-4A51-903D-66DC28D1BBA5}"/>
    <cellStyle name="Comma 672 2 2" xfId="4008" xr:uid="{03CCD24F-A0D4-4ADA-8353-EFD33DC54760}"/>
    <cellStyle name="Comma 672 2 2 2" xfId="9241" xr:uid="{EC43BBC6-B00D-432E-8CE8-28B38EA880F1}"/>
    <cellStyle name="Comma 672 2 2 2 2" xfId="19593" xr:uid="{DC006E0E-4BFB-4D39-AD02-36BB0779AE8F}"/>
    <cellStyle name="Comma 672 2 2 3" xfId="14418" xr:uid="{761EBA2F-C078-4F2B-8C37-DCBD287B3D34}"/>
    <cellStyle name="Comma 672 2 3" xfId="7183" xr:uid="{35AD2639-1B7B-4182-87F0-6AED155C8211}"/>
    <cellStyle name="Comma 672 2 3 2" xfId="17535" xr:uid="{EE532224-4E05-4EE7-99A0-750B3A9FB29B}"/>
    <cellStyle name="Comma 672 2 4" xfId="12360" xr:uid="{F3DB852C-A8FC-4E59-B950-98D6CDFDA0D3}"/>
    <cellStyle name="Comma 672 3" xfId="2978" xr:uid="{23E7C6F6-AE53-4B7B-907E-479F2B1CD279}"/>
    <cellStyle name="Comma 672 3 2" xfId="8211" xr:uid="{CB0E71FF-D2F7-450E-9704-6FB5BF4F01AD}"/>
    <cellStyle name="Comma 672 3 2 2" xfId="18563" xr:uid="{3D92BA25-C23A-4C2F-904A-25F3F415439D}"/>
    <cellStyle name="Comma 672 3 3" xfId="13388" xr:uid="{35689A96-1926-4AA9-9E76-A08070D59A5C}"/>
    <cellStyle name="Comma 672 4" xfId="5104" xr:uid="{50F90113-4B8E-4E9B-B7E0-389582D3A0FE}"/>
    <cellStyle name="Comma 672 4 2" xfId="10280" xr:uid="{0486C998-B110-43F1-9FD4-5A5706A4931F}"/>
    <cellStyle name="Comma 672 4 2 2" xfId="20632" xr:uid="{8593DBF8-2B62-4488-95CB-66C62AC050E2}"/>
    <cellStyle name="Comma 672 4 3" xfId="15456" xr:uid="{E9E31EC2-7995-4173-8395-107099F3F2DF}"/>
    <cellStyle name="Comma 672 5" xfId="6152" xr:uid="{38C2F7B8-D32A-4095-969C-D1687A4E4EE6}"/>
    <cellStyle name="Comma 672 5 2" xfId="16504" xr:uid="{DCAFD3CA-82A8-4BB5-8119-8774EFB5635C}"/>
    <cellStyle name="Comma 672 6" xfId="11330" xr:uid="{8909DCC2-C9D7-4193-AEF6-AFA92CD35555}"/>
    <cellStyle name="Comma 673" xfId="913" xr:uid="{96CD7E50-EA22-41BB-B549-49F6D469AACB}"/>
    <cellStyle name="Comma 673 2" xfId="1951" xr:uid="{9F0699D3-2E4B-4433-BD26-D2E18DA38689}"/>
    <cellStyle name="Comma 673 2 2" xfId="4009" xr:uid="{CF42EDCF-4701-4E0D-AB57-0350B05DA952}"/>
    <cellStyle name="Comma 673 2 2 2" xfId="9242" xr:uid="{2EA85FC6-8811-4793-B74F-5DA553DC0E22}"/>
    <cellStyle name="Comma 673 2 2 2 2" xfId="19594" xr:uid="{08A21BA8-FA5F-4A27-AAFC-DFE7B74D2EB1}"/>
    <cellStyle name="Comma 673 2 2 3" xfId="14419" xr:uid="{0180E64C-4BF1-4A70-A6CF-E0DC86A798F2}"/>
    <cellStyle name="Comma 673 2 3" xfId="7184" xr:uid="{554A3240-E127-4C17-B00E-7815FA1052C3}"/>
    <cellStyle name="Comma 673 2 3 2" xfId="17536" xr:uid="{42A17F64-9DF5-4979-B16D-A75A22E937C4}"/>
    <cellStyle name="Comma 673 2 4" xfId="12361" xr:uid="{1B41FE21-991D-4062-902F-530789FB45FF}"/>
    <cellStyle name="Comma 673 3" xfId="2979" xr:uid="{27152497-DB0D-4727-98E9-85ED4D07A619}"/>
    <cellStyle name="Comma 673 3 2" xfId="8212" xr:uid="{A254025E-B2C1-46E5-BE2C-4390240E81CC}"/>
    <cellStyle name="Comma 673 3 2 2" xfId="18564" xr:uid="{3895ED56-3E58-4948-AECA-93F1C21F67A0}"/>
    <cellStyle name="Comma 673 3 3" xfId="13389" xr:uid="{225C19DA-D5BC-4419-BE8C-D1D60AD4F59E}"/>
    <cellStyle name="Comma 673 4" xfId="5105" xr:uid="{512048E8-4C4F-46CC-BCD0-86BC47988762}"/>
    <cellStyle name="Comma 673 4 2" xfId="10281" xr:uid="{22C5C002-463F-4369-BCAC-49D858D45AEE}"/>
    <cellStyle name="Comma 673 4 2 2" xfId="20633" xr:uid="{58AB7ED6-5F39-4D81-8E4D-06A915622B17}"/>
    <cellStyle name="Comma 673 4 3" xfId="15457" xr:uid="{046841C9-8199-45DC-8B7A-0C19CBEE0351}"/>
    <cellStyle name="Comma 673 5" xfId="6153" xr:uid="{C51E9971-36CD-435E-9E3C-4607E1CDCAC0}"/>
    <cellStyle name="Comma 673 5 2" xfId="16505" xr:uid="{0A9092FD-1734-4558-B0B2-CD924D21E80B}"/>
    <cellStyle name="Comma 673 6" xfId="11331" xr:uid="{08256D0A-E993-4EF1-9B51-29D43E3B0D45}"/>
    <cellStyle name="Comma 674" xfId="914" xr:uid="{B5A6F970-C981-4B84-B6C9-BA66BA8100CA}"/>
    <cellStyle name="Comma 674 2" xfId="1952" xr:uid="{AAC585D3-4681-4018-8D5B-09E0FDA0C770}"/>
    <cellStyle name="Comma 674 2 2" xfId="4010" xr:uid="{80CE325F-27E9-4539-A82A-6F7D017C463D}"/>
    <cellStyle name="Comma 674 2 2 2" xfId="9243" xr:uid="{F72EE333-C587-46B0-BB8C-535CD0C92AB9}"/>
    <cellStyle name="Comma 674 2 2 2 2" xfId="19595" xr:uid="{8A12B894-59C0-4B02-BB60-58C3B2D2CDFE}"/>
    <cellStyle name="Comma 674 2 2 3" xfId="14420" xr:uid="{4100A119-E684-4C0D-88B8-76CEA3DD22E7}"/>
    <cellStyle name="Comma 674 2 3" xfId="7185" xr:uid="{65BA0D8A-8863-4404-AFF9-FFE9FE251CF5}"/>
    <cellStyle name="Comma 674 2 3 2" xfId="17537" xr:uid="{2476E971-1C9F-4C8B-B711-764AC862B6CE}"/>
    <cellStyle name="Comma 674 2 4" xfId="12362" xr:uid="{795A25F5-3F90-4CDC-B0C6-1F2D2B9D5107}"/>
    <cellStyle name="Comma 674 3" xfId="2980" xr:uid="{38BDA87D-0834-4EE8-8BED-240C4EE9D9A1}"/>
    <cellStyle name="Comma 674 3 2" xfId="8213" xr:uid="{15EDE98E-64BD-4B67-81FE-469D61B9136D}"/>
    <cellStyle name="Comma 674 3 2 2" xfId="18565" xr:uid="{0832567C-B737-49A2-BA2C-1F10ACED62FE}"/>
    <cellStyle name="Comma 674 3 3" xfId="13390" xr:uid="{D1F7D1D7-7AD5-4AE9-ACBF-EE44E1F37EB8}"/>
    <cellStyle name="Comma 674 4" xfId="5106" xr:uid="{F9937DF8-3E58-4299-A43B-C00B4C15228E}"/>
    <cellStyle name="Comma 674 4 2" xfId="10282" xr:uid="{BDBBFF2C-9BEF-4F74-B10B-EA311D8DBB87}"/>
    <cellStyle name="Comma 674 4 2 2" xfId="20634" xr:uid="{84E46F47-AE03-40D2-944B-E5122B647EE7}"/>
    <cellStyle name="Comma 674 4 3" xfId="15458" xr:uid="{C16E5C24-7CB3-4720-BE5C-9BB21B72E3FF}"/>
    <cellStyle name="Comma 674 5" xfId="6154" xr:uid="{4B6538DD-6486-4854-93BE-7324154FFA14}"/>
    <cellStyle name="Comma 674 5 2" xfId="16506" xr:uid="{791B7782-397B-4694-AE06-B575C95E4573}"/>
    <cellStyle name="Comma 674 6" xfId="11332" xr:uid="{0B533CC9-2A3D-4D37-99EB-3ADB413EABA9}"/>
    <cellStyle name="Comma 675" xfId="915" xr:uid="{DB4083D8-1FEA-4386-9B16-1CE0261432E1}"/>
    <cellStyle name="Comma 675 2" xfId="1953" xr:uid="{A4E14A0C-DFE3-4BF0-BE8B-51F039F23EB5}"/>
    <cellStyle name="Comma 675 2 2" xfId="4011" xr:uid="{E53DAEB7-FA9D-4709-BEF0-4EB11F6AD18A}"/>
    <cellStyle name="Comma 675 2 2 2" xfId="9244" xr:uid="{265F5E29-0B3B-489A-9085-22F479C914B3}"/>
    <cellStyle name="Comma 675 2 2 2 2" xfId="19596" xr:uid="{E0DD86BE-E7A7-4E30-A824-3290FB77BE1A}"/>
    <cellStyle name="Comma 675 2 2 3" xfId="14421" xr:uid="{967B70BC-F160-43C0-8C0B-F29781C2177C}"/>
    <cellStyle name="Comma 675 2 3" xfId="7186" xr:uid="{CB059092-4030-44EA-8D43-943A2E94A4D7}"/>
    <cellStyle name="Comma 675 2 3 2" xfId="17538" xr:uid="{7134D1D3-2F1D-41C6-8D63-52DDCDE0FBCD}"/>
    <cellStyle name="Comma 675 2 4" xfId="12363" xr:uid="{18292671-819E-4FB0-AB65-06FA8FAF4BF1}"/>
    <cellStyle name="Comma 675 3" xfId="2981" xr:uid="{CCCEEACA-32BB-4F98-883B-A1A0042B419D}"/>
    <cellStyle name="Comma 675 3 2" xfId="8214" xr:uid="{1612E9EB-92AB-490C-8185-180FDDCD823B}"/>
    <cellStyle name="Comma 675 3 2 2" xfId="18566" xr:uid="{EE304439-B47F-46C9-9FD9-ACED84C7853B}"/>
    <cellStyle name="Comma 675 3 3" xfId="13391" xr:uid="{9A31C1AF-B277-4EAA-B1FA-B51A1441865D}"/>
    <cellStyle name="Comma 675 4" xfId="5107" xr:uid="{5018EBC1-D589-4FEF-9A13-E52B1D6DE5C1}"/>
    <cellStyle name="Comma 675 4 2" xfId="10283" xr:uid="{27649FF2-13FE-4B77-9F76-A606EA1E79EB}"/>
    <cellStyle name="Comma 675 4 2 2" xfId="20635" xr:uid="{DDE487BF-A342-4CA4-9AEF-4CFD09D106AB}"/>
    <cellStyle name="Comma 675 4 3" xfId="15459" xr:uid="{3AA5C917-D631-4D94-922C-CF517260760A}"/>
    <cellStyle name="Comma 675 5" xfId="6155" xr:uid="{D88E0D19-696B-434F-B310-AB6458473B22}"/>
    <cellStyle name="Comma 675 5 2" xfId="16507" xr:uid="{E83220FF-0F9B-4433-8135-711B59441995}"/>
    <cellStyle name="Comma 675 6" xfId="11333" xr:uid="{FF9BD62F-5558-435A-A0ED-9538C2E50B01}"/>
    <cellStyle name="Comma 676" xfId="916" xr:uid="{B9CE3400-FC28-41EC-9403-A4F62DA80EBD}"/>
    <cellStyle name="Comma 676 2" xfId="1954" xr:uid="{D39E0C89-7D25-42B8-A597-6ACF23680A22}"/>
    <cellStyle name="Comma 676 2 2" xfId="4012" xr:uid="{545040BB-E282-47E5-843E-C02139FA8847}"/>
    <cellStyle name="Comma 676 2 2 2" xfId="9245" xr:uid="{D23CE279-F2F6-4D4F-A626-141948180B8A}"/>
    <cellStyle name="Comma 676 2 2 2 2" xfId="19597" xr:uid="{FFD9133E-AC1B-4171-81F3-A2565E19304F}"/>
    <cellStyle name="Comma 676 2 2 3" xfId="14422" xr:uid="{1DC67237-D75A-4F97-B171-7EEF75CCB424}"/>
    <cellStyle name="Comma 676 2 3" xfId="7187" xr:uid="{C14B45DE-55DC-4B6B-A910-81FAA67B20A9}"/>
    <cellStyle name="Comma 676 2 3 2" xfId="17539" xr:uid="{E006175A-E6BA-4ED6-AA29-7452DC4F91E9}"/>
    <cellStyle name="Comma 676 2 4" xfId="12364" xr:uid="{741C3F26-BB99-41E5-9063-36D5C747E9D1}"/>
    <cellStyle name="Comma 676 3" xfId="2982" xr:uid="{3E6F9B8E-08AA-4415-A71F-1053C45AD169}"/>
    <cellStyle name="Comma 676 3 2" xfId="8215" xr:uid="{7EB147C9-B3FF-42D0-863A-C974757DB77E}"/>
    <cellStyle name="Comma 676 3 2 2" xfId="18567" xr:uid="{1F1BBF0F-170B-4AF3-871A-7B7A3FA4996E}"/>
    <cellStyle name="Comma 676 3 3" xfId="13392" xr:uid="{1E1C0CDC-7968-4384-ACEB-2ABF6A23BA1F}"/>
    <cellStyle name="Comma 676 4" xfId="5108" xr:uid="{834CCE19-B305-47A0-804D-E7E0BE9FFA93}"/>
    <cellStyle name="Comma 676 4 2" xfId="10284" xr:uid="{C3A19D8D-AC3B-4967-8D71-D9115101DE22}"/>
    <cellStyle name="Comma 676 4 2 2" xfId="20636" xr:uid="{F823B774-ABEC-41B7-B9AF-CC0C3A767AFC}"/>
    <cellStyle name="Comma 676 4 3" xfId="15460" xr:uid="{562DEF39-778F-41FA-BA67-97D02EE69E4D}"/>
    <cellStyle name="Comma 676 5" xfId="6156" xr:uid="{C4B6A7A7-5F30-4842-BDB4-6A3830103C85}"/>
    <cellStyle name="Comma 676 5 2" xfId="16508" xr:uid="{2AC04869-3F6C-492C-8CA8-67E65BEAC38D}"/>
    <cellStyle name="Comma 676 6" xfId="11334" xr:uid="{C33842F4-CCBE-4B4C-B4FF-55D423438970}"/>
    <cellStyle name="Comma 677" xfId="917" xr:uid="{58894A1E-9658-4320-8FDF-81E5107DA506}"/>
    <cellStyle name="Comma 677 2" xfId="1955" xr:uid="{EC5701B4-A101-48D4-91BE-47EDEDC3BD2F}"/>
    <cellStyle name="Comma 677 2 2" xfId="4013" xr:uid="{AEAE34AA-E2EF-49EB-B772-F05C0A0AFDA8}"/>
    <cellStyle name="Comma 677 2 2 2" xfId="9246" xr:uid="{3D78FAAB-3304-4985-8062-0F75CB5A5FD6}"/>
    <cellStyle name="Comma 677 2 2 2 2" xfId="19598" xr:uid="{4820FA73-CE84-478A-A439-D59AD7D8C6A2}"/>
    <cellStyle name="Comma 677 2 2 3" xfId="14423" xr:uid="{E1B9884D-3FEF-4F65-A390-9346B15282D7}"/>
    <cellStyle name="Comma 677 2 3" xfId="7188" xr:uid="{D78A9B79-CFD4-4EFC-B0AA-DB90B8A1A463}"/>
    <cellStyle name="Comma 677 2 3 2" xfId="17540" xr:uid="{DACF34F2-E086-4B89-8E37-B97B911DC114}"/>
    <cellStyle name="Comma 677 2 4" xfId="12365" xr:uid="{28D1DCFB-4E81-4E6D-A638-2D53AA9D7B5B}"/>
    <cellStyle name="Comma 677 3" xfId="2983" xr:uid="{AC35EDD1-51D8-4B70-B938-DC888B5486CC}"/>
    <cellStyle name="Comma 677 3 2" xfId="8216" xr:uid="{A67438BA-9F80-438D-8EC7-8EC5AD803047}"/>
    <cellStyle name="Comma 677 3 2 2" xfId="18568" xr:uid="{0B4EBC7C-8248-44D8-A6B2-210ABFE8B220}"/>
    <cellStyle name="Comma 677 3 3" xfId="13393" xr:uid="{5601EA83-113B-4661-B10E-D2E613D42DF2}"/>
    <cellStyle name="Comma 677 4" xfId="5109" xr:uid="{CA8CD2B4-7E96-407B-AE82-24DBB8372719}"/>
    <cellStyle name="Comma 677 4 2" xfId="10285" xr:uid="{5951B954-4E68-41F6-BC1D-BBD53A79F313}"/>
    <cellStyle name="Comma 677 4 2 2" xfId="20637" xr:uid="{1FEAC4E6-5F3D-476E-AF25-58B5FF57279C}"/>
    <cellStyle name="Comma 677 4 3" xfId="15461" xr:uid="{E614677A-3366-445E-914D-1AE14AA7B499}"/>
    <cellStyle name="Comma 677 5" xfId="6157" xr:uid="{65732E32-0F5F-4FF3-B718-F842D23558CE}"/>
    <cellStyle name="Comma 677 5 2" xfId="16509" xr:uid="{03A9F7D6-297E-4BF8-978D-B2E8B1769528}"/>
    <cellStyle name="Comma 677 6" xfId="11335" xr:uid="{91570B2B-5E50-4228-ABA7-330FE3D0405C}"/>
    <cellStyle name="Comma 678" xfId="918" xr:uid="{E7088DFF-0D7E-44AA-9D1A-94ABC59349D5}"/>
    <cellStyle name="Comma 678 2" xfId="1956" xr:uid="{8A4E2259-4AA0-44CA-961C-D8376B87DFA7}"/>
    <cellStyle name="Comma 678 2 2" xfId="4014" xr:uid="{5B6365F4-AF66-4CBB-B74A-EFEBFAE6AE45}"/>
    <cellStyle name="Comma 678 2 2 2" xfId="9247" xr:uid="{17C13020-C1AC-428F-8502-7865926F3C18}"/>
    <cellStyle name="Comma 678 2 2 2 2" xfId="19599" xr:uid="{AA4EF50E-41E0-4551-864B-A5007C4F93CC}"/>
    <cellStyle name="Comma 678 2 2 3" xfId="14424" xr:uid="{C25419CB-CFE9-4119-BC8C-A7D9D5466CB6}"/>
    <cellStyle name="Comma 678 2 3" xfId="7189" xr:uid="{1A3507B0-F44C-435A-A033-C36FAE260A0A}"/>
    <cellStyle name="Comma 678 2 3 2" xfId="17541" xr:uid="{113A9491-DD51-4D27-80BB-26E69D148B00}"/>
    <cellStyle name="Comma 678 2 4" xfId="12366" xr:uid="{E5B51605-A60C-4E34-961A-87A567AC76F9}"/>
    <cellStyle name="Comma 678 3" xfId="2984" xr:uid="{F10CDB0C-1DC9-4ED0-87C4-965C8FA8E6C0}"/>
    <cellStyle name="Comma 678 3 2" xfId="8217" xr:uid="{A46991AA-45EB-49F1-9EE6-271E007EBC1F}"/>
    <cellStyle name="Comma 678 3 2 2" xfId="18569" xr:uid="{AFFA58F3-8A38-456B-82C3-3BDDEAEB5E6A}"/>
    <cellStyle name="Comma 678 3 3" xfId="13394" xr:uid="{61BDD975-4905-46C4-AFE8-59EE99A73EFB}"/>
    <cellStyle name="Comma 678 4" xfId="5110" xr:uid="{30FAB751-07BB-47B7-96B3-22148A0C6B5B}"/>
    <cellStyle name="Comma 678 4 2" xfId="10286" xr:uid="{B8708E2A-B2A2-49C5-B691-668858E30328}"/>
    <cellStyle name="Comma 678 4 2 2" xfId="20638" xr:uid="{77721279-4D44-46D5-A5F5-1A5CCD398389}"/>
    <cellStyle name="Comma 678 4 3" xfId="15462" xr:uid="{DB43201D-A20C-48E8-9ED1-E9197541BEF1}"/>
    <cellStyle name="Comma 678 5" xfId="6158" xr:uid="{4EC02FF1-D232-41C0-A66B-586B3515732E}"/>
    <cellStyle name="Comma 678 5 2" xfId="16510" xr:uid="{BB8EF9CB-1DC3-4C3E-A7C8-0ADCD7BAC517}"/>
    <cellStyle name="Comma 678 6" xfId="11336" xr:uid="{8A895001-C33C-4C3E-B886-968600110352}"/>
    <cellStyle name="Comma 679" xfId="919" xr:uid="{1CCFF116-84B7-44B2-A17F-1CD9171D15E2}"/>
    <cellStyle name="Comma 679 2" xfId="1957" xr:uid="{BE03F11A-2B3A-4B58-B0ED-AFFDC7CF41E0}"/>
    <cellStyle name="Comma 679 2 2" xfId="4015" xr:uid="{6D864725-9C8C-4541-B445-2C439CDFABBA}"/>
    <cellStyle name="Comma 679 2 2 2" xfId="9248" xr:uid="{3E3DB807-743B-43BE-9837-7FFE7BCD8CDC}"/>
    <cellStyle name="Comma 679 2 2 2 2" xfId="19600" xr:uid="{439F59D6-3808-4641-A873-9D5F088F2B0A}"/>
    <cellStyle name="Comma 679 2 2 3" xfId="14425" xr:uid="{208D59F1-BA64-42A4-B140-CE4F94C84515}"/>
    <cellStyle name="Comma 679 2 3" xfId="7190" xr:uid="{BAAB26F3-F016-4AED-B969-E60762D3E7A7}"/>
    <cellStyle name="Comma 679 2 3 2" xfId="17542" xr:uid="{9A80217D-A68B-4E5D-A710-C506BB419109}"/>
    <cellStyle name="Comma 679 2 4" xfId="12367" xr:uid="{9317DD6C-E5CA-42BB-816E-649DDD68703C}"/>
    <cellStyle name="Comma 679 3" xfId="2985" xr:uid="{5625E9C2-AFE0-43D3-9F3B-5B080CBE8252}"/>
    <cellStyle name="Comma 679 3 2" xfId="8218" xr:uid="{E77F9C82-494A-47FD-B15A-727AFF23038E}"/>
    <cellStyle name="Comma 679 3 2 2" xfId="18570" xr:uid="{E420FD07-64F6-4D7E-9E51-6652A5B72EB8}"/>
    <cellStyle name="Comma 679 3 3" xfId="13395" xr:uid="{72C5E4EE-3C43-4AF9-A011-61E9D4E5B6A4}"/>
    <cellStyle name="Comma 679 4" xfId="5111" xr:uid="{77AFF78E-F249-46D1-910B-388F14FE134E}"/>
    <cellStyle name="Comma 679 4 2" xfId="10287" xr:uid="{8B8A7428-5721-4C4F-A07F-DC645889E295}"/>
    <cellStyle name="Comma 679 4 2 2" xfId="20639" xr:uid="{F09A1D89-7BD0-44B7-8259-AF7B1A6E99A0}"/>
    <cellStyle name="Comma 679 4 3" xfId="15463" xr:uid="{4F55BB19-DB59-4A1E-90D0-0992A96647F0}"/>
    <cellStyle name="Comma 679 5" xfId="6159" xr:uid="{8549FCC8-C921-4FDA-AD42-610C624FEBBF}"/>
    <cellStyle name="Comma 679 5 2" xfId="16511" xr:uid="{BFC013B6-93B7-4F32-93DA-58412F3EF80B}"/>
    <cellStyle name="Comma 679 6" xfId="11337" xr:uid="{4EA887F0-ACAC-48C4-B14B-D4D9E055B615}"/>
    <cellStyle name="Comma 68" xfId="271" xr:uid="{21F2C10F-148D-4447-AC9E-F0CBBC506D7A}"/>
    <cellStyle name="Comma 68 2" xfId="1346" xr:uid="{B6BA9136-395C-477A-A777-C476E1EABFFC}"/>
    <cellStyle name="Comma 68 2 2" xfId="3404" xr:uid="{D5D946DA-7BA6-478B-9B46-94714171D080}"/>
    <cellStyle name="Comma 68 2 2 2" xfId="8637" xr:uid="{37326631-7872-4A64-96CA-3101BAB67E12}"/>
    <cellStyle name="Comma 68 2 2 2 2" xfId="18989" xr:uid="{AB758947-587B-47E1-88F0-831742F1E3F3}"/>
    <cellStyle name="Comma 68 2 2 3" xfId="13814" xr:uid="{44A04342-EA5F-4B88-B250-714400ABCB76}"/>
    <cellStyle name="Comma 68 2 3" xfId="6579" xr:uid="{563FE19E-C569-4061-89FC-5433E2610714}"/>
    <cellStyle name="Comma 68 2 3 2" xfId="16931" xr:uid="{BC64D0F1-8A34-4DB6-97FC-2390E8CC3E49}"/>
    <cellStyle name="Comma 68 2 4" xfId="11756" xr:uid="{4364D1E9-892F-4B21-AAC8-4B1F2B232F6D}"/>
    <cellStyle name="Comma 68 3" xfId="2374" xr:uid="{971C01F5-B90B-4E65-8F48-42EE8816BC90}"/>
    <cellStyle name="Comma 68 3 2" xfId="7607" xr:uid="{1AE79ED5-A428-4D2A-960F-35296B2A2116}"/>
    <cellStyle name="Comma 68 3 2 2" xfId="17959" xr:uid="{9B05AF36-5BE8-478E-92B1-7AB8711B2BA8}"/>
    <cellStyle name="Comma 68 3 3" xfId="12784" xr:uid="{2C320B99-3406-4732-9498-0670C708386C}"/>
    <cellStyle name="Comma 68 4" xfId="4500" xr:uid="{171C9278-53AE-4B96-B270-32D38C3BC417}"/>
    <cellStyle name="Comma 68 4 2" xfId="9676" xr:uid="{13E36DAD-2016-4438-A01B-99EAACD24BBD}"/>
    <cellStyle name="Comma 68 4 2 2" xfId="20028" xr:uid="{172C49D2-AA31-4EC7-90E6-3202D9AFBCF3}"/>
    <cellStyle name="Comma 68 4 3" xfId="14852" xr:uid="{842D5AF8-8B9B-478D-84C9-CB7D8F3EC322}"/>
    <cellStyle name="Comma 68 5" xfId="5548" xr:uid="{8F0820C9-6276-4123-B800-AFC92F1D08E0}"/>
    <cellStyle name="Comma 68 5 2" xfId="15900" xr:uid="{3540E791-045C-444D-9CBF-5BDD48A7E435}"/>
    <cellStyle name="Comma 68 6" xfId="10726" xr:uid="{3B87D4CD-445E-4926-A230-C754B01A9723}"/>
    <cellStyle name="Comma 680" xfId="920" xr:uid="{DA1D3552-C214-460F-9F55-0EAB621D883A}"/>
    <cellStyle name="Comma 680 2" xfId="1958" xr:uid="{7EBE22AA-96B5-4960-9271-AEEE8587B4A7}"/>
    <cellStyle name="Comma 680 2 2" xfId="4016" xr:uid="{8AC61B64-755E-4ED4-8F14-6C684670D50B}"/>
    <cellStyle name="Comma 680 2 2 2" xfId="9249" xr:uid="{27C2B829-C996-4E0C-AA71-AB1D29BA7229}"/>
    <cellStyle name="Comma 680 2 2 2 2" xfId="19601" xr:uid="{B260DD8A-5A96-4333-B791-726F90EEE59A}"/>
    <cellStyle name="Comma 680 2 2 3" xfId="14426" xr:uid="{CB7035BC-DE02-4023-BFA2-7C2A3AB79ACE}"/>
    <cellStyle name="Comma 680 2 3" xfId="7191" xr:uid="{B834B3A4-583F-40CE-9F10-722BC3443303}"/>
    <cellStyle name="Comma 680 2 3 2" xfId="17543" xr:uid="{DD164AA9-4957-41BF-A23A-AFFC4754FE71}"/>
    <cellStyle name="Comma 680 2 4" xfId="12368" xr:uid="{9191D6F9-E433-4A74-A2BB-F1810DF8D0D4}"/>
    <cellStyle name="Comma 680 3" xfId="2986" xr:uid="{27E31142-5CC5-477D-9D2B-1C3BDA3E9519}"/>
    <cellStyle name="Comma 680 3 2" xfId="8219" xr:uid="{F1C8132E-0C60-479F-BB82-942F4335B4D5}"/>
    <cellStyle name="Comma 680 3 2 2" xfId="18571" xr:uid="{0A984F72-3E36-4EF4-A98B-315E2F3C2499}"/>
    <cellStyle name="Comma 680 3 3" xfId="13396" xr:uid="{A1764650-1142-4787-B335-C74C82F44C9D}"/>
    <cellStyle name="Comma 680 4" xfId="5112" xr:uid="{5D44CBDA-616F-4941-92C3-31A98544EB30}"/>
    <cellStyle name="Comma 680 4 2" xfId="10288" xr:uid="{E184AC56-AADB-49BB-98C0-C5AB27245A53}"/>
    <cellStyle name="Comma 680 4 2 2" xfId="20640" xr:uid="{96BE93D4-512E-42F6-B572-C6DE8085C427}"/>
    <cellStyle name="Comma 680 4 3" xfId="15464" xr:uid="{F9D22ECD-59A8-4258-8966-6B2AFADA38D6}"/>
    <cellStyle name="Comma 680 5" xfId="6160" xr:uid="{73B9A29E-3D1C-4193-A5F0-298A2D273FB5}"/>
    <cellStyle name="Comma 680 5 2" xfId="16512" xr:uid="{22B2D1BF-D5F5-4D42-A88B-853474A1B2EC}"/>
    <cellStyle name="Comma 680 6" xfId="11338" xr:uid="{139A92EE-A76A-4921-80AE-4216700850CB}"/>
    <cellStyle name="Comma 681" xfId="921" xr:uid="{C49C6582-2EE5-4D94-80A1-707539151968}"/>
    <cellStyle name="Comma 681 2" xfId="1959" xr:uid="{EBB241A3-E24C-4AA2-B97C-55C9E471CBBA}"/>
    <cellStyle name="Comma 681 2 2" xfId="4017" xr:uid="{201D4954-03A7-49FA-BDC2-DEFBE213A2EE}"/>
    <cellStyle name="Comma 681 2 2 2" xfId="9250" xr:uid="{4368AFF5-44CA-4E46-94D0-3E5D44D00B82}"/>
    <cellStyle name="Comma 681 2 2 2 2" xfId="19602" xr:uid="{ED7998E2-6200-43DE-AB0C-D536D63CD56B}"/>
    <cellStyle name="Comma 681 2 2 3" xfId="14427" xr:uid="{B66C3023-0122-4C20-AD3B-E0F24ED5242E}"/>
    <cellStyle name="Comma 681 2 3" xfId="7192" xr:uid="{6177DA1F-4E39-4CCB-977F-A32039D8E4FA}"/>
    <cellStyle name="Comma 681 2 3 2" xfId="17544" xr:uid="{A7BCC17D-A08F-42D1-97F4-389B778435AF}"/>
    <cellStyle name="Comma 681 2 4" xfId="12369" xr:uid="{41B6BDEF-FD53-4849-BC7B-3A3831F711BF}"/>
    <cellStyle name="Comma 681 3" xfId="2987" xr:uid="{EF4F76BB-30E7-497D-9BFB-10A93B791B61}"/>
    <cellStyle name="Comma 681 3 2" xfId="8220" xr:uid="{97BEF276-4813-49D5-8DA0-4918611C8891}"/>
    <cellStyle name="Comma 681 3 2 2" xfId="18572" xr:uid="{66BCEBA1-EA73-46C2-A3D6-9215675423FA}"/>
    <cellStyle name="Comma 681 3 3" xfId="13397" xr:uid="{5CC15C2F-2098-4441-B893-6525EC6216D5}"/>
    <cellStyle name="Comma 681 4" xfId="5113" xr:uid="{8D950263-E959-411B-9A2C-C56EA82A8261}"/>
    <cellStyle name="Comma 681 4 2" xfId="10289" xr:uid="{4BA38BC3-5AAA-459A-B63F-E29674145EBF}"/>
    <cellStyle name="Comma 681 4 2 2" xfId="20641" xr:uid="{0C6CFC21-B386-4816-B4C3-0FF8BA9BB8D7}"/>
    <cellStyle name="Comma 681 4 3" xfId="15465" xr:uid="{BB16DAB7-B359-4A44-A7BE-E520ED3B16F6}"/>
    <cellStyle name="Comma 681 5" xfId="6161" xr:uid="{B20ADCFB-0B48-4FE4-B7B3-3439284A44ED}"/>
    <cellStyle name="Comma 681 5 2" xfId="16513" xr:uid="{49DA844F-1886-4BA5-964A-997734205C0D}"/>
    <cellStyle name="Comma 681 6" xfId="11339" xr:uid="{F462F0D7-6F27-4FAC-BF9E-2C9915872386}"/>
    <cellStyle name="Comma 682" xfId="922" xr:uid="{FCDD5D25-8A80-4A27-9335-537EAD9DA098}"/>
    <cellStyle name="Comma 682 2" xfId="1960" xr:uid="{DAA6A9F3-B4A7-4501-9CFE-8284BACC4348}"/>
    <cellStyle name="Comma 682 2 2" xfId="4018" xr:uid="{866879E4-F9AB-451C-B2CC-1EB8DE292F53}"/>
    <cellStyle name="Comma 682 2 2 2" xfId="9251" xr:uid="{6AF3D767-0A83-4714-9D44-0C69E10372D3}"/>
    <cellStyle name="Comma 682 2 2 2 2" xfId="19603" xr:uid="{B534EC03-0354-458E-8C9A-36D090CA535A}"/>
    <cellStyle name="Comma 682 2 2 3" xfId="14428" xr:uid="{AF111F03-1EBB-4368-A087-258AC854C49D}"/>
    <cellStyle name="Comma 682 2 3" xfId="7193" xr:uid="{6C1C3896-C6D2-49DE-945B-0B99354BB4A0}"/>
    <cellStyle name="Comma 682 2 3 2" xfId="17545" xr:uid="{ECC68298-F743-4783-BD98-ADB28EF8950D}"/>
    <cellStyle name="Comma 682 2 4" xfId="12370" xr:uid="{A149975A-00BD-4B66-A5C9-6E415E487512}"/>
    <cellStyle name="Comma 682 3" xfId="2988" xr:uid="{C7A1DFAA-7841-4A16-9664-BCF5E69BEDEF}"/>
    <cellStyle name="Comma 682 3 2" xfId="8221" xr:uid="{3C94163E-0364-43B4-9E3E-36482002D9DE}"/>
    <cellStyle name="Comma 682 3 2 2" xfId="18573" xr:uid="{D5824F7A-6428-4E74-9247-5CA43DEC8C85}"/>
    <cellStyle name="Comma 682 3 3" xfId="13398" xr:uid="{FB6D911A-A63E-46F9-ABD4-0141D5336220}"/>
    <cellStyle name="Comma 682 4" xfId="5114" xr:uid="{40A5193D-C72F-472C-B0E9-61218FC962B1}"/>
    <cellStyle name="Comma 682 4 2" xfId="10290" xr:uid="{A68F6B5A-0361-4C85-85BE-B16329AF3863}"/>
    <cellStyle name="Comma 682 4 2 2" xfId="20642" xr:uid="{47B065D5-AB18-4F5D-960C-6E243D60FAE8}"/>
    <cellStyle name="Comma 682 4 3" xfId="15466" xr:uid="{27CC29E4-F39A-4749-9456-BAE18C979DA3}"/>
    <cellStyle name="Comma 682 5" xfId="6162" xr:uid="{11A67AF3-C0CA-4365-999A-218B2A96FDAF}"/>
    <cellStyle name="Comma 682 5 2" xfId="16514" xr:uid="{0B3A4C69-8008-4F06-B0E6-BFFC3466A936}"/>
    <cellStyle name="Comma 682 6" xfId="11340" xr:uid="{97CE2986-F4E4-4EA5-947D-247E001DF74D}"/>
    <cellStyle name="Comma 683" xfId="923" xr:uid="{4AE4A9E9-0A93-455E-B867-6E7AE064E740}"/>
    <cellStyle name="Comma 683 2" xfId="1961" xr:uid="{25B8B3F5-4A42-47BC-89A9-C8D9C64E381F}"/>
    <cellStyle name="Comma 683 2 2" xfId="4019" xr:uid="{B3B46156-8FAD-495C-ABEE-9553E6121EE7}"/>
    <cellStyle name="Comma 683 2 2 2" xfId="9252" xr:uid="{2A26B071-B1EF-4C46-ACDF-FB606D000C13}"/>
    <cellStyle name="Comma 683 2 2 2 2" xfId="19604" xr:uid="{A62B79E6-6CA3-46CE-8A85-005B59FC29E9}"/>
    <cellStyle name="Comma 683 2 2 3" xfId="14429" xr:uid="{6AF207AA-E75A-41D0-8E93-D83EEEEC06CB}"/>
    <cellStyle name="Comma 683 2 3" xfId="7194" xr:uid="{410ECD3E-9A76-4859-BE6E-A476EC6099BE}"/>
    <cellStyle name="Comma 683 2 3 2" xfId="17546" xr:uid="{9C85B15A-3A30-4C02-A0E2-AB5CA06A1386}"/>
    <cellStyle name="Comma 683 2 4" xfId="12371" xr:uid="{868E76CC-B098-48A6-A200-C613F13336B8}"/>
    <cellStyle name="Comma 683 3" xfId="2989" xr:uid="{DBE4FC8C-847D-4765-BB01-0E2EEE49E1CE}"/>
    <cellStyle name="Comma 683 3 2" xfId="8222" xr:uid="{3DD4123E-31FC-4CB3-871E-E81688F8298D}"/>
    <cellStyle name="Comma 683 3 2 2" xfId="18574" xr:uid="{7E091F92-95EE-4B3B-BB0B-089ADE0CE1C0}"/>
    <cellStyle name="Comma 683 3 3" xfId="13399" xr:uid="{99A03E4A-08DF-4847-8749-D8F8245F31FB}"/>
    <cellStyle name="Comma 683 4" xfId="5115" xr:uid="{8F4FE3D3-3B7C-4E17-966E-634CB3C39349}"/>
    <cellStyle name="Comma 683 4 2" xfId="10291" xr:uid="{F0BD1BEA-C73D-4393-9027-FEE0092CBF2D}"/>
    <cellStyle name="Comma 683 4 2 2" xfId="20643" xr:uid="{666A7966-C7A0-461F-AF2B-053728FF314B}"/>
    <cellStyle name="Comma 683 4 3" xfId="15467" xr:uid="{5DF7D6EB-929C-40DC-A9B8-E75344F5599F}"/>
    <cellStyle name="Comma 683 5" xfId="6163" xr:uid="{0D1A0430-8EA8-4B56-91DF-E1147A3F3CC3}"/>
    <cellStyle name="Comma 683 5 2" xfId="16515" xr:uid="{C39EBF14-9AA7-4702-BCF0-AE7863AF9925}"/>
    <cellStyle name="Comma 683 6" xfId="11341" xr:uid="{4AE46AEA-1EE3-4506-99B7-31E75F9BBBE9}"/>
    <cellStyle name="Comma 684" xfId="924" xr:uid="{122E02FB-4E87-4CC0-B835-B08FE36F6769}"/>
    <cellStyle name="Comma 684 2" xfId="1962" xr:uid="{C616C5FE-4E04-4F7A-9686-F7394743B716}"/>
    <cellStyle name="Comma 684 2 2" xfId="4020" xr:uid="{FA6D6D95-5E71-4DAD-9C6F-7C8C0EA102FF}"/>
    <cellStyle name="Comma 684 2 2 2" xfId="9253" xr:uid="{11CB82EB-8C97-4FA6-A564-C62EB813A93D}"/>
    <cellStyle name="Comma 684 2 2 2 2" xfId="19605" xr:uid="{E844A344-94D8-43A2-BFA7-1ACE17EB55EF}"/>
    <cellStyle name="Comma 684 2 2 3" xfId="14430" xr:uid="{404BEA3D-EA24-48BD-A138-591AB34D9B53}"/>
    <cellStyle name="Comma 684 2 3" xfId="7195" xr:uid="{8477F93A-FD3C-44D2-A222-F62DA63FD0A5}"/>
    <cellStyle name="Comma 684 2 3 2" xfId="17547" xr:uid="{6D0158E9-6A6C-4D24-98D8-97032932349B}"/>
    <cellStyle name="Comma 684 2 4" xfId="12372" xr:uid="{E69F41E2-202D-4298-A979-2269AA5A1368}"/>
    <cellStyle name="Comma 684 3" xfId="2990" xr:uid="{1466DA1D-736E-4A7F-AB06-C02C321E62ED}"/>
    <cellStyle name="Comma 684 3 2" xfId="8223" xr:uid="{FA3BD611-8C46-416E-9CC0-120A4E6A6132}"/>
    <cellStyle name="Comma 684 3 2 2" xfId="18575" xr:uid="{A7E6BA91-B0C0-487A-968D-94894ACAE462}"/>
    <cellStyle name="Comma 684 3 3" xfId="13400" xr:uid="{80FDD5E1-C864-416D-9662-28DDE5F1B990}"/>
    <cellStyle name="Comma 684 4" xfId="5116" xr:uid="{EDB1656F-8BFE-41A4-A337-9F936D7DA83D}"/>
    <cellStyle name="Comma 684 4 2" xfId="10292" xr:uid="{AF80F064-3F01-451B-BF9F-97A1A5349E3D}"/>
    <cellStyle name="Comma 684 4 2 2" xfId="20644" xr:uid="{E4B88F28-849E-41BC-AEC6-75C69FD5F9EE}"/>
    <cellStyle name="Comma 684 4 3" xfId="15468" xr:uid="{B4798C1A-BB87-4492-B89C-1FBB3A5FC51F}"/>
    <cellStyle name="Comma 684 5" xfId="6164" xr:uid="{9A99C003-2928-469E-A8A7-08BD988B61AF}"/>
    <cellStyle name="Comma 684 5 2" xfId="16516" xr:uid="{0E2FE481-EC78-4961-BCD8-AED6812AFBE3}"/>
    <cellStyle name="Comma 684 6" xfId="11342" xr:uid="{22E02903-02D8-48BD-A0D4-A6A8759F3CA6}"/>
    <cellStyle name="Comma 685" xfId="925" xr:uid="{20D9BA68-54B4-4D83-B300-65A044BED641}"/>
    <cellStyle name="Comma 685 2" xfId="1963" xr:uid="{8B92D8B7-763A-4299-BD70-85E9100023D8}"/>
    <cellStyle name="Comma 685 2 2" xfId="4021" xr:uid="{811E32CA-4DC0-4173-B4CE-C4E3AEA9A1C0}"/>
    <cellStyle name="Comma 685 2 2 2" xfId="9254" xr:uid="{5DE49B1B-BB02-4600-84AA-9DEB07CC7ECA}"/>
    <cellStyle name="Comma 685 2 2 2 2" xfId="19606" xr:uid="{FD228F95-59B5-483B-B4BA-0F39A896376F}"/>
    <cellStyle name="Comma 685 2 2 3" xfId="14431" xr:uid="{EC41FEF8-C9F9-43A5-B067-6B50F6D926B9}"/>
    <cellStyle name="Comma 685 2 3" xfId="7196" xr:uid="{131B824A-5821-4C7E-9813-C824116A6808}"/>
    <cellStyle name="Comma 685 2 3 2" xfId="17548" xr:uid="{D125BA15-6705-4ED4-A718-F0E8B4EDB9E5}"/>
    <cellStyle name="Comma 685 2 4" xfId="12373" xr:uid="{B701A7BD-70E8-4EDE-A7E3-4FDA7956FDD0}"/>
    <cellStyle name="Comma 685 3" xfId="2991" xr:uid="{9B05590D-6060-4F5A-B93D-0AF765BFB7B0}"/>
    <cellStyle name="Comma 685 3 2" xfId="8224" xr:uid="{A84942BC-A945-407F-B04F-175F95083BBF}"/>
    <cellStyle name="Comma 685 3 2 2" xfId="18576" xr:uid="{907EC700-4FF8-4E72-9EF6-D2447011B5BB}"/>
    <cellStyle name="Comma 685 3 3" xfId="13401" xr:uid="{1751330D-1953-4A85-8A5F-F5B9AA81A135}"/>
    <cellStyle name="Comma 685 4" xfId="5117" xr:uid="{74EF7492-FD76-4C13-98A4-137164358154}"/>
    <cellStyle name="Comma 685 4 2" xfId="10293" xr:uid="{AB2C1D59-231B-43D8-B203-D174CBE8E45E}"/>
    <cellStyle name="Comma 685 4 2 2" xfId="20645" xr:uid="{0D39CF2F-CC99-44FA-99F8-9D7E6F3D324D}"/>
    <cellStyle name="Comma 685 4 3" xfId="15469" xr:uid="{83DF36E4-1F27-47B6-BC32-290762C710D7}"/>
    <cellStyle name="Comma 685 5" xfId="6165" xr:uid="{82BBFE6F-3114-4948-B8B5-12BB351C3767}"/>
    <cellStyle name="Comma 685 5 2" xfId="16517" xr:uid="{5D24E891-078F-4A42-9F6A-101CFA0FE93F}"/>
    <cellStyle name="Comma 685 6" xfId="11343" xr:uid="{C66A2F6F-273E-4665-A388-B0417E4FCAA9}"/>
    <cellStyle name="Comma 686" xfId="926" xr:uid="{FFE993B3-3F33-4B26-B2CA-99C0890F7133}"/>
    <cellStyle name="Comma 686 2" xfId="1964" xr:uid="{7CE86ECE-8751-44D8-8898-625E5729879E}"/>
    <cellStyle name="Comma 686 2 2" xfId="4022" xr:uid="{2187B688-D043-472C-8365-AE6A8FFAE27E}"/>
    <cellStyle name="Comma 686 2 2 2" xfId="9255" xr:uid="{9A34AD4E-972A-4174-AA3A-3C2EB33E48DF}"/>
    <cellStyle name="Comma 686 2 2 2 2" xfId="19607" xr:uid="{16C2DBDF-5042-44D4-A3E3-27863F52BFED}"/>
    <cellStyle name="Comma 686 2 2 3" xfId="14432" xr:uid="{B15D8C4A-3DB2-4C73-8A42-DD61BEDC0BD3}"/>
    <cellStyle name="Comma 686 2 3" xfId="7197" xr:uid="{C59F39B8-4F14-4C73-ABC4-F9D2D2AA95DA}"/>
    <cellStyle name="Comma 686 2 3 2" xfId="17549" xr:uid="{A5E99714-7EB7-4D0F-8550-38BC597C2708}"/>
    <cellStyle name="Comma 686 2 4" xfId="12374" xr:uid="{B8CD6615-D702-476B-9588-628B4FE3AF7B}"/>
    <cellStyle name="Comma 686 3" xfId="2992" xr:uid="{941BDB13-8985-41AD-9D6A-C36AF7CEF217}"/>
    <cellStyle name="Comma 686 3 2" xfId="8225" xr:uid="{BB03AFB0-88B9-4777-8C92-5545EE2988D3}"/>
    <cellStyle name="Comma 686 3 2 2" xfId="18577" xr:uid="{E4FA3C01-F9E2-4861-AF22-F50942AD4DCA}"/>
    <cellStyle name="Comma 686 3 3" xfId="13402" xr:uid="{1D8CAB5F-BD60-4403-A7CB-3F1423EA3E42}"/>
    <cellStyle name="Comma 686 4" xfId="5118" xr:uid="{D346DB34-27F3-4816-865B-2FE941322751}"/>
    <cellStyle name="Comma 686 4 2" xfId="10294" xr:uid="{DAF766CE-1C92-4918-8FEA-33D655780389}"/>
    <cellStyle name="Comma 686 4 2 2" xfId="20646" xr:uid="{E9DBD1DD-2794-480E-BF49-4E5DB9DE7E55}"/>
    <cellStyle name="Comma 686 4 3" xfId="15470" xr:uid="{4D755819-ACFF-43EA-8612-BB0D2CCF05AF}"/>
    <cellStyle name="Comma 686 5" xfId="6166" xr:uid="{714B6103-F6C6-4486-B997-EA61F8DCE37C}"/>
    <cellStyle name="Comma 686 5 2" xfId="16518" xr:uid="{443745FA-5491-40ED-9F33-286031836FE9}"/>
    <cellStyle name="Comma 686 6" xfId="11344" xr:uid="{11A85B53-3E17-4033-B848-63D1E930CC0C}"/>
    <cellStyle name="Comma 687" xfId="927" xr:uid="{2B3EBF52-C292-4921-B671-6436270D6715}"/>
    <cellStyle name="Comma 687 2" xfId="1965" xr:uid="{7652904B-935A-439C-93D2-38A4E353CB9E}"/>
    <cellStyle name="Comma 687 2 2" xfId="4023" xr:uid="{F2A43D3A-03E8-4341-99C3-11E024082F4E}"/>
    <cellStyle name="Comma 687 2 2 2" xfId="9256" xr:uid="{03F7ED4B-8990-40DD-A5D5-D4ED20545B0C}"/>
    <cellStyle name="Comma 687 2 2 2 2" xfId="19608" xr:uid="{C3EF4CA3-BD4E-4FA0-9423-64E57860BAFB}"/>
    <cellStyle name="Comma 687 2 2 3" xfId="14433" xr:uid="{871A9B55-E4FC-4D83-A8B3-22AB22163C3D}"/>
    <cellStyle name="Comma 687 2 3" xfId="7198" xr:uid="{09AAFD37-257D-487E-AE6B-5EF8C9A6A6BA}"/>
    <cellStyle name="Comma 687 2 3 2" xfId="17550" xr:uid="{1DC79CDA-47D2-43D7-AA3E-A676FB4BCEB7}"/>
    <cellStyle name="Comma 687 2 4" xfId="12375" xr:uid="{056E7B92-1C6F-4BFA-A9C8-4438F87FE840}"/>
    <cellStyle name="Comma 687 3" xfId="2993" xr:uid="{36A7C16B-45B4-4ECF-86D0-363DE9F0E3FD}"/>
    <cellStyle name="Comma 687 3 2" xfId="8226" xr:uid="{65E206D0-E350-4FD2-A885-6A5A3A27D4ED}"/>
    <cellStyle name="Comma 687 3 2 2" xfId="18578" xr:uid="{B8F1DD29-6605-44BB-BC5B-4AA227251869}"/>
    <cellStyle name="Comma 687 3 3" xfId="13403" xr:uid="{DB7F154A-29D9-419A-9BD0-8A9271B4271A}"/>
    <cellStyle name="Comma 687 4" xfId="5119" xr:uid="{3BB82DDF-4927-4029-9CF2-44363DB22462}"/>
    <cellStyle name="Comma 687 4 2" xfId="10295" xr:uid="{398CCC71-55D1-4B0E-B531-4C3A79F4C2AC}"/>
    <cellStyle name="Comma 687 4 2 2" xfId="20647" xr:uid="{EBA2E0A2-B41C-4D5B-82C9-2CEC48F1A1C7}"/>
    <cellStyle name="Comma 687 4 3" xfId="15471" xr:uid="{926B4400-90B0-4BB1-8BF4-C93EE6131587}"/>
    <cellStyle name="Comma 687 5" xfId="6167" xr:uid="{803ADC87-2B23-4283-8F67-5992BE9FCDF8}"/>
    <cellStyle name="Comma 687 5 2" xfId="16519" xr:uid="{3DFCEC7E-91C8-4BE3-9ABF-5E46E9DADAC2}"/>
    <cellStyle name="Comma 687 6" xfId="11345" xr:uid="{4B6A90F0-886B-4F6B-A93C-A1009E559FDB}"/>
    <cellStyle name="Comma 688" xfId="928" xr:uid="{7BB6A959-DC41-46AF-A363-8697DB43F010}"/>
    <cellStyle name="Comma 688 2" xfId="1966" xr:uid="{01206717-9EBE-47CE-96E9-87AA63987672}"/>
    <cellStyle name="Comma 688 2 2" xfId="4024" xr:uid="{5666CF58-862F-47CF-845D-2B4724ADDDCE}"/>
    <cellStyle name="Comma 688 2 2 2" xfId="9257" xr:uid="{82A355F8-F2C1-4231-BDA9-6D97C70FDE8A}"/>
    <cellStyle name="Comma 688 2 2 2 2" xfId="19609" xr:uid="{DBAED3AC-C36F-460B-9DD3-98FAAD250EAE}"/>
    <cellStyle name="Comma 688 2 2 3" xfId="14434" xr:uid="{6C594283-4F9D-4F16-A7B6-A3EF3FF60EDE}"/>
    <cellStyle name="Comma 688 2 3" xfId="7199" xr:uid="{0376B738-DE0D-490B-861E-92E788971682}"/>
    <cellStyle name="Comma 688 2 3 2" xfId="17551" xr:uid="{4766ACA9-F39E-4336-9648-8C7B2AEB5926}"/>
    <cellStyle name="Comma 688 2 4" xfId="12376" xr:uid="{2ECE6157-1EAF-4917-82AC-9DE71AFE0781}"/>
    <cellStyle name="Comma 688 3" xfId="2994" xr:uid="{9C96BD81-AF12-465D-A57C-439BE3103288}"/>
    <cellStyle name="Comma 688 3 2" xfId="8227" xr:uid="{BFDB2295-EF50-49F4-9B3C-0A1A4F05FDB7}"/>
    <cellStyle name="Comma 688 3 2 2" xfId="18579" xr:uid="{63F98EE1-B5FD-4991-AA50-558B8454D059}"/>
    <cellStyle name="Comma 688 3 3" xfId="13404" xr:uid="{5E950FC1-CAB0-45A2-BD75-70EA344F03BD}"/>
    <cellStyle name="Comma 688 4" xfId="5120" xr:uid="{8F1D12D4-BD50-4388-B4D8-4DB34000BDA4}"/>
    <cellStyle name="Comma 688 4 2" xfId="10296" xr:uid="{7205D6BB-2D9E-49B8-ABF5-FCAFFDC550A2}"/>
    <cellStyle name="Comma 688 4 2 2" xfId="20648" xr:uid="{B0B78E35-A34F-415E-AFF7-0D7F16C32F72}"/>
    <cellStyle name="Comma 688 4 3" xfId="15472" xr:uid="{810D3454-D721-4E86-B501-E7007D06DC72}"/>
    <cellStyle name="Comma 688 5" xfId="6168" xr:uid="{BCE41D46-D7BF-4501-A0EB-0F8E2E57C47D}"/>
    <cellStyle name="Comma 688 5 2" xfId="16520" xr:uid="{D58C804B-0C72-49A6-8AD4-2B8114629611}"/>
    <cellStyle name="Comma 688 6" xfId="11346" xr:uid="{F7EA37A3-7644-490A-9A06-6D22AC41E912}"/>
    <cellStyle name="Comma 689" xfId="929" xr:uid="{68FC1BAE-8C06-44D9-B3D1-E621BDFA8E8E}"/>
    <cellStyle name="Comma 689 2" xfId="1967" xr:uid="{CBABCBAC-32E7-470B-A767-5C0DB944BA0B}"/>
    <cellStyle name="Comma 689 2 2" xfId="4025" xr:uid="{413A43D6-FEC3-4C37-BF5C-0FAE95BCDB6C}"/>
    <cellStyle name="Comma 689 2 2 2" xfId="9258" xr:uid="{D3BD3194-1067-4BD0-BE26-5E4AE5AF4505}"/>
    <cellStyle name="Comma 689 2 2 2 2" xfId="19610" xr:uid="{F6F1C631-CA85-43D6-A76F-108AA4617400}"/>
    <cellStyle name="Comma 689 2 2 3" xfId="14435" xr:uid="{C3078BB0-020F-4C2E-A78C-2327423F08A5}"/>
    <cellStyle name="Comma 689 2 3" xfId="7200" xr:uid="{2EA164B4-3CCD-4886-A6E6-0A3376936D92}"/>
    <cellStyle name="Comma 689 2 3 2" xfId="17552" xr:uid="{9C12CCC4-7151-4BB5-9DDC-C4BDAD196A43}"/>
    <cellStyle name="Comma 689 2 4" xfId="12377" xr:uid="{10FAB44A-AB32-465E-BF29-C4BCD1BA9CAA}"/>
    <cellStyle name="Comma 689 3" xfId="2995" xr:uid="{7F6980AA-F9B9-49E4-A792-45FDC9E54561}"/>
    <cellStyle name="Comma 689 3 2" xfId="8228" xr:uid="{828FC2BB-120A-48F2-9CF9-9E55CC4E8962}"/>
    <cellStyle name="Comma 689 3 2 2" xfId="18580" xr:uid="{0FB5A936-F498-4020-91A0-FB4FC02DE46B}"/>
    <cellStyle name="Comma 689 3 3" xfId="13405" xr:uid="{945B756F-BB54-4CD3-A8FC-5A97CD064CC3}"/>
    <cellStyle name="Comma 689 4" xfId="5121" xr:uid="{30C57320-DA9C-43F4-A15A-D76B7D7DF81A}"/>
    <cellStyle name="Comma 689 4 2" xfId="10297" xr:uid="{BEFCB15E-463E-4930-BC9C-5AD39E2D15A5}"/>
    <cellStyle name="Comma 689 4 2 2" xfId="20649" xr:uid="{B3F1C257-E580-484A-B858-6548B35DE555}"/>
    <cellStyle name="Comma 689 4 3" xfId="15473" xr:uid="{7950D898-62E4-4BF1-BFE8-12494284F717}"/>
    <cellStyle name="Comma 689 5" xfId="6169" xr:uid="{541A4B45-2765-425D-8392-6286F863E3E1}"/>
    <cellStyle name="Comma 689 5 2" xfId="16521" xr:uid="{72B5157E-65C8-4473-B950-98F74F264BD1}"/>
    <cellStyle name="Comma 689 6" xfId="11347" xr:uid="{3E5A4E68-AC68-4D96-A0A0-C3907C0383BA}"/>
    <cellStyle name="Comma 69" xfId="272" xr:uid="{515EF98B-9D5A-47E8-A583-A9B150432421}"/>
    <cellStyle name="Comma 69 2" xfId="1347" xr:uid="{0F79F129-55CE-490C-9058-A78D565E2B50}"/>
    <cellStyle name="Comma 69 2 2" xfId="3405" xr:uid="{9E0746F0-072A-4D2D-BCBF-89CB212C0900}"/>
    <cellStyle name="Comma 69 2 2 2" xfId="8638" xr:uid="{BC6D6AA1-C39F-4F08-A74C-5837475F97E7}"/>
    <cellStyle name="Comma 69 2 2 2 2" xfId="18990" xr:uid="{50FE5801-54F2-4215-BB69-318E4EDFB9D8}"/>
    <cellStyle name="Comma 69 2 2 3" xfId="13815" xr:uid="{F1EAA7F6-DCD3-4377-9554-9E4A60E9637A}"/>
    <cellStyle name="Comma 69 2 3" xfId="6580" xr:uid="{BF5C9ED7-36D8-43E9-8053-2C59E13BA119}"/>
    <cellStyle name="Comma 69 2 3 2" xfId="16932" xr:uid="{961C5498-49FD-4B9F-B2E3-B2D716CA0673}"/>
    <cellStyle name="Comma 69 2 4" xfId="11757" xr:uid="{BA467D99-24F3-4574-B518-6B0FF625BC9C}"/>
    <cellStyle name="Comma 69 3" xfId="2375" xr:uid="{38633AF1-CFB7-478A-AC3C-C1ACB0A5CD28}"/>
    <cellStyle name="Comma 69 3 2" xfId="7608" xr:uid="{5FC4FC51-A2AA-4434-9699-475EFF70D363}"/>
    <cellStyle name="Comma 69 3 2 2" xfId="17960" xr:uid="{18ACB29F-CCDC-43BF-B911-7D2EDAC481CB}"/>
    <cellStyle name="Comma 69 3 3" xfId="12785" xr:uid="{20B6DED0-F7F6-4A33-BA90-CD2851EF7145}"/>
    <cellStyle name="Comma 69 4" xfId="4501" xr:uid="{B9A0C4A0-5585-46A2-8CB4-25324C2A9925}"/>
    <cellStyle name="Comma 69 4 2" xfId="9677" xr:uid="{0645B258-63A4-459C-92DC-344B99BD9E6C}"/>
    <cellStyle name="Comma 69 4 2 2" xfId="20029" xr:uid="{3C20144A-6EE3-4550-AF48-E004CEC39B58}"/>
    <cellStyle name="Comma 69 4 3" xfId="14853" xr:uid="{FC50F1AE-3080-4122-86E1-E263916A3B65}"/>
    <cellStyle name="Comma 69 5" xfId="5549" xr:uid="{BF7D634E-F194-4D31-926E-EEFC7221A229}"/>
    <cellStyle name="Comma 69 5 2" xfId="15901" xr:uid="{165847A6-CAE7-4C07-9961-ACED8A40D243}"/>
    <cellStyle name="Comma 69 6" xfId="10727" xr:uid="{FE8329EB-7A3E-4C22-A593-F81F0E53FF0D}"/>
    <cellStyle name="Comma 690" xfId="930" xr:uid="{71886148-5903-4A90-94D7-58FD594FEC66}"/>
    <cellStyle name="Comma 690 2" xfId="1968" xr:uid="{A29049EA-EC69-4260-9DBC-EF03728E5ED8}"/>
    <cellStyle name="Comma 690 2 2" xfId="4026" xr:uid="{08399B3E-7890-4DD3-B2F5-36258449D400}"/>
    <cellStyle name="Comma 690 2 2 2" xfId="9259" xr:uid="{2B510D99-F16A-4E59-8770-2723489E1A4D}"/>
    <cellStyle name="Comma 690 2 2 2 2" xfId="19611" xr:uid="{49609301-09CA-4F95-B3CE-A409880C7AF9}"/>
    <cellStyle name="Comma 690 2 2 3" xfId="14436" xr:uid="{A0BE739C-5471-4BD7-94CE-A85596F607D4}"/>
    <cellStyle name="Comma 690 2 3" xfId="7201" xr:uid="{DDA1C47B-43AC-4C25-826B-E58D3D09CD97}"/>
    <cellStyle name="Comma 690 2 3 2" xfId="17553" xr:uid="{7FC3153B-76AD-4F03-8540-2CCEDADEA41D}"/>
    <cellStyle name="Comma 690 2 4" xfId="12378" xr:uid="{01CAE537-17F9-4BD5-A020-444B33EBF994}"/>
    <cellStyle name="Comma 690 3" xfId="2996" xr:uid="{CF2ECF31-3A89-45C6-A8D3-36F88013E204}"/>
    <cellStyle name="Comma 690 3 2" xfId="8229" xr:uid="{53EC8340-4FCC-4F05-95A9-1D45EFC25CA7}"/>
    <cellStyle name="Comma 690 3 2 2" xfId="18581" xr:uid="{AB5BDCC4-8397-4DEE-8003-6514F49F917B}"/>
    <cellStyle name="Comma 690 3 3" xfId="13406" xr:uid="{A10354C4-AEC9-431D-B250-158BAA24AECC}"/>
    <cellStyle name="Comma 690 4" xfId="5122" xr:uid="{E780BFE6-8766-41AD-A481-7331EB105281}"/>
    <cellStyle name="Comma 690 4 2" xfId="10298" xr:uid="{A2C4BCFC-6A34-4227-BBA0-D8EB772F94AB}"/>
    <cellStyle name="Comma 690 4 2 2" xfId="20650" xr:uid="{023E8688-A414-427B-9ACF-F1D4CBA8503A}"/>
    <cellStyle name="Comma 690 4 3" xfId="15474" xr:uid="{48581EEC-6746-43B5-A226-C84A97A6CB06}"/>
    <cellStyle name="Comma 690 5" xfId="6170" xr:uid="{C59CC009-35BE-4EE6-A226-84F54748F212}"/>
    <cellStyle name="Comma 690 5 2" xfId="16522" xr:uid="{8BBAFC51-66D4-4BAE-943C-306215F51FA7}"/>
    <cellStyle name="Comma 690 6" xfId="11348" xr:uid="{7E2CD8C9-3E9D-4126-97DE-CC2539CFF8D1}"/>
    <cellStyle name="Comma 691" xfId="931" xr:uid="{C1358FE3-859D-4397-80DB-1131DB106B9C}"/>
    <cellStyle name="Comma 691 2" xfId="1969" xr:uid="{98D79B25-131D-41AD-B4BF-15B34EFEC1F3}"/>
    <cellStyle name="Comma 691 2 2" xfId="4027" xr:uid="{B73BBDA6-CD48-46A8-B512-A61F985BA14F}"/>
    <cellStyle name="Comma 691 2 2 2" xfId="9260" xr:uid="{753CDA28-80EA-4F10-ACBC-8BA59FF96830}"/>
    <cellStyle name="Comma 691 2 2 2 2" xfId="19612" xr:uid="{98A289E6-AC4B-4FD4-A49D-7E119CAF5058}"/>
    <cellStyle name="Comma 691 2 2 3" xfId="14437" xr:uid="{C885DFAA-93AC-4989-B199-2C7BEEE567EE}"/>
    <cellStyle name="Comma 691 2 3" xfId="7202" xr:uid="{2BC438F6-297C-4566-92DF-90F16180FB0A}"/>
    <cellStyle name="Comma 691 2 3 2" xfId="17554" xr:uid="{F7DDC97B-240F-4E6C-B471-9A7776CF86FD}"/>
    <cellStyle name="Comma 691 2 4" xfId="12379" xr:uid="{28B41948-7168-4DDA-AFD9-F2295F07DC09}"/>
    <cellStyle name="Comma 691 3" xfId="2997" xr:uid="{D4DB4CE3-03FE-4A44-8256-2F252D530EC0}"/>
    <cellStyle name="Comma 691 3 2" xfId="8230" xr:uid="{7C1B1B55-7D87-42EA-87EC-2688D7E4A36E}"/>
    <cellStyle name="Comma 691 3 2 2" xfId="18582" xr:uid="{83CD2AAF-DCF8-499C-95E4-2EF4F14B11BD}"/>
    <cellStyle name="Comma 691 3 3" xfId="13407" xr:uid="{87BEA268-F876-45C2-A9F9-3DEB4E5F3955}"/>
    <cellStyle name="Comma 691 4" xfId="5123" xr:uid="{F79C7D59-2502-4E60-8DAA-70D52AC5CD1B}"/>
    <cellStyle name="Comma 691 4 2" xfId="10299" xr:uid="{027EF63B-513A-4ADD-BF61-83BACCB144E4}"/>
    <cellStyle name="Comma 691 4 2 2" xfId="20651" xr:uid="{BF979529-6335-4F3C-9A2E-108E905B087D}"/>
    <cellStyle name="Comma 691 4 3" xfId="15475" xr:uid="{E26A19B2-58CE-4D5A-B913-BE2E2263265D}"/>
    <cellStyle name="Comma 691 5" xfId="6171" xr:uid="{DD77BE6D-B0A3-4FE2-9824-93DC9D78AE32}"/>
    <cellStyle name="Comma 691 5 2" xfId="16523" xr:uid="{B59BF019-4A24-4D88-AF08-A345A9FF4BC3}"/>
    <cellStyle name="Comma 691 6" xfId="11349" xr:uid="{5FC4ECA0-491B-4DC5-8612-5429353ECEEE}"/>
    <cellStyle name="Comma 692" xfId="932" xr:uid="{31BA70B6-9DDF-42EC-9A94-172E567644A6}"/>
    <cellStyle name="Comma 692 2" xfId="1970" xr:uid="{F4FEE45B-DA50-48BE-9ABE-7828CE1496EC}"/>
    <cellStyle name="Comma 692 2 2" xfId="4028" xr:uid="{F107F511-8C91-48DB-8596-23372E491B58}"/>
    <cellStyle name="Comma 692 2 2 2" xfId="9261" xr:uid="{FE71262D-BEAD-41BB-9E19-EFD1C2C681FF}"/>
    <cellStyle name="Comma 692 2 2 2 2" xfId="19613" xr:uid="{CD46DEF0-15F2-44E3-973A-2F28FA981B19}"/>
    <cellStyle name="Comma 692 2 2 3" xfId="14438" xr:uid="{C2134905-B092-4B7B-8B4F-84C528B8C26F}"/>
    <cellStyle name="Comma 692 2 3" xfId="7203" xr:uid="{D880F987-8964-42AB-B292-275AB1B626D8}"/>
    <cellStyle name="Comma 692 2 3 2" xfId="17555" xr:uid="{7A8A14ED-1F89-444E-9CC9-55A6FB010E77}"/>
    <cellStyle name="Comma 692 2 4" xfId="12380" xr:uid="{96B7775E-BA6B-48E6-9C8F-179EBB1D040A}"/>
    <cellStyle name="Comma 692 3" xfId="2998" xr:uid="{50A57F21-4EA2-467C-9754-E5D5FC7780D4}"/>
    <cellStyle name="Comma 692 3 2" xfId="8231" xr:uid="{5B83EF94-6C51-42AF-A16B-A5B6D82BCDAA}"/>
    <cellStyle name="Comma 692 3 2 2" xfId="18583" xr:uid="{59779E42-A7A9-4F87-9C16-580D3BDB57E7}"/>
    <cellStyle name="Comma 692 3 3" xfId="13408" xr:uid="{48EDFCF9-10E8-4231-B0F5-3AA53CD7999A}"/>
    <cellStyle name="Comma 692 4" xfId="5124" xr:uid="{985B0CD0-6076-4DC6-9220-C130F3F62A99}"/>
    <cellStyle name="Comma 692 4 2" xfId="10300" xr:uid="{478A9666-9263-41AB-9044-5371F037F402}"/>
    <cellStyle name="Comma 692 4 2 2" xfId="20652" xr:uid="{44BE85CB-E80F-4539-B31A-E0EF7E007947}"/>
    <cellStyle name="Comma 692 4 3" xfId="15476" xr:uid="{52390438-957E-43F3-A2EC-68201062EDEA}"/>
    <cellStyle name="Comma 692 5" xfId="6172" xr:uid="{CE028F26-2B8F-4D21-B479-7785B0A2AFF4}"/>
    <cellStyle name="Comma 692 5 2" xfId="16524" xr:uid="{6CA58829-D3BE-49B2-833A-4A2AEA6AF5EB}"/>
    <cellStyle name="Comma 692 6" xfId="11350" xr:uid="{D2B16179-1647-48B6-B677-0EBCEBEA44D6}"/>
    <cellStyle name="Comma 693" xfId="933" xr:uid="{98CE5512-792C-4589-AD17-C837C636E4F4}"/>
    <cellStyle name="Comma 693 2" xfId="1971" xr:uid="{07D33AE6-0A42-4237-98E2-8042AE0EF0E8}"/>
    <cellStyle name="Comma 693 2 2" xfId="4029" xr:uid="{B8D66A60-0D7A-4F24-A026-37D43A76B4D1}"/>
    <cellStyle name="Comma 693 2 2 2" xfId="9262" xr:uid="{8F5A8374-B01F-4161-994E-6007D5507695}"/>
    <cellStyle name="Comma 693 2 2 2 2" xfId="19614" xr:uid="{CA231495-305D-4B56-AF53-5B14478893C6}"/>
    <cellStyle name="Comma 693 2 2 3" xfId="14439" xr:uid="{5DF49876-5D83-42E8-810B-25C4BCBD095E}"/>
    <cellStyle name="Comma 693 2 3" xfId="7204" xr:uid="{3FE74C8B-0020-4407-86DC-3C8622366773}"/>
    <cellStyle name="Comma 693 2 3 2" xfId="17556" xr:uid="{C5E92E0A-3A22-43A3-A601-266E20A6E46A}"/>
    <cellStyle name="Comma 693 2 4" xfId="12381" xr:uid="{745C2A65-7A9C-431E-9478-5986915705C0}"/>
    <cellStyle name="Comma 693 3" xfId="2999" xr:uid="{D7CED08B-751A-47F9-B373-31DC63CDE07A}"/>
    <cellStyle name="Comma 693 3 2" xfId="8232" xr:uid="{5179D191-8782-4293-8583-888D4760BD57}"/>
    <cellStyle name="Comma 693 3 2 2" xfId="18584" xr:uid="{838B598F-3B8E-49E3-9966-282B0EEC0442}"/>
    <cellStyle name="Comma 693 3 3" xfId="13409" xr:uid="{CD052570-D233-497D-AD40-F82C5D0A2BCD}"/>
    <cellStyle name="Comma 693 4" xfId="5125" xr:uid="{917E4129-A060-4871-A891-C5055D4443E3}"/>
    <cellStyle name="Comma 693 4 2" xfId="10301" xr:uid="{AA6059EA-73BD-4A63-AD5E-055F5D3AEC9D}"/>
    <cellStyle name="Comma 693 4 2 2" xfId="20653" xr:uid="{C06C5E96-0895-445F-863D-662BDEC43F77}"/>
    <cellStyle name="Comma 693 4 3" xfId="15477" xr:uid="{BB7DBEB6-5B76-4C18-9263-1FD20C50FCE1}"/>
    <cellStyle name="Comma 693 5" xfId="6173" xr:uid="{2947B3CB-9E79-4A16-A5BA-7DAB8B9E9FAE}"/>
    <cellStyle name="Comma 693 5 2" xfId="16525" xr:uid="{EFF47A1F-B9DF-4566-B10D-16DB8306CB7B}"/>
    <cellStyle name="Comma 693 6" xfId="11351" xr:uid="{3D407261-7DA8-4F6A-B4A4-AC00BD50A279}"/>
    <cellStyle name="Comma 694" xfId="934" xr:uid="{2BBFED2C-B052-4E1A-8D11-48E855E38821}"/>
    <cellStyle name="Comma 694 2" xfId="1972" xr:uid="{B614F00E-8B54-4205-A00E-352DFB670D7A}"/>
    <cellStyle name="Comma 694 2 2" xfId="4030" xr:uid="{5CBBEE94-7DDE-4650-B0E3-5B481028B8ED}"/>
    <cellStyle name="Comma 694 2 2 2" xfId="9263" xr:uid="{100B3470-15EC-4C0B-B5AA-2D29F0494F18}"/>
    <cellStyle name="Comma 694 2 2 2 2" xfId="19615" xr:uid="{BC9159C6-5B33-4A2A-B3C1-4E3684D1F04B}"/>
    <cellStyle name="Comma 694 2 2 3" xfId="14440" xr:uid="{A83EAB51-AFB7-4945-A3EF-F5240D253884}"/>
    <cellStyle name="Comma 694 2 3" xfId="7205" xr:uid="{F54C2226-AD3A-4843-B8FF-1389BE1F0A67}"/>
    <cellStyle name="Comma 694 2 3 2" xfId="17557" xr:uid="{FB2025C9-333D-49B1-A14C-A6F5C412217A}"/>
    <cellStyle name="Comma 694 2 4" xfId="12382" xr:uid="{B2554994-F263-40BA-9198-25B0E9AF71E8}"/>
    <cellStyle name="Comma 694 3" xfId="3000" xr:uid="{B95C948C-6E40-4D78-858F-FA684C630AB4}"/>
    <cellStyle name="Comma 694 3 2" xfId="8233" xr:uid="{13F22BA8-41BE-496E-8145-77C30C0D671A}"/>
    <cellStyle name="Comma 694 3 2 2" xfId="18585" xr:uid="{AE15B57E-3D3C-4CEB-A028-D4540A74CD2E}"/>
    <cellStyle name="Comma 694 3 3" xfId="13410" xr:uid="{531F8FF0-7651-49D3-B3FD-72813F4808B0}"/>
    <cellStyle name="Comma 694 4" xfId="5126" xr:uid="{CCAE0941-217A-44E3-A7E9-9685ADA32414}"/>
    <cellStyle name="Comma 694 4 2" xfId="10302" xr:uid="{751E82C7-26DC-455B-9074-63E8FBF403D1}"/>
    <cellStyle name="Comma 694 4 2 2" xfId="20654" xr:uid="{870D93D0-6690-4A96-8E5B-55CCC87536F3}"/>
    <cellStyle name="Comma 694 4 3" xfId="15478" xr:uid="{B115DC9A-267F-4C95-9E18-0561C679E4B0}"/>
    <cellStyle name="Comma 694 5" xfId="6174" xr:uid="{A74BC24B-CB0A-417B-9F23-9B666E4BDA1C}"/>
    <cellStyle name="Comma 694 5 2" xfId="16526" xr:uid="{56C48E38-6FC1-484D-9C5E-ECA643067BE7}"/>
    <cellStyle name="Comma 694 6" xfId="11352" xr:uid="{D0621FCD-8294-48F9-BA4C-23FACBED68CC}"/>
    <cellStyle name="Comma 695" xfId="935" xr:uid="{812175D9-8CBB-43E2-BFF5-EF0A5C7FF8F5}"/>
    <cellStyle name="Comma 695 2" xfId="1973" xr:uid="{F605752A-4508-4348-AD4E-EA24CE3F2F8B}"/>
    <cellStyle name="Comma 695 2 2" xfId="4031" xr:uid="{E70E73C0-8EA9-4352-96A3-F951E8253622}"/>
    <cellStyle name="Comma 695 2 2 2" xfId="9264" xr:uid="{E67CB8B3-350F-4963-A06A-21988B854AE9}"/>
    <cellStyle name="Comma 695 2 2 2 2" xfId="19616" xr:uid="{797A135E-A52C-4737-9455-444D55FC45AE}"/>
    <cellStyle name="Comma 695 2 2 3" xfId="14441" xr:uid="{7AB2CDE5-9384-496E-826E-C8AB0434E58F}"/>
    <cellStyle name="Comma 695 2 3" xfId="7206" xr:uid="{2BEFB85A-9378-4627-8FA2-612A24F51965}"/>
    <cellStyle name="Comma 695 2 3 2" xfId="17558" xr:uid="{43C9E11C-327B-4809-8ABA-17866D0CB198}"/>
    <cellStyle name="Comma 695 2 4" xfId="12383" xr:uid="{7E5A0B31-DB33-4247-AC24-A04ADA6610DD}"/>
    <cellStyle name="Comma 695 3" xfId="3001" xr:uid="{18A6E9A1-3055-4E02-8255-6F81EA59C9BC}"/>
    <cellStyle name="Comma 695 3 2" xfId="8234" xr:uid="{3AF64A82-9C53-4ED9-A8E0-801F81720F7C}"/>
    <cellStyle name="Comma 695 3 2 2" xfId="18586" xr:uid="{2049D5BD-6B9F-4F8A-957F-D6A15A939129}"/>
    <cellStyle name="Comma 695 3 3" xfId="13411" xr:uid="{56464289-3005-44C6-9F8B-C652AB561D1D}"/>
    <cellStyle name="Comma 695 4" xfId="5127" xr:uid="{BCAEEF94-FA15-4855-A814-1D2D806F6AC3}"/>
    <cellStyle name="Comma 695 4 2" xfId="10303" xr:uid="{C3D79DB4-66D1-4068-B228-3932E6B53DED}"/>
    <cellStyle name="Comma 695 4 2 2" xfId="20655" xr:uid="{AFF2E145-1EDC-45CE-A023-7059BE94423D}"/>
    <cellStyle name="Comma 695 4 3" xfId="15479" xr:uid="{07EF2C56-27DB-4C96-B502-347D6F133124}"/>
    <cellStyle name="Comma 695 5" xfId="6175" xr:uid="{2CD3D985-D6A1-4B32-A044-BC6C9E49D766}"/>
    <cellStyle name="Comma 695 5 2" xfId="16527" xr:uid="{3C74448A-D75B-41E5-9EF5-F673B80D0E4F}"/>
    <cellStyle name="Comma 695 6" xfId="11353" xr:uid="{1BD0AB82-F224-48F2-9370-C0D94C2A635D}"/>
    <cellStyle name="Comma 696" xfId="936" xr:uid="{4CB58722-6CF5-47D2-A4A0-CFE20505BC72}"/>
    <cellStyle name="Comma 696 2" xfId="1974" xr:uid="{4F824A40-BD16-42DC-8D3E-2FA144EE33A9}"/>
    <cellStyle name="Comma 696 2 2" xfId="4032" xr:uid="{36AD81A9-F57B-4626-A073-34925B6F357E}"/>
    <cellStyle name="Comma 696 2 2 2" xfId="9265" xr:uid="{E0411E1C-F0E7-4DF8-8972-4275EDFCCE01}"/>
    <cellStyle name="Comma 696 2 2 2 2" xfId="19617" xr:uid="{0BF9C7D0-D848-4441-8771-1538608D8A85}"/>
    <cellStyle name="Comma 696 2 2 3" xfId="14442" xr:uid="{52596072-207D-4FF3-AA27-4701438A69F9}"/>
    <cellStyle name="Comma 696 2 3" xfId="7207" xr:uid="{35FA6453-1495-4603-8B2C-3A534BA28DD4}"/>
    <cellStyle name="Comma 696 2 3 2" xfId="17559" xr:uid="{9A7A594A-B5B2-4119-A67D-35E985512D4D}"/>
    <cellStyle name="Comma 696 2 4" xfId="12384" xr:uid="{F12B8AE8-25E8-4932-96C2-A82AC226ACD0}"/>
    <cellStyle name="Comma 696 3" xfId="3002" xr:uid="{CA56E1CA-A5E1-4576-9F91-7D161050C5C2}"/>
    <cellStyle name="Comma 696 3 2" xfId="8235" xr:uid="{85B82E63-0206-422D-9A4A-2751D0B7F2BF}"/>
    <cellStyle name="Comma 696 3 2 2" xfId="18587" xr:uid="{2E9D1A88-14FF-42A1-95BE-C17AD38867B5}"/>
    <cellStyle name="Comma 696 3 3" xfId="13412" xr:uid="{1E7A0177-F4E0-4844-9BD9-2969147BAF69}"/>
    <cellStyle name="Comma 696 4" xfId="5128" xr:uid="{EC9E730A-C888-4B47-BC40-22C07CD3EFE4}"/>
    <cellStyle name="Comma 696 4 2" xfId="10304" xr:uid="{91CAD18E-734F-4453-8109-68BF7450E105}"/>
    <cellStyle name="Comma 696 4 2 2" xfId="20656" xr:uid="{E71C1D87-D066-491A-850B-ABF5483B587C}"/>
    <cellStyle name="Comma 696 4 3" xfId="15480" xr:uid="{BEC1655A-F34B-4325-B995-78D3AA91E697}"/>
    <cellStyle name="Comma 696 5" xfId="6176" xr:uid="{504B48DA-6377-4929-92FD-1E9C2A2E5F86}"/>
    <cellStyle name="Comma 696 5 2" xfId="16528" xr:uid="{2320FBEC-6FC6-481F-B5AF-25F5B068FAA4}"/>
    <cellStyle name="Comma 696 6" xfId="11354" xr:uid="{FC2C4085-5194-4A3B-936A-AF31FA67ED5C}"/>
    <cellStyle name="Comma 697" xfId="937" xr:uid="{D2BF8D49-E5D2-43CF-8EBE-28F3044F7AA5}"/>
    <cellStyle name="Comma 697 2" xfId="1975" xr:uid="{7D0D36B2-030E-4946-B856-06608B4E4F5F}"/>
    <cellStyle name="Comma 697 2 2" xfId="4033" xr:uid="{03071497-00D4-45AD-A5B7-D7C02349E535}"/>
    <cellStyle name="Comma 697 2 2 2" xfId="9266" xr:uid="{18054058-5145-4D92-AFC8-5EC2DED44FA1}"/>
    <cellStyle name="Comma 697 2 2 2 2" xfId="19618" xr:uid="{086A4367-57A4-409C-874D-F0A33DE1BDCE}"/>
    <cellStyle name="Comma 697 2 2 3" xfId="14443" xr:uid="{A6377669-9C90-4EE7-A013-8E07809ABFD0}"/>
    <cellStyle name="Comma 697 2 3" xfId="7208" xr:uid="{10A22E49-B5CF-4FE0-AFF1-4EFB889610E3}"/>
    <cellStyle name="Comma 697 2 3 2" xfId="17560" xr:uid="{42744EEA-6A99-42B5-9CEA-852657F3F598}"/>
    <cellStyle name="Comma 697 2 4" xfId="12385" xr:uid="{863E6FC1-CE5C-4E4D-9340-87AE8E4B3CF7}"/>
    <cellStyle name="Comma 697 3" xfId="3003" xr:uid="{C353349F-7A4C-4401-8F0C-F582CC4836ED}"/>
    <cellStyle name="Comma 697 3 2" xfId="8236" xr:uid="{7C826E5B-4A9C-4C77-853D-860E91D9F486}"/>
    <cellStyle name="Comma 697 3 2 2" xfId="18588" xr:uid="{2FBCCD0C-4740-4B4D-A96C-4E80A14F7D3B}"/>
    <cellStyle name="Comma 697 3 3" xfId="13413" xr:uid="{776B5FD4-7DCC-49F9-896F-E86E548C474F}"/>
    <cellStyle name="Comma 697 4" xfId="5129" xr:uid="{F8E0E45D-BFB4-47DB-B682-9D124CB2EC6E}"/>
    <cellStyle name="Comma 697 4 2" xfId="10305" xr:uid="{7C98FE5D-D92C-4DED-BF12-4E6D143909DD}"/>
    <cellStyle name="Comma 697 4 2 2" xfId="20657" xr:uid="{3585820B-8940-4A2B-8B0F-4577A69A1302}"/>
    <cellStyle name="Comma 697 4 3" xfId="15481" xr:uid="{EE1224DC-34AD-4283-9C87-4251AB23BDC6}"/>
    <cellStyle name="Comma 697 5" xfId="6177" xr:uid="{9DB3ABF7-3E20-4E2B-A40E-1EE932E62248}"/>
    <cellStyle name="Comma 697 5 2" xfId="16529" xr:uid="{17592ED7-28B6-41EA-8E25-751224AAB456}"/>
    <cellStyle name="Comma 697 6" xfId="11355" xr:uid="{32BE8A2F-9138-455C-A401-DBB7EF134A27}"/>
    <cellStyle name="Comma 698" xfId="938" xr:uid="{5C2E96D3-03BA-4B83-B7F3-B02ADA5529C3}"/>
    <cellStyle name="Comma 698 2" xfId="1976" xr:uid="{FB029E4C-5B8C-44A4-BD90-C7F742DBFE87}"/>
    <cellStyle name="Comma 698 2 2" xfId="4034" xr:uid="{B95ECD11-3A14-40BE-B8E1-6A01AE67CCB7}"/>
    <cellStyle name="Comma 698 2 2 2" xfId="9267" xr:uid="{D079B6C6-A24E-4B3C-B4CC-7827AECD3BF4}"/>
    <cellStyle name="Comma 698 2 2 2 2" xfId="19619" xr:uid="{BB966E0C-C559-4502-8F63-3DA750E4711C}"/>
    <cellStyle name="Comma 698 2 2 3" xfId="14444" xr:uid="{D017D927-62A8-435D-913C-C1CCF980277C}"/>
    <cellStyle name="Comma 698 2 3" xfId="7209" xr:uid="{0841EE38-64D5-478B-A2EA-1E693D3DBEF6}"/>
    <cellStyle name="Comma 698 2 3 2" xfId="17561" xr:uid="{28048A60-F938-4A77-BF1F-5CFE3EA4C7CA}"/>
    <cellStyle name="Comma 698 2 4" xfId="12386" xr:uid="{B3DD0B61-E4D1-453F-99BC-4C9E10560F94}"/>
    <cellStyle name="Comma 698 3" xfId="3004" xr:uid="{DC714DF7-5CAB-49F5-AFBE-B9663596DA97}"/>
    <cellStyle name="Comma 698 3 2" xfId="8237" xr:uid="{DE19C22D-3955-46F7-9629-FF90FA9F3BA5}"/>
    <cellStyle name="Comma 698 3 2 2" xfId="18589" xr:uid="{7EE62C7F-BCBE-4F43-927A-C2FC9D54A83C}"/>
    <cellStyle name="Comma 698 3 3" xfId="13414" xr:uid="{6048DED5-36AB-41D0-8EF0-AE36708B7418}"/>
    <cellStyle name="Comma 698 4" xfId="5130" xr:uid="{B84BE620-EAB3-4A96-878C-F09EFCFD6CC3}"/>
    <cellStyle name="Comma 698 4 2" xfId="10306" xr:uid="{C499EB26-719C-4941-ABD1-E95D8FDB20B8}"/>
    <cellStyle name="Comma 698 4 2 2" xfId="20658" xr:uid="{8A55679C-40AD-4198-BF52-8BA0E4745F9E}"/>
    <cellStyle name="Comma 698 4 3" xfId="15482" xr:uid="{2F2DE7F6-5E3D-4434-A592-0201726819EA}"/>
    <cellStyle name="Comma 698 5" xfId="6178" xr:uid="{2B6FB3CD-6E1A-45BC-8B57-4B12A0532753}"/>
    <cellStyle name="Comma 698 5 2" xfId="16530" xr:uid="{01735405-A8B3-4750-AF2A-B25807CD45F1}"/>
    <cellStyle name="Comma 698 6" xfId="11356" xr:uid="{CEE9F8B5-1E60-47E9-92A8-8441444093AA}"/>
    <cellStyle name="Comma 699" xfId="939" xr:uid="{5A7CEDD4-F9A4-4B41-BEB9-46BE535D3334}"/>
    <cellStyle name="Comma 699 2" xfId="1977" xr:uid="{5FDD48EF-BEBB-4A30-B85F-61EA9FD21CDD}"/>
    <cellStyle name="Comma 699 2 2" xfId="4035" xr:uid="{B2E3CE58-E3D4-4C8A-A56A-6F5038F43370}"/>
    <cellStyle name="Comma 699 2 2 2" xfId="9268" xr:uid="{9BDED40B-1A9B-4E2B-AE84-C1B007609395}"/>
    <cellStyle name="Comma 699 2 2 2 2" xfId="19620" xr:uid="{5458220A-CC88-41C4-8923-4E17C366B415}"/>
    <cellStyle name="Comma 699 2 2 3" xfId="14445" xr:uid="{59CAC187-A2AC-41F5-B885-C8265D1D4781}"/>
    <cellStyle name="Comma 699 2 3" xfId="7210" xr:uid="{792F11AE-EFB7-4235-ABEF-DFD808FA6E46}"/>
    <cellStyle name="Comma 699 2 3 2" xfId="17562" xr:uid="{7A3134B9-4F21-4E4C-A762-FB185968FF79}"/>
    <cellStyle name="Comma 699 2 4" xfId="12387" xr:uid="{F3D363EF-9ED6-4834-9257-E81657A52CF7}"/>
    <cellStyle name="Comma 699 3" xfId="3005" xr:uid="{7DFC9F1E-3E85-4B77-91F4-5154EE654F9B}"/>
    <cellStyle name="Comma 699 3 2" xfId="8238" xr:uid="{A7554176-B114-4ACC-9E09-F9C0A7A59631}"/>
    <cellStyle name="Comma 699 3 2 2" xfId="18590" xr:uid="{FFF246FB-579E-4E3D-B9F1-8B37CB2E2A50}"/>
    <cellStyle name="Comma 699 3 3" xfId="13415" xr:uid="{8CB20624-935A-4055-B4E5-270B8614770D}"/>
    <cellStyle name="Comma 699 4" xfId="5131" xr:uid="{4600B89B-6EBB-4FCC-8851-73538F199277}"/>
    <cellStyle name="Comma 699 4 2" xfId="10307" xr:uid="{5CF86AF5-0760-4D4A-A28F-DDC815AB34FB}"/>
    <cellStyle name="Comma 699 4 2 2" xfId="20659" xr:uid="{A4DAFFEC-2839-4E61-8E09-48CF72596A80}"/>
    <cellStyle name="Comma 699 4 3" xfId="15483" xr:uid="{FBCED34B-82DF-4FF7-895B-7EA95C8CAD89}"/>
    <cellStyle name="Comma 699 5" xfId="6179" xr:uid="{91D2BDE8-9B38-49DE-80F9-B7E4E7FA219A}"/>
    <cellStyle name="Comma 699 5 2" xfId="16531" xr:uid="{505EBC9F-A8F0-485B-ACA1-1028896E868F}"/>
    <cellStyle name="Comma 699 6" xfId="11357" xr:uid="{8C012CC7-FE99-4F6E-9BD3-51AB5643AA4C}"/>
    <cellStyle name="Comma 7" xfId="199" xr:uid="{56DDE7D6-41EE-47A1-8A57-07FA837FA5CD}"/>
    <cellStyle name="Comma 7 2" xfId="1285" xr:uid="{316E1568-7390-461C-B037-405F90400A92}"/>
    <cellStyle name="Comma 7 2 2" xfId="3343" xr:uid="{6374D629-0FBE-4EF1-AEBE-5D386870B7AA}"/>
    <cellStyle name="Comma 7 2 2 2" xfId="8576" xr:uid="{FC43A542-7968-4361-9AF2-2259E533E905}"/>
    <cellStyle name="Comma 7 2 2 2 2" xfId="18928" xr:uid="{B544470E-3B39-4AFC-8C1B-F050BA984B89}"/>
    <cellStyle name="Comma 7 2 2 3" xfId="13753" xr:uid="{380F5314-1B8F-467C-8DF9-D5E85CA15A45}"/>
    <cellStyle name="Comma 7 2 3" xfId="6518" xr:uid="{DB21C06B-0F49-45C6-B370-63692E2479FD}"/>
    <cellStyle name="Comma 7 2 3 2" xfId="16870" xr:uid="{96213249-D689-4461-B7B8-54D0D94896ED}"/>
    <cellStyle name="Comma 7 2 4" xfId="11695" xr:uid="{0DC8668A-6777-4C32-A22A-91706CB74C74}"/>
    <cellStyle name="Comma 7 3" xfId="2313" xr:uid="{214E1004-D708-4878-BD19-6B567C627B58}"/>
    <cellStyle name="Comma 7 3 2" xfId="7546" xr:uid="{B8A3B735-BC34-4720-AD98-CAA01667B2F9}"/>
    <cellStyle name="Comma 7 3 2 2" xfId="17898" xr:uid="{EB76B2CC-17C8-4D2B-B2D5-5D1DC206459E}"/>
    <cellStyle name="Comma 7 3 3" xfId="12723" xr:uid="{8234F3E4-4DFC-4F81-B65D-0243D86D41FD}"/>
    <cellStyle name="Comma 7 4" xfId="4439" xr:uid="{B05C57A9-F849-4297-A887-E4ADCE670733}"/>
    <cellStyle name="Comma 7 4 2" xfId="9615" xr:uid="{007C0905-DDFD-4D2A-B66A-7B428FA06A7A}"/>
    <cellStyle name="Comma 7 4 2 2" xfId="19967" xr:uid="{A08ED650-0C98-44E0-84F0-7256F2B4F16C}"/>
    <cellStyle name="Comma 7 4 3" xfId="14791" xr:uid="{5A6797A1-E3E3-4314-81E6-92BD93424EFB}"/>
    <cellStyle name="Comma 7 5" xfId="5487" xr:uid="{1B509E5A-7BC0-4AE4-A35A-0CC47E6BB233}"/>
    <cellStyle name="Comma 7 5 2" xfId="15839" xr:uid="{0114026C-0C23-42EE-9B17-A966E282CA6F}"/>
    <cellStyle name="Comma 7 6" xfId="10665" xr:uid="{F9F8739D-6591-4A62-88C8-93620076747C}"/>
    <cellStyle name="Comma 70" xfId="273" xr:uid="{D018E91F-5D74-4C2B-A459-2A5540124D53}"/>
    <cellStyle name="Comma 70 2" xfId="1348" xr:uid="{9C2E3A8A-3E25-4832-A971-A76A814F16AF}"/>
    <cellStyle name="Comma 70 2 2" xfId="3406" xr:uid="{9A75EB5A-654C-4AA2-89DB-3E76F4481196}"/>
    <cellStyle name="Comma 70 2 2 2" xfId="8639" xr:uid="{8C135A63-9378-40F3-8228-CC4595C03F56}"/>
    <cellStyle name="Comma 70 2 2 2 2" xfId="18991" xr:uid="{5E49031E-0EA8-4123-BD3B-824C9D8BF15A}"/>
    <cellStyle name="Comma 70 2 2 3" xfId="13816" xr:uid="{BA49CD02-530D-4B1C-B6FF-949754862322}"/>
    <cellStyle name="Comma 70 2 3" xfId="6581" xr:uid="{F4419C06-5B39-4868-B7FB-AC26D59219E2}"/>
    <cellStyle name="Comma 70 2 3 2" xfId="16933" xr:uid="{2D91916F-5FC0-4B7A-AE30-BF74DB139679}"/>
    <cellStyle name="Comma 70 2 4" xfId="11758" xr:uid="{688B3569-32BC-421A-A15E-CD0B7CB70A81}"/>
    <cellStyle name="Comma 70 3" xfId="2376" xr:uid="{3BD28FAF-BDDB-4585-9004-A2108BB41D12}"/>
    <cellStyle name="Comma 70 3 2" xfId="7609" xr:uid="{4E01661A-A698-4EAF-AAD2-AE060DC37665}"/>
    <cellStyle name="Comma 70 3 2 2" xfId="17961" xr:uid="{4B6949FD-5F8B-4D47-9790-238A71B33D35}"/>
    <cellStyle name="Comma 70 3 3" xfId="12786" xr:uid="{FD759429-E14D-4FAF-B8FC-5159438E5BC6}"/>
    <cellStyle name="Comma 70 4" xfId="4502" xr:uid="{F995A58C-C3B4-4F26-8F32-CD75AFE1A5B0}"/>
    <cellStyle name="Comma 70 4 2" xfId="9678" xr:uid="{049573C9-7D35-478B-AA11-4D12C7AF755B}"/>
    <cellStyle name="Comma 70 4 2 2" xfId="20030" xr:uid="{E3717577-C173-4BBE-BA32-EED764976B32}"/>
    <cellStyle name="Comma 70 4 3" xfId="14854" xr:uid="{150F0760-16A0-4444-9741-463FFEFD32BB}"/>
    <cellStyle name="Comma 70 5" xfId="5550" xr:uid="{4F857E98-831B-43C8-BADA-4C6AE9BE96C2}"/>
    <cellStyle name="Comma 70 5 2" xfId="15902" xr:uid="{024BF205-AC84-40CE-B9E4-29681B9C1B72}"/>
    <cellStyle name="Comma 70 6" xfId="10728" xr:uid="{C350ED4F-004F-4DBD-9E1E-E948E99BE419}"/>
    <cellStyle name="Comma 700" xfId="940" xr:uid="{F09E3465-F330-4232-A263-B77EB0CFB1A7}"/>
    <cellStyle name="Comma 700 2" xfId="1978" xr:uid="{47B19068-8E13-4990-A0B5-4CABA68F0D85}"/>
    <cellStyle name="Comma 700 2 2" xfId="4036" xr:uid="{32D3AF5E-764F-4F85-914E-76991CF13AE0}"/>
    <cellStyle name="Comma 700 2 2 2" xfId="9269" xr:uid="{2A41F26C-1D1F-470B-A896-98D54CBE0630}"/>
    <cellStyle name="Comma 700 2 2 2 2" xfId="19621" xr:uid="{96A2B2C4-E8AE-4C09-BDE0-B55476CF291B}"/>
    <cellStyle name="Comma 700 2 2 3" xfId="14446" xr:uid="{8B55C17F-4DED-4CC9-8BA6-5B406475196D}"/>
    <cellStyle name="Comma 700 2 3" xfId="7211" xr:uid="{F749628B-9EDC-43EC-AF70-5DB3ACA7580C}"/>
    <cellStyle name="Comma 700 2 3 2" xfId="17563" xr:uid="{1263A2DB-9CFE-4E8B-A8C7-C955920D3E05}"/>
    <cellStyle name="Comma 700 2 4" xfId="12388" xr:uid="{CE64B042-A0AD-40D7-B8CA-0E2E3EEAE4DD}"/>
    <cellStyle name="Comma 700 3" xfId="3006" xr:uid="{F43B876C-C6C6-490B-AA2B-D8471862E58C}"/>
    <cellStyle name="Comma 700 3 2" xfId="8239" xr:uid="{C09A49A5-99C2-4BED-9297-33D3579D490F}"/>
    <cellStyle name="Comma 700 3 2 2" xfId="18591" xr:uid="{D713B5B2-1A37-4FC2-BC79-70DA93098335}"/>
    <cellStyle name="Comma 700 3 3" xfId="13416" xr:uid="{5A8B34FA-2AA9-4B2F-96CB-88ABDBDA176F}"/>
    <cellStyle name="Comma 700 4" xfId="5132" xr:uid="{78339758-0990-4CFE-872C-9F6F1F1F9D19}"/>
    <cellStyle name="Comma 700 4 2" xfId="10308" xr:uid="{63C36873-A61D-4D53-ADB5-4CFD8F14DE80}"/>
    <cellStyle name="Comma 700 4 2 2" xfId="20660" xr:uid="{2C6FFD6A-244C-48A0-8A2F-26CDF594270D}"/>
    <cellStyle name="Comma 700 4 3" xfId="15484" xr:uid="{E87A6E9C-B0FD-4642-85E5-77A52572BE2F}"/>
    <cellStyle name="Comma 700 5" xfId="6180" xr:uid="{755216E0-2890-43CB-8B20-3571512286D8}"/>
    <cellStyle name="Comma 700 5 2" xfId="16532" xr:uid="{E8C0A1EA-1FD8-472C-B927-6DB84DD5AE52}"/>
    <cellStyle name="Comma 700 6" xfId="11358" xr:uid="{55DEB450-3293-42C0-B517-ACCE26A73D6D}"/>
    <cellStyle name="Comma 701" xfId="941" xr:uid="{F7A00D07-CEC1-49C0-B0C9-A47B43AFD397}"/>
    <cellStyle name="Comma 701 2" xfId="1979" xr:uid="{F2EFA114-B4CD-4267-AE2C-F6B6DEBA3925}"/>
    <cellStyle name="Comma 701 2 2" xfId="4037" xr:uid="{D788D824-F8BE-46E1-84C3-408D088C18C2}"/>
    <cellStyle name="Comma 701 2 2 2" xfId="9270" xr:uid="{63545BB6-A977-46B2-A559-674A4BA5C22B}"/>
    <cellStyle name="Comma 701 2 2 2 2" xfId="19622" xr:uid="{B115EDB1-FB92-474B-B195-F3102C842A31}"/>
    <cellStyle name="Comma 701 2 2 3" xfId="14447" xr:uid="{1ABD480F-80C1-4FBB-8571-F7EDBFA12482}"/>
    <cellStyle name="Comma 701 2 3" xfId="7212" xr:uid="{F0DF21B2-B661-4D11-9F0C-D767FE555A14}"/>
    <cellStyle name="Comma 701 2 3 2" xfId="17564" xr:uid="{029258A3-5C51-4420-B67F-AB245C5BEA00}"/>
    <cellStyle name="Comma 701 2 4" xfId="12389" xr:uid="{80FBE857-4D06-4917-88E9-15577AE87DC4}"/>
    <cellStyle name="Comma 701 3" xfId="3007" xr:uid="{F45E35C2-7FBE-4021-8BA3-8FE9F1839754}"/>
    <cellStyle name="Comma 701 3 2" xfId="8240" xr:uid="{721FC785-4C7A-4680-8281-5AE33D285F23}"/>
    <cellStyle name="Comma 701 3 2 2" xfId="18592" xr:uid="{7882FD4C-1B65-4E41-96DF-84EFC6CDA8F6}"/>
    <cellStyle name="Comma 701 3 3" xfId="13417" xr:uid="{6A58F6F8-239A-45E4-ACD2-9B4AE00E30EB}"/>
    <cellStyle name="Comma 701 4" xfId="5133" xr:uid="{E05B777A-1301-4608-91B4-076CEA8C4D38}"/>
    <cellStyle name="Comma 701 4 2" xfId="10309" xr:uid="{087539FF-7BAE-469F-A43A-B5F8DB126144}"/>
    <cellStyle name="Comma 701 4 2 2" xfId="20661" xr:uid="{D18B874C-A87D-40CA-93ED-DA4591459773}"/>
    <cellStyle name="Comma 701 4 3" xfId="15485" xr:uid="{982FCED1-CB92-4A3E-97FF-4FEEAECA551F}"/>
    <cellStyle name="Comma 701 5" xfId="6181" xr:uid="{AD17C131-A75A-47BC-A4D3-E94A9E9F516A}"/>
    <cellStyle name="Comma 701 5 2" xfId="16533" xr:uid="{5DD48511-75AE-424F-A0B3-F3CD98532A8B}"/>
    <cellStyle name="Comma 701 6" xfId="11359" xr:uid="{7AD9BA1B-A7F4-43DA-B8FD-2AB7FAF5BA21}"/>
    <cellStyle name="Comma 702" xfId="942" xr:uid="{A6E15E9D-DC4C-4891-8054-641A02FBC5E7}"/>
    <cellStyle name="Comma 702 2" xfId="1980" xr:uid="{5193F60B-E5B5-4827-A5C7-3A8E6A9AD09F}"/>
    <cellStyle name="Comma 702 2 2" xfId="4038" xr:uid="{0F3E8A32-4895-4586-A90F-C648EDD99631}"/>
    <cellStyle name="Comma 702 2 2 2" xfId="9271" xr:uid="{E5C1E1C6-62CC-41F1-9712-4918B03CFC98}"/>
    <cellStyle name="Comma 702 2 2 2 2" xfId="19623" xr:uid="{5A954A00-EC93-449C-9803-7C4DFDD18DF4}"/>
    <cellStyle name="Comma 702 2 2 3" xfId="14448" xr:uid="{5E378912-B469-4DAB-94E6-BD7C02EBCB3D}"/>
    <cellStyle name="Comma 702 2 3" xfId="7213" xr:uid="{80E81EC1-85DD-4EAB-BB5E-EA19EF810758}"/>
    <cellStyle name="Comma 702 2 3 2" xfId="17565" xr:uid="{F5357D61-7638-4FF5-80F2-D188B6AC208D}"/>
    <cellStyle name="Comma 702 2 4" xfId="12390" xr:uid="{04078F51-65AB-4D89-A617-33A8654B0E46}"/>
    <cellStyle name="Comma 702 3" xfId="3008" xr:uid="{E92FE557-087D-4B2B-88B2-DC59B810D37C}"/>
    <cellStyle name="Comma 702 3 2" xfId="8241" xr:uid="{2FCD13D9-04B5-4F13-B64D-EB5FAA60E451}"/>
    <cellStyle name="Comma 702 3 2 2" xfId="18593" xr:uid="{1BA664AA-1583-439E-B967-A7E7683E763E}"/>
    <cellStyle name="Comma 702 3 3" xfId="13418" xr:uid="{7C094498-C642-4CC4-BA29-E27637353DB5}"/>
    <cellStyle name="Comma 702 4" xfId="5134" xr:uid="{43E0A7A4-5E3D-42C3-93C2-3DF1E152B968}"/>
    <cellStyle name="Comma 702 4 2" xfId="10310" xr:uid="{108D9232-01BA-4D6B-8176-5493CACC046A}"/>
    <cellStyle name="Comma 702 4 2 2" xfId="20662" xr:uid="{45ECAF0A-4DAF-487C-9768-9E243172A1EF}"/>
    <cellStyle name="Comma 702 4 3" xfId="15486" xr:uid="{F0B69925-44BC-4490-AB7D-7848DC7F06BE}"/>
    <cellStyle name="Comma 702 5" xfId="6182" xr:uid="{96BA265A-1081-4CBB-BC83-3780167CE582}"/>
    <cellStyle name="Comma 702 5 2" xfId="16534" xr:uid="{8943E957-977D-4A8D-A9AF-2FC0144A8001}"/>
    <cellStyle name="Comma 702 6" xfId="11360" xr:uid="{A4CD36E4-371B-4D58-AF54-541451DC6700}"/>
    <cellStyle name="Comma 703" xfId="943" xr:uid="{E16F4B95-4410-4817-87A2-8828D733413F}"/>
    <cellStyle name="Comma 703 2" xfId="1981" xr:uid="{AC6649EE-363B-427A-8913-64C7259C62AF}"/>
    <cellStyle name="Comma 703 2 2" xfId="4039" xr:uid="{F18FD1E0-FE06-4C8D-BABE-ADAFAFB90B84}"/>
    <cellStyle name="Comma 703 2 2 2" xfId="9272" xr:uid="{2B1D7EEB-68DA-49D9-9C2B-44AFCF5D9CB0}"/>
    <cellStyle name="Comma 703 2 2 2 2" xfId="19624" xr:uid="{628B5873-4DD1-4D4F-9E47-0B90A0B1BF17}"/>
    <cellStyle name="Comma 703 2 2 3" xfId="14449" xr:uid="{DA90E7C7-8E9F-4D30-BBC5-1C8DF9EC7FCB}"/>
    <cellStyle name="Comma 703 2 3" xfId="7214" xr:uid="{C2CC9E01-EC6B-4B47-A339-F8CD9A4FFAB9}"/>
    <cellStyle name="Comma 703 2 3 2" xfId="17566" xr:uid="{60607823-F8A5-4801-88D6-A68FF2BE1C10}"/>
    <cellStyle name="Comma 703 2 4" xfId="12391" xr:uid="{A0FFAA16-FA35-45AF-BBF6-A2E3038009ED}"/>
    <cellStyle name="Comma 703 3" xfId="3009" xr:uid="{54DC67C0-BE02-4C7C-8734-F91D5298DF32}"/>
    <cellStyle name="Comma 703 3 2" xfId="8242" xr:uid="{AB2447F5-ED3C-4A35-BE86-3B348884DFC8}"/>
    <cellStyle name="Comma 703 3 2 2" xfId="18594" xr:uid="{C8EF15BB-F4C9-4F8B-B9BB-338A25E3D21D}"/>
    <cellStyle name="Comma 703 3 3" xfId="13419" xr:uid="{25EEC81C-D7EA-407D-A753-217CD7BB62E2}"/>
    <cellStyle name="Comma 703 4" xfId="5135" xr:uid="{48CD34E9-2C6E-4674-B01E-773FD56EC71D}"/>
    <cellStyle name="Comma 703 4 2" xfId="10311" xr:uid="{AA25B469-3CC6-452E-B55F-904E10180034}"/>
    <cellStyle name="Comma 703 4 2 2" xfId="20663" xr:uid="{7939DF79-486E-4C06-B498-F0A31DEAA3D6}"/>
    <cellStyle name="Comma 703 4 3" xfId="15487" xr:uid="{E1A5FE1F-B68C-4E58-ACC0-81B38094AB2F}"/>
    <cellStyle name="Comma 703 5" xfId="6183" xr:uid="{8C56C322-A3B3-4A4F-9B2F-B946675C2BC7}"/>
    <cellStyle name="Comma 703 5 2" xfId="16535" xr:uid="{85077C96-D11A-4C40-9561-560E618A3C8E}"/>
    <cellStyle name="Comma 703 6" xfId="11361" xr:uid="{822248C0-C9EF-4BF2-9F7A-7B427BA9B79A}"/>
    <cellStyle name="Comma 704" xfId="944" xr:uid="{7F44C3E4-232C-48AB-B306-9AB44435D244}"/>
    <cellStyle name="Comma 704 2" xfId="1982" xr:uid="{F57E72D0-97AF-4F85-9D7B-4662D2E6F18D}"/>
    <cellStyle name="Comma 704 2 2" xfId="4040" xr:uid="{2B682738-F319-42CC-8D15-6432BE4E3711}"/>
    <cellStyle name="Comma 704 2 2 2" xfId="9273" xr:uid="{5A81004C-874C-46F8-85C8-9DB63C58B0DE}"/>
    <cellStyle name="Comma 704 2 2 2 2" xfId="19625" xr:uid="{9BD3A24C-0061-4EE4-9512-F41F040DB5A7}"/>
    <cellStyle name="Comma 704 2 2 3" xfId="14450" xr:uid="{E054FA7C-DB3E-4D6D-AF76-AF3A885935EC}"/>
    <cellStyle name="Comma 704 2 3" xfId="7215" xr:uid="{0C32624D-99F1-44D5-AB29-8714FEAA962C}"/>
    <cellStyle name="Comma 704 2 3 2" xfId="17567" xr:uid="{3F919271-FF1D-486B-AEB6-68B0BCD6FF4E}"/>
    <cellStyle name="Comma 704 2 4" xfId="12392" xr:uid="{C053EBAE-842B-465B-ABD6-0435ABB93B15}"/>
    <cellStyle name="Comma 704 3" xfId="3010" xr:uid="{57A97C52-EC53-4DA9-8AD1-60A2A1253F8E}"/>
    <cellStyle name="Comma 704 3 2" xfId="8243" xr:uid="{8EAA0123-F941-4309-B8C4-FF60BDEC0E85}"/>
    <cellStyle name="Comma 704 3 2 2" xfId="18595" xr:uid="{AE2D95BA-E43E-4963-8D08-80704D9539B3}"/>
    <cellStyle name="Comma 704 3 3" xfId="13420" xr:uid="{E569AFFA-D616-48C1-8E70-BB84AD747968}"/>
    <cellStyle name="Comma 704 4" xfId="5136" xr:uid="{6EF160C8-7D20-4CE0-869D-397092709F6B}"/>
    <cellStyle name="Comma 704 4 2" xfId="10312" xr:uid="{5BBA24B0-50D0-4FF5-A49F-7A777342F21D}"/>
    <cellStyle name="Comma 704 4 2 2" xfId="20664" xr:uid="{30E3A1F5-26F8-4303-A732-38B10A17B486}"/>
    <cellStyle name="Comma 704 4 3" xfId="15488" xr:uid="{D21AA2D3-D7EF-4E10-A191-3BAAFF5706D0}"/>
    <cellStyle name="Comma 704 5" xfId="6184" xr:uid="{B7015F65-B369-4D92-89DF-27DD41C562A7}"/>
    <cellStyle name="Comma 704 5 2" xfId="16536" xr:uid="{7F0489CA-6B25-442D-9805-108DBE0AE4FF}"/>
    <cellStyle name="Comma 704 6" xfId="11362" xr:uid="{D92C096D-30D1-4D68-A4EE-C986E6EA56FF}"/>
    <cellStyle name="Comma 705" xfId="945" xr:uid="{A62A2C38-39E2-42EA-B3B0-DE737F044A2E}"/>
    <cellStyle name="Comma 705 2" xfId="1983" xr:uid="{8B2B98C5-10F3-48BD-B907-C0191096119F}"/>
    <cellStyle name="Comma 705 2 2" xfId="4041" xr:uid="{AB13E7FC-A00C-4E26-AEC1-8994203C9C92}"/>
    <cellStyle name="Comma 705 2 2 2" xfId="9274" xr:uid="{7F284D60-EFA5-444D-89E4-0886702EF1CE}"/>
    <cellStyle name="Comma 705 2 2 2 2" xfId="19626" xr:uid="{76D4F7EA-BCEC-43DC-8BE4-A48B1CEBD50D}"/>
    <cellStyle name="Comma 705 2 2 3" xfId="14451" xr:uid="{26BC8C86-36F0-4CFE-8706-8E8F0C9A97A9}"/>
    <cellStyle name="Comma 705 2 3" xfId="7216" xr:uid="{FF99B24F-A01B-4709-8B96-B04F14B44DB9}"/>
    <cellStyle name="Comma 705 2 3 2" xfId="17568" xr:uid="{595864C7-56A9-4A22-9BC8-2A3218ACF6E5}"/>
    <cellStyle name="Comma 705 2 4" xfId="12393" xr:uid="{7C7AB0F7-0A19-4CC4-A43D-7352FA696FC8}"/>
    <cellStyle name="Comma 705 3" xfId="3011" xr:uid="{9F682AF3-0029-4ED8-8EF6-8F1C652DDAB3}"/>
    <cellStyle name="Comma 705 3 2" xfId="8244" xr:uid="{AC34A525-E1F9-42E1-BEBA-7BB78B5339B0}"/>
    <cellStyle name="Comma 705 3 2 2" xfId="18596" xr:uid="{AF687D2B-E89D-4A9E-8788-FDC34B7BC3D7}"/>
    <cellStyle name="Comma 705 3 3" xfId="13421" xr:uid="{85AFB9E9-6B6A-43B7-A85D-95FC30D80DAA}"/>
    <cellStyle name="Comma 705 4" xfId="5137" xr:uid="{36269533-E21D-4914-9021-902CBEAB8225}"/>
    <cellStyle name="Comma 705 4 2" xfId="10313" xr:uid="{3E64E8E8-F4F2-4C1A-B817-A6B5EFBF925E}"/>
    <cellStyle name="Comma 705 4 2 2" xfId="20665" xr:uid="{D3668EEF-B104-4344-9794-1CD73389BDA9}"/>
    <cellStyle name="Comma 705 4 3" xfId="15489" xr:uid="{0018910B-F9C2-4662-A14B-264ACC79D8FF}"/>
    <cellStyle name="Comma 705 5" xfId="6185" xr:uid="{CB275161-8D83-44C7-885F-41A62EE26E90}"/>
    <cellStyle name="Comma 705 5 2" xfId="16537" xr:uid="{F5D7AC68-86A4-4CB6-AE0B-62106BEBD462}"/>
    <cellStyle name="Comma 705 6" xfId="11363" xr:uid="{DBE3B6AD-F422-4CF4-A850-2142CE42D866}"/>
    <cellStyle name="Comma 706" xfId="946" xr:uid="{E631F145-19AD-4B01-9582-48DF391D1A2F}"/>
    <cellStyle name="Comma 706 2" xfId="1984" xr:uid="{E86E8945-5197-4D9F-BF67-E9B0B7AF0372}"/>
    <cellStyle name="Comma 706 2 2" xfId="4042" xr:uid="{3C2BDB3D-F9AA-49FD-A28F-E1EDA0BA9D79}"/>
    <cellStyle name="Comma 706 2 2 2" xfId="9275" xr:uid="{56F54D42-A17C-495F-8961-C9752A2BB9F4}"/>
    <cellStyle name="Comma 706 2 2 2 2" xfId="19627" xr:uid="{03EAB404-5471-4B80-9D72-60BC131CD615}"/>
    <cellStyle name="Comma 706 2 2 3" xfId="14452" xr:uid="{4CE3CE69-0767-446D-B169-450F75782B5D}"/>
    <cellStyle name="Comma 706 2 3" xfId="7217" xr:uid="{B0F6F7B7-671A-428E-84A1-324A1DB4BEA6}"/>
    <cellStyle name="Comma 706 2 3 2" xfId="17569" xr:uid="{932B86B6-A63A-47C7-9C86-E0084991A2D9}"/>
    <cellStyle name="Comma 706 2 4" xfId="12394" xr:uid="{1F8B53CA-AD9D-4C69-8BBD-E98F8F6DBEFD}"/>
    <cellStyle name="Comma 706 3" xfId="3012" xr:uid="{4F89C8A9-C26A-45A3-A132-8FF6C8CC0477}"/>
    <cellStyle name="Comma 706 3 2" xfId="8245" xr:uid="{10FD6E59-1C24-4BC6-A52A-99303077DE4E}"/>
    <cellStyle name="Comma 706 3 2 2" xfId="18597" xr:uid="{83A923AE-4385-4DF9-8D05-43B9C41E1243}"/>
    <cellStyle name="Comma 706 3 3" xfId="13422" xr:uid="{533D64DC-67D7-4837-82EB-7B229205CE7E}"/>
    <cellStyle name="Comma 706 4" xfId="5138" xr:uid="{5C31C812-7DA9-4AA4-8ED8-C85EFF16FAD4}"/>
    <cellStyle name="Comma 706 4 2" xfId="10314" xr:uid="{7E540A98-6FE3-43E3-8DD8-2C97A22A9EE8}"/>
    <cellStyle name="Comma 706 4 2 2" xfId="20666" xr:uid="{9D7DC9C3-346B-457A-9BE7-9FAD3A992299}"/>
    <cellStyle name="Comma 706 4 3" xfId="15490" xr:uid="{762AAE0D-1F09-4294-A6EE-EE08B6541B4E}"/>
    <cellStyle name="Comma 706 5" xfId="6186" xr:uid="{58B1F7E1-BFF2-46E6-949A-153E64CC5C40}"/>
    <cellStyle name="Comma 706 5 2" xfId="16538" xr:uid="{D5B4DB8B-66E6-4D20-A18D-E80B098EFB40}"/>
    <cellStyle name="Comma 706 6" xfId="11364" xr:uid="{64F10230-4BE8-4733-A6FB-9541A8D7FCB9}"/>
    <cellStyle name="Comma 707" xfId="947" xr:uid="{7ED3D5CD-4CCD-4546-980F-C22DEE005630}"/>
    <cellStyle name="Comma 707 2" xfId="1985" xr:uid="{F84BD219-EF00-48DE-AEC8-6376033F0427}"/>
    <cellStyle name="Comma 707 2 2" xfId="4043" xr:uid="{D6081129-69A2-4E06-8684-2ED6053E6429}"/>
    <cellStyle name="Comma 707 2 2 2" xfId="9276" xr:uid="{19CCC3B7-298E-4E45-AD98-52EEAE5C9414}"/>
    <cellStyle name="Comma 707 2 2 2 2" xfId="19628" xr:uid="{367B0D98-108B-4D58-B0F9-01055FC8E48C}"/>
    <cellStyle name="Comma 707 2 2 3" xfId="14453" xr:uid="{EE6A65F3-E573-4FE6-868B-F01DDFCD3556}"/>
    <cellStyle name="Comma 707 2 3" xfId="7218" xr:uid="{7BB5498C-B40D-4FCC-8898-885C52532893}"/>
    <cellStyle name="Comma 707 2 3 2" xfId="17570" xr:uid="{ECB5A781-AC06-44DD-881B-666CBCE3ACE1}"/>
    <cellStyle name="Comma 707 2 4" xfId="12395" xr:uid="{7A40B7F4-1CD1-4131-BB62-5777C022C677}"/>
    <cellStyle name="Comma 707 3" xfId="3013" xr:uid="{B09BF79C-D682-4DF7-8D5A-F9D51A752240}"/>
    <cellStyle name="Comma 707 3 2" xfId="8246" xr:uid="{8F710CF4-7455-42A9-9ECE-8C5ED3B37224}"/>
    <cellStyle name="Comma 707 3 2 2" xfId="18598" xr:uid="{B24C436C-7969-4E60-B992-70CD0FB39BCE}"/>
    <cellStyle name="Comma 707 3 3" xfId="13423" xr:uid="{F4FFB769-FDD0-4438-B41C-65F1FA0843E4}"/>
    <cellStyle name="Comma 707 4" xfId="5139" xr:uid="{9C3C4FD0-068E-4A9C-B407-963B2CB76799}"/>
    <cellStyle name="Comma 707 4 2" xfId="10315" xr:uid="{B761C663-946B-4BB7-A4F6-A44BC71DBE0B}"/>
    <cellStyle name="Comma 707 4 2 2" xfId="20667" xr:uid="{A8D419C7-161A-41BD-B4A3-5BA7EE1A1F0D}"/>
    <cellStyle name="Comma 707 4 3" xfId="15491" xr:uid="{CB974AC2-20B4-49C0-A527-5DBA23C25E8D}"/>
    <cellStyle name="Comma 707 5" xfId="6187" xr:uid="{4BCA4304-C83A-4CB4-8E1E-F56B9DD99608}"/>
    <cellStyle name="Comma 707 5 2" xfId="16539" xr:uid="{52E314F2-6A0F-4DFB-BE65-1805CDE64FB1}"/>
    <cellStyle name="Comma 707 6" xfId="11365" xr:uid="{C7B5C770-8EFE-46FB-9EF0-CA1C7280FF0A}"/>
    <cellStyle name="Comma 708" xfId="948" xr:uid="{1F5EDF9F-9B1D-4EF3-AB9F-2127006631B0}"/>
    <cellStyle name="Comma 708 2" xfId="1986" xr:uid="{5E2A4056-BF80-41F6-9C2A-3F215315C2CF}"/>
    <cellStyle name="Comma 708 2 2" xfId="4044" xr:uid="{8F6BAF56-9ED1-422B-A511-2724B4DAFCEF}"/>
    <cellStyle name="Comma 708 2 2 2" xfId="9277" xr:uid="{19D2499B-3131-4215-A68C-3A10E9F7D13B}"/>
    <cellStyle name="Comma 708 2 2 2 2" xfId="19629" xr:uid="{4EAD858A-8A9D-48EE-AAAA-B7CF8D47D9E2}"/>
    <cellStyle name="Comma 708 2 2 3" xfId="14454" xr:uid="{DB7076C9-917D-43C4-A2F7-CF30E6A4C26A}"/>
    <cellStyle name="Comma 708 2 3" xfId="7219" xr:uid="{B5914814-857C-4FB8-8DBF-B3FCC63F0187}"/>
    <cellStyle name="Comma 708 2 3 2" xfId="17571" xr:uid="{84D72F9B-BFA7-48D1-9796-B4455524EBAC}"/>
    <cellStyle name="Comma 708 2 4" xfId="12396" xr:uid="{3AC01D2B-C8E6-4908-B89F-2A3EA3E2E9DB}"/>
    <cellStyle name="Comma 708 3" xfId="3014" xr:uid="{3C7F2A93-C7A6-406D-B6DF-3E3C6E75AFB3}"/>
    <cellStyle name="Comma 708 3 2" xfId="8247" xr:uid="{41B4EE88-E473-410F-BF5E-F72C61B4F35D}"/>
    <cellStyle name="Comma 708 3 2 2" xfId="18599" xr:uid="{F45F825A-EE78-4278-94C9-E173DA1391B2}"/>
    <cellStyle name="Comma 708 3 3" xfId="13424" xr:uid="{B823E37C-B92A-462A-863D-644769B5E70B}"/>
    <cellStyle name="Comma 708 4" xfId="5140" xr:uid="{CCFB0C1A-7D9D-45CB-9A9F-7353FA537918}"/>
    <cellStyle name="Comma 708 4 2" xfId="10316" xr:uid="{3A98F5A1-A4CD-40ED-BBA7-9A10C36074A8}"/>
    <cellStyle name="Comma 708 4 2 2" xfId="20668" xr:uid="{D2FEFF06-DAAF-4324-B300-A2706AA9DA29}"/>
    <cellStyle name="Comma 708 4 3" xfId="15492" xr:uid="{56DE2366-03E3-4D57-A2FD-29F99DCD50A3}"/>
    <cellStyle name="Comma 708 5" xfId="6188" xr:uid="{E88976B7-1387-4AD9-91AB-8DDAD9D81F37}"/>
    <cellStyle name="Comma 708 5 2" xfId="16540" xr:uid="{53C6B4E0-8AE5-468A-9E6F-834DCBCD4230}"/>
    <cellStyle name="Comma 708 6" xfId="11366" xr:uid="{AE34EF52-537A-43C6-ACC8-AAAB7517F59B}"/>
    <cellStyle name="Comma 709" xfId="949" xr:uid="{12AB64AD-C256-4FC5-BEAF-6F5861953863}"/>
    <cellStyle name="Comma 709 2" xfId="1987" xr:uid="{DAEEEF07-49C5-4805-96AC-660C05CC562D}"/>
    <cellStyle name="Comma 709 2 2" xfId="4045" xr:uid="{08421979-1B27-41EB-9110-9F36C2A5C55A}"/>
    <cellStyle name="Comma 709 2 2 2" xfId="9278" xr:uid="{862F473B-0A8E-43E3-B0E1-6352738B58B8}"/>
    <cellStyle name="Comma 709 2 2 2 2" xfId="19630" xr:uid="{2A1FE144-4839-4414-ADC6-E7864B42FB4E}"/>
    <cellStyle name="Comma 709 2 2 3" xfId="14455" xr:uid="{DD071BAC-275C-4525-A792-475380A9C44F}"/>
    <cellStyle name="Comma 709 2 3" xfId="7220" xr:uid="{20338FC6-08D3-45AE-9105-AE5E76E1C2D9}"/>
    <cellStyle name="Comma 709 2 3 2" xfId="17572" xr:uid="{513F7D0C-E000-4FBC-ABD5-9EA4ADA79DFA}"/>
    <cellStyle name="Comma 709 2 4" xfId="12397" xr:uid="{8A11D588-23EB-4C15-9184-D8D6FB025560}"/>
    <cellStyle name="Comma 709 3" xfId="3015" xr:uid="{5D0DB713-C562-452F-BCA9-28A9853961D1}"/>
    <cellStyle name="Comma 709 3 2" xfId="8248" xr:uid="{598EBC66-19B1-4D7F-90DA-3AF82B20F18F}"/>
    <cellStyle name="Comma 709 3 2 2" xfId="18600" xr:uid="{EC232ECE-671E-44C6-A5E7-17114D2EFDF5}"/>
    <cellStyle name="Comma 709 3 3" xfId="13425" xr:uid="{B646FCC5-7D84-4298-AF19-CB7ED9E54D89}"/>
    <cellStyle name="Comma 709 4" xfId="5141" xr:uid="{EE7F7AEC-3A6E-4E62-B2BA-099918A5A896}"/>
    <cellStyle name="Comma 709 4 2" xfId="10317" xr:uid="{BE13D78B-48D5-4E47-B4ED-BAEBD91857BE}"/>
    <cellStyle name="Comma 709 4 2 2" xfId="20669" xr:uid="{554DA283-41B9-4D26-82F4-40690AEE953E}"/>
    <cellStyle name="Comma 709 4 3" xfId="15493" xr:uid="{BF383B54-DF1E-44E7-B9AE-C7EC6E632172}"/>
    <cellStyle name="Comma 709 5" xfId="6189" xr:uid="{690C4978-5424-40CD-98BA-8BE67C87B281}"/>
    <cellStyle name="Comma 709 5 2" xfId="16541" xr:uid="{F3572218-0B2D-451E-ABC7-F928F5A3A686}"/>
    <cellStyle name="Comma 709 6" xfId="11367" xr:uid="{0E7C6664-236D-4C98-944B-C1864E9CA8A7}"/>
    <cellStyle name="Comma 71" xfId="274" xr:uid="{877EE850-513A-4006-92ED-625E7A2E93DA}"/>
    <cellStyle name="Comma 71 2" xfId="1349" xr:uid="{5D18E956-FF25-4E2A-8EE7-8AB60BCE1124}"/>
    <cellStyle name="Comma 71 2 2" xfId="3407" xr:uid="{B8BF0524-2EB8-4756-B240-49942B807B25}"/>
    <cellStyle name="Comma 71 2 2 2" xfId="8640" xr:uid="{2AFBC18A-4F0D-400A-B022-F593BEA34695}"/>
    <cellStyle name="Comma 71 2 2 2 2" xfId="18992" xr:uid="{27B39B63-1020-4B6B-B96B-05AAEE525F84}"/>
    <cellStyle name="Comma 71 2 2 3" xfId="13817" xr:uid="{20DF215D-09D2-431F-944A-20DA94E2725A}"/>
    <cellStyle name="Comma 71 2 3" xfId="6582" xr:uid="{76EACF12-5C9D-46AE-9FF4-15BBEBA928AC}"/>
    <cellStyle name="Comma 71 2 3 2" xfId="16934" xr:uid="{EA643122-1A88-476F-A552-58A9E7ACDDC7}"/>
    <cellStyle name="Comma 71 2 4" xfId="11759" xr:uid="{4D5206C4-F175-41AE-BA85-A4DE115FFF52}"/>
    <cellStyle name="Comma 71 3" xfId="2377" xr:uid="{1F42F6AF-5FA9-41C6-A03D-81622B4C2FE5}"/>
    <cellStyle name="Comma 71 3 2" xfId="7610" xr:uid="{3F48D2F0-37DB-4D02-A328-04F346C9460B}"/>
    <cellStyle name="Comma 71 3 2 2" xfId="17962" xr:uid="{413B1F1A-25CA-47AA-BBE3-27080FC5081F}"/>
    <cellStyle name="Comma 71 3 3" xfId="12787" xr:uid="{0E0CCE18-65FE-47AD-BAB5-CF3BFBE21659}"/>
    <cellStyle name="Comma 71 4" xfId="4503" xr:uid="{1A3840D7-6B1E-4675-807A-722286281001}"/>
    <cellStyle name="Comma 71 4 2" xfId="9679" xr:uid="{F4517060-F279-420F-83F4-304A7162935C}"/>
    <cellStyle name="Comma 71 4 2 2" xfId="20031" xr:uid="{F7EA7274-4B94-4C04-958A-849E06995827}"/>
    <cellStyle name="Comma 71 4 3" xfId="14855" xr:uid="{36D48B3D-5E1F-4B5B-ABFD-6297D3E6F33A}"/>
    <cellStyle name="Comma 71 5" xfId="5551" xr:uid="{5C191930-979C-477D-BE8A-C9CEE467E1E2}"/>
    <cellStyle name="Comma 71 5 2" xfId="15903" xr:uid="{F781FCFF-8241-4403-8CE7-DCF00AB225B9}"/>
    <cellStyle name="Comma 71 6" xfId="10729" xr:uid="{DF189303-1F7A-4A0A-81BB-26E191DC715F}"/>
    <cellStyle name="Comma 710" xfId="950" xr:uid="{90B8E46A-31CE-49B6-8CD1-759A87F47DCB}"/>
    <cellStyle name="Comma 710 2" xfId="1988" xr:uid="{B260A752-ACD4-4160-B556-7B4B13D39EF6}"/>
    <cellStyle name="Comma 710 2 2" xfId="4046" xr:uid="{1895317F-B603-4DD7-9C8A-2C9E0F0AAF79}"/>
    <cellStyle name="Comma 710 2 2 2" xfId="9279" xr:uid="{73C6355A-00A4-4C52-B497-F85244562C66}"/>
    <cellStyle name="Comma 710 2 2 2 2" xfId="19631" xr:uid="{C23137F7-D468-4A95-B028-CCD0B9F620B4}"/>
    <cellStyle name="Comma 710 2 2 3" xfId="14456" xr:uid="{29D686F0-C1DD-48B2-B60E-A792CE63AB7F}"/>
    <cellStyle name="Comma 710 2 3" xfId="7221" xr:uid="{C5E3B9F7-09CE-4E0B-BD58-C5BE062CC45C}"/>
    <cellStyle name="Comma 710 2 3 2" xfId="17573" xr:uid="{C792C810-04AE-44E9-AB4F-0ECFD0EF6B69}"/>
    <cellStyle name="Comma 710 2 4" xfId="12398" xr:uid="{A14F7B75-3F3B-4E2D-9400-5627CF2268A4}"/>
    <cellStyle name="Comma 710 3" xfId="3016" xr:uid="{7EA371C3-0A7F-4849-AFFA-5061DF78D9E0}"/>
    <cellStyle name="Comma 710 3 2" xfId="8249" xr:uid="{94191580-2516-4A3D-919D-7E43ABA79B50}"/>
    <cellStyle name="Comma 710 3 2 2" xfId="18601" xr:uid="{22E0936B-D9DE-4A80-B683-4331D579F8B8}"/>
    <cellStyle name="Comma 710 3 3" xfId="13426" xr:uid="{8117F45F-9609-4742-AC6B-1510B6F80167}"/>
    <cellStyle name="Comma 710 4" xfId="5142" xr:uid="{725C95B2-9E2E-4C45-874F-2CC63FE5C0BD}"/>
    <cellStyle name="Comma 710 4 2" xfId="10318" xr:uid="{D6F762BA-0195-4585-B614-87C3EDA23E3A}"/>
    <cellStyle name="Comma 710 4 2 2" xfId="20670" xr:uid="{CDFF7DFA-97C9-4F59-B2DF-3AFF9C98F98E}"/>
    <cellStyle name="Comma 710 4 3" xfId="15494" xr:uid="{9D26BA65-B4A1-4C6A-911C-6E7072B5BA9C}"/>
    <cellStyle name="Comma 710 5" xfId="6190" xr:uid="{14F7752C-825D-43D0-83D3-ADBFF0C403D8}"/>
    <cellStyle name="Comma 710 5 2" xfId="16542" xr:uid="{0CA72097-7425-4E9F-B0EF-163AF097797B}"/>
    <cellStyle name="Comma 710 6" xfId="11368" xr:uid="{414FE067-ACF7-440E-BF6D-8EEB6975835E}"/>
    <cellStyle name="Comma 711" xfId="951" xr:uid="{19F3E500-5F52-453D-9CA0-FC0394D7981F}"/>
    <cellStyle name="Comma 711 2" xfId="1989" xr:uid="{462171EA-DD7B-4319-B124-B6BF901BC82C}"/>
    <cellStyle name="Comma 711 2 2" xfId="4047" xr:uid="{9A2739EE-8ED5-4D6E-AF85-06BFB86CBAF7}"/>
    <cellStyle name="Comma 711 2 2 2" xfId="9280" xr:uid="{364C5693-870F-431D-887B-474A2337C994}"/>
    <cellStyle name="Comma 711 2 2 2 2" xfId="19632" xr:uid="{24FBD17E-AB27-4D08-978B-1A0910681E67}"/>
    <cellStyle name="Comma 711 2 2 3" xfId="14457" xr:uid="{7959633E-5251-4D9E-B8E0-8EC8E2EBAC6C}"/>
    <cellStyle name="Comma 711 2 3" xfId="7222" xr:uid="{68C28824-1DEF-4093-AE28-A07701673C4C}"/>
    <cellStyle name="Comma 711 2 3 2" xfId="17574" xr:uid="{0B908CE8-69C6-4062-AA91-3C07343B9ED9}"/>
    <cellStyle name="Comma 711 2 4" xfId="12399" xr:uid="{7FB99489-845B-49C4-AE7C-7243AB592CE3}"/>
    <cellStyle name="Comma 711 3" xfId="3017" xr:uid="{933DA493-331B-4BE2-8022-46D1A11AE5A9}"/>
    <cellStyle name="Comma 711 3 2" xfId="8250" xr:uid="{F7DB5DE7-F28C-41A9-8D0C-80F182E9687E}"/>
    <cellStyle name="Comma 711 3 2 2" xfId="18602" xr:uid="{8A6CBBD5-6D4B-4180-9A4E-8EC896F54299}"/>
    <cellStyle name="Comma 711 3 3" xfId="13427" xr:uid="{FF1971A1-7D7B-4734-AA1F-122F63503377}"/>
    <cellStyle name="Comma 711 4" xfId="5143" xr:uid="{0774E5BB-4876-44B8-9173-C27CC35AC82B}"/>
    <cellStyle name="Comma 711 4 2" xfId="10319" xr:uid="{A1A74413-7040-47F7-B6FC-06A0C5CEBD46}"/>
    <cellStyle name="Comma 711 4 2 2" xfId="20671" xr:uid="{F1C4ED6B-F023-4F52-B7AF-5A5E7A8D3FBA}"/>
    <cellStyle name="Comma 711 4 3" xfId="15495" xr:uid="{1CE14D33-4A06-430F-AF36-6E5553F8E8DE}"/>
    <cellStyle name="Comma 711 5" xfId="6191" xr:uid="{7F64AC02-D786-4CF3-8CAA-11A5B101305D}"/>
    <cellStyle name="Comma 711 5 2" xfId="16543" xr:uid="{7D885902-3AB5-490C-ADD1-F98AB8057F56}"/>
    <cellStyle name="Comma 711 6" xfId="11369" xr:uid="{74353AE6-C0BF-401B-A19E-26B36CBA5832}"/>
    <cellStyle name="Comma 712" xfId="952" xr:uid="{EBA5018C-F3F6-45D6-9FAD-1038E50ECCFE}"/>
    <cellStyle name="Comma 712 2" xfId="1990" xr:uid="{63828E7D-57BD-4B14-89EB-8DCF1F253F4E}"/>
    <cellStyle name="Comma 712 2 2" xfId="4048" xr:uid="{5013E6F1-83D3-49A6-AC35-FA89A49825C6}"/>
    <cellStyle name="Comma 712 2 2 2" xfId="9281" xr:uid="{8F5A1B76-83E0-4E3A-B8AA-FCDD607968AC}"/>
    <cellStyle name="Comma 712 2 2 2 2" xfId="19633" xr:uid="{B2C15FF5-285D-429C-8F18-6559EFD833FC}"/>
    <cellStyle name="Comma 712 2 2 3" xfId="14458" xr:uid="{11168DF3-95E8-4DBF-BE73-20B9449FFE40}"/>
    <cellStyle name="Comma 712 2 3" xfId="7223" xr:uid="{F97D9FD7-BC40-4394-96FB-561A7F6CE328}"/>
    <cellStyle name="Comma 712 2 3 2" xfId="17575" xr:uid="{DB21F155-6F23-435D-8A16-BB21704EE034}"/>
    <cellStyle name="Comma 712 2 4" xfId="12400" xr:uid="{C981662E-5E24-4628-AE93-9652ABC2917C}"/>
    <cellStyle name="Comma 712 3" xfId="3018" xr:uid="{3235AC4F-F70E-47E3-A182-A1F7A76A5AFE}"/>
    <cellStyle name="Comma 712 3 2" xfId="8251" xr:uid="{B6525F34-3EB2-44DE-8095-F4AD9B89EA99}"/>
    <cellStyle name="Comma 712 3 2 2" xfId="18603" xr:uid="{77663456-AFD2-41E7-9793-141D34D92D05}"/>
    <cellStyle name="Comma 712 3 3" xfId="13428" xr:uid="{887C798C-89AA-4CD7-9862-7844AAEDF453}"/>
    <cellStyle name="Comma 712 4" xfId="5144" xr:uid="{842F9F2B-DFD9-439D-B78E-C6C82D0906A4}"/>
    <cellStyle name="Comma 712 4 2" xfId="10320" xr:uid="{4AFBFB12-861C-41D6-8FB8-DACC5DEE3DE9}"/>
    <cellStyle name="Comma 712 4 2 2" xfId="20672" xr:uid="{F96F189D-F674-4336-8609-08E11184DD6F}"/>
    <cellStyle name="Comma 712 4 3" xfId="15496" xr:uid="{9229D438-900F-4182-B63D-9429DA23B575}"/>
    <cellStyle name="Comma 712 5" xfId="6192" xr:uid="{0432BD17-C6CE-4E8F-8AFC-6724E1BC7024}"/>
    <cellStyle name="Comma 712 5 2" xfId="16544" xr:uid="{2954E18C-FE64-463D-A21C-119C3AE9E15D}"/>
    <cellStyle name="Comma 712 6" xfId="11370" xr:uid="{851678B2-580B-4F35-9ECB-088884E96274}"/>
    <cellStyle name="Comma 713" xfId="953" xr:uid="{7C930E2D-D01F-4614-BCDD-9A1BD10A18B1}"/>
    <cellStyle name="Comma 713 2" xfId="1991" xr:uid="{D2A0F132-C3F8-4333-9149-69A5988CE865}"/>
    <cellStyle name="Comma 713 2 2" xfId="4049" xr:uid="{7EA0E239-F7A3-4582-846A-1057917FE063}"/>
    <cellStyle name="Comma 713 2 2 2" xfId="9282" xr:uid="{60A0887C-D059-4D44-936A-75C3B5669A7D}"/>
    <cellStyle name="Comma 713 2 2 2 2" xfId="19634" xr:uid="{D19326DD-7BAA-4D8F-986F-E8FC06150B59}"/>
    <cellStyle name="Comma 713 2 2 3" xfId="14459" xr:uid="{A911D8E7-BE4D-4405-91C2-9E6625CE8B5A}"/>
    <cellStyle name="Comma 713 2 3" xfId="7224" xr:uid="{EEBFE5B9-8452-436E-B2FA-A78B8E28BDA6}"/>
    <cellStyle name="Comma 713 2 3 2" xfId="17576" xr:uid="{BF645DFA-8C86-4832-819B-9716F3581576}"/>
    <cellStyle name="Comma 713 2 4" xfId="12401" xr:uid="{F7AFAC24-8AAA-4EF6-871F-06D22C596EC4}"/>
    <cellStyle name="Comma 713 3" xfId="3019" xr:uid="{205418D8-B1FB-49C0-849B-874971911BD7}"/>
    <cellStyle name="Comma 713 3 2" xfId="8252" xr:uid="{D0F7A55E-EF8C-4D6C-A8A0-D518D645D39F}"/>
    <cellStyle name="Comma 713 3 2 2" xfId="18604" xr:uid="{2CFFB419-6F83-4ED7-8B5F-2ADC1689083A}"/>
    <cellStyle name="Comma 713 3 3" xfId="13429" xr:uid="{E62BE24B-FE89-4527-9C78-DD4639C98DC9}"/>
    <cellStyle name="Comma 713 4" xfId="5145" xr:uid="{CCB230E0-014F-426E-91DB-67E7B6E6C95F}"/>
    <cellStyle name="Comma 713 4 2" xfId="10321" xr:uid="{0FDD5933-FA73-44F8-BE95-235BC5CAA516}"/>
    <cellStyle name="Comma 713 4 2 2" xfId="20673" xr:uid="{AE0D3785-143B-4077-B4EF-DF3BE53A4AA1}"/>
    <cellStyle name="Comma 713 4 3" xfId="15497" xr:uid="{D07D3BEC-C137-4945-9B90-A9ADA4E1A0C0}"/>
    <cellStyle name="Comma 713 5" xfId="6193" xr:uid="{F0C26BA7-802C-4C21-8142-2696896FBDA8}"/>
    <cellStyle name="Comma 713 5 2" xfId="16545" xr:uid="{CB3697D7-61E4-41B2-9FAC-09E980DF1E8D}"/>
    <cellStyle name="Comma 713 6" xfId="11371" xr:uid="{7A1BC409-4340-488C-85F5-B9785B361041}"/>
    <cellStyle name="Comma 714" xfId="954" xr:uid="{B8D77867-B535-4218-B0C5-B6B3687FC4F9}"/>
    <cellStyle name="Comma 714 2" xfId="1992" xr:uid="{EF188899-378B-4EFD-BDFA-C22C4E4F06CA}"/>
    <cellStyle name="Comma 714 2 2" xfId="4050" xr:uid="{6C2CF371-23E6-445E-BA61-3202592EFCC3}"/>
    <cellStyle name="Comma 714 2 2 2" xfId="9283" xr:uid="{BC16DD7A-B3C3-4B94-A0F0-F3BDF50EF6EB}"/>
    <cellStyle name="Comma 714 2 2 2 2" xfId="19635" xr:uid="{E32C7BD1-01D2-4ED3-9C59-C28AD040ADA0}"/>
    <cellStyle name="Comma 714 2 2 3" xfId="14460" xr:uid="{9CD983F6-D9D4-4C49-A619-483B1D2CA01F}"/>
    <cellStyle name="Comma 714 2 3" xfId="7225" xr:uid="{34CCCF8B-1199-488E-89C4-EF89B1FFF70F}"/>
    <cellStyle name="Comma 714 2 3 2" xfId="17577" xr:uid="{3C964785-39D5-4E5C-9A4E-01D188655AD9}"/>
    <cellStyle name="Comma 714 2 4" xfId="12402" xr:uid="{21EF04AE-4737-4D8E-ACA2-13F6D1CB5ADA}"/>
    <cellStyle name="Comma 714 3" xfId="3020" xr:uid="{97EE3278-CD1F-496F-8340-9C21C6FDEAE8}"/>
    <cellStyle name="Comma 714 3 2" xfId="8253" xr:uid="{290ABB33-C7C2-4AE8-8668-B3DE32210DE0}"/>
    <cellStyle name="Comma 714 3 2 2" xfId="18605" xr:uid="{B9E1598F-3C67-4A93-A937-4AF55E48B62B}"/>
    <cellStyle name="Comma 714 3 3" xfId="13430" xr:uid="{19EC1BA1-44E8-4B17-819F-1777461C4AA5}"/>
    <cellStyle name="Comma 714 4" xfId="5146" xr:uid="{BAE1B7AD-E8DC-427F-839C-4CF813F1E5F6}"/>
    <cellStyle name="Comma 714 4 2" xfId="10322" xr:uid="{6B0217C3-F48C-42BC-B3A4-92E158B71CDA}"/>
    <cellStyle name="Comma 714 4 2 2" xfId="20674" xr:uid="{1C90ACBD-40B5-4391-8CB9-EEB5243981B6}"/>
    <cellStyle name="Comma 714 4 3" xfId="15498" xr:uid="{84539BB1-AE66-4B8C-ABB0-8D7F67C51FEA}"/>
    <cellStyle name="Comma 714 5" xfId="6194" xr:uid="{DA4CEE70-802A-49B7-B823-9E1DE503CDF8}"/>
    <cellStyle name="Comma 714 5 2" xfId="16546" xr:uid="{2860A913-68B2-4B3A-95AB-2DF6A8AD5D57}"/>
    <cellStyle name="Comma 714 6" xfId="11372" xr:uid="{FDC5E973-380C-4439-B764-0F633AABF261}"/>
    <cellStyle name="Comma 715" xfId="955" xr:uid="{33716FC2-173F-4528-BA68-421217F98C76}"/>
    <cellStyle name="Comma 715 2" xfId="1993" xr:uid="{8F2F2853-349D-4407-B91A-6ED9303F1831}"/>
    <cellStyle name="Comma 715 2 2" xfId="4051" xr:uid="{3F7F6948-D597-4D02-ABA4-5F40F1C3865B}"/>
    <cellStyle name="Comma 715 2 2 2" xfId="9284" xr:uid="{9FFAD8DD-B96E-4D43-8179-04D43D6BD387}"/>
    <cellStyle name="Comma 715 2 2 2 2" xfId="19636" xr:uid="{8B8BB0FB-C3A0-425B-A965-8F987F66D4E7}"/>
    <cellStyle name="Comma 715 2 2 3" xfId="14461" xr:uid="{8A7C8480-793E-4515-A05D-369BAE1A9E65}"/>
    <cellStyle name="Comma 715 2 3" xfId="7226" xr:uid="{A79AFF8C-20DE-4E0D-8006-41006A78773B}"/>
    <cellStyle name="Comma 715 2 3 2" xfId="17578" xr:uid="{E4F42B3F-BE81-43C7-B609-9BC74CA6BB91}"/>
    <cellStyle name="Comma 715 2 4" xfId="12403" xr:uid="{55E3D6A1-64CC-4692-9845-2B0EC517BF1A}"/>
    <cellStyle name="Comma 715 3" xfId="3021" xr:uid="{35F6FE80-869E-4668-B2BE-C9E42F139783}"/>
    <cellStyle name="Comma 715 3 2" xfId="8254" xr:uid="{8A50509C-30E5-47FE-855A-EDB8C7AD2222}"/>
    <cellStyle name="Comma 715 3 2 2" xfId="18606" xr:uid="{A3140FBC-5E95-48FD-A227-EE5446E9AEB3}"/>
    <cellStyle name="Comma 715 3 3" xfId="13431" xr:uid="{536C89F4-1854-424E-B803-618B504FE6A7}"/>
    <cellStyle name="Comma 715 4" xfId="5147" xr:uid="{EB2EFB11-D8D8-419D-A00C-1C5D7AC0F221}"/>
    <cellStyle name="Comma 715 4 2" xfId="10323" xr:uid="{7FEFA330-7627-403C-8BAE-5533A19698C6}"/>
    <cellStyle name="Comma 715 4 2 2" xfId="20675" xr:uid="{F1E2ED7F-15BE-4753-84B6-46CBD8DA2F7F}"/>
    <cellStyle name="Comma 715 4 3" xfId="15499" xr:uid="{8934D5F9-3A7E-4FB7-9CE4-BBEB63A90DB6}"/>
    <cellStyle name="Comma 715 5" xfId="6195" xr:uid="{986CAABC-8470-4D69-9D9A-0F3D2B610367}"/>
    <cellStyle name="Comma 715 5 2" xfId="16547" xr:uid="{8916F932-AE12-45C8-B321-0418171A3A08}"/>
    <cellStyle name="Comma 715 6" xfId="11373" xr:uid="{1942B9E8-2A12-4474-A61D-45710456A243}"/>
    <cellStyle name="Comma 716" xfId="956" xr:uid="{6CB1DB49-4EF2-46F8-B42D-C35C791A1C09}"/>
    <cellStyle name="Comma 716 2" xfId="1994" xr:uid="{8196B09D-FC63-48DF-86EE-C79FF0051514}"/>
    <cellStyle name="Comma 716 2 2" xfId="4052" xr:uid="{290C9F4B-F5A4-437B-90CF-58A8B0213F04}"/>
    <cellStyle name="Comma 716 2 2 2" xfId="9285" xr:uid="{962036BB-21B8-44AB-8510-07DA249AAC28}"/>
    <cellStyle name="Comma 716 2 2 2 2" xfId="19637" xr:uid="{486F80BC-C151-47F8-9C53-6F069EDF8561}"/>
    <cellStyle name="Comma 716 2 2 3" xfId="14462" xr:uid="{0A83CD49-589E-4E91-B185-139F789AF3E8}"/>
    <cellStyle name="Comma 716 2 3" xfId="7227" xr:uid="{B70F8EAC-9901-40D6-AC95-52BF4B7B6FDA}"/>
    <cellStyle name="Comma 716 2 3 2" xfId="17579" xr:uid="{0449E8E7-CA77-472B-BED5-896ADAAC48A3}"/>
    <cellStyle name="Comma 716 2 4" xfId="12404" xr:uid="{9440A407-B5CA-40F6-B34B-DD76062DF09C}"/>
    <cellStyle name="Comma 716 3" xfId="3022" xr:uid="{FC21408A-BC56-49C7-80CD-1D22CDACA475}"/>
    <cellStyle name="Comma 716 3 2" xfId="8255" xr:uid="{6283F722-AEF9-4A49-A524-B7B791FC2C14}"/>
    <cellStyle name="Comma 716 3 2 2" xfId="18607" xr:uid="{24EA455E-0F42-47D5-BECC-C3B3783EE0B2}"/>
    <cellStyle name="Comma 716 3 3" xfId="13432" xr:uid="{29778D1E-88F5-440B-BEEE-E1AF629E8AB3}"/>
    <cellStyle name="Comma 716 4" xfId="5148" xr:uid="{F4FA7DBC-0EB0-4FDD-B4F6-B17D74F3ACC4}"/>
    <cellStyle name="Comma 716 4 2" xfId="10324" xr:uid="{96E9D3EA-C606-416D-A8E0-D20C7BCEF17C}"/>
    <cellStyle name="Comma 716 4 2 2" xfId="20676" xr:uid="{5A8227A6-93A4-4A86-BBDE-544A668B8387}"/>
    <cellStyle name="Comma 716 4 3" xfId="15500" xr:uid="{85565786-8491-4016-9E6B-0397E1B38916}"/>
    <cellStyle name="Comma 716 5" xfId="6196" xr:uid="{151066E8-F477-4BB1-A95F-5E60FF0B7F4B}"/>
    <cellStyle name="Comma 716 5 2" xfId="16548" xr:uid="{000E7BB2-688C-469B-9896-83FF5F4C7FE6}"/>
    <cellStyle name="Comma 716 6" xfId="11374" xr:uid="{6E8DC160-80C3-4E94-9AD3-1A048652F7DF}"/>
    <cellStyle name="Comma 717" xfId="957" xr:uid="{CADEFF78-89C9-440D-BB69-1E7B7FB7B428}"/>
    <cellStyle name="Comma 717 2" xfId="1995" xr:uid="{F58A9CC0-E77B-4F0E-899B-C8488A1AB918}"/>
    <cellStyle name="Comma 717 2 2" xfId="4053" xr:uid="{9F77D668-992A-43BC-A585-8071DD59CF71}"/>
    <cellStyle name="Comma 717 2 2 2" xfId="9286" xr:uid="{0EDD01AD-0C42-4241-B745-39114899BFD8}"/>
    <cellStyle name="Comma 717 2 2 2 2" xfId="19638" xr:uid="{7AFE396B-0DEE-423C-95CF-4A752EB52ECA}"/>
    <cellStyle name="Comma 717 2 2 3" xfId="14463" xr:uid="{B331C879-AA45-44E5-A0AA-51466496E223}"/>
    <cellStyle name="Comma 717 2 3" xfId="7228" xr:uid="{21DFE728-3B22-4E42-8E92-6BE9DED82602}"/>
    <cellStyle name="Comma 717 2 3 2" xfId="17580" xr:uid="{D78C43AA-A9FB-4BF4-9E67-86A5DE8D072C}"/>
    <cellStyle name="Comma 717 2 4" xfId="12405" xr:uid="{955758A3-8E2C-441D-8A29-48DAA96145BE}"/>
    <cellStyle name="Comma 717 3" xfId="3023" xr:uid="{2BF55785-D0E1-4ECB-92B4-0DE9F4E59119}"/>
    <cellStyle name="Comma 717 3 2" xfId="8256" xr:uid="{F6FD60A4-2F18-406B-84AD-D716DFF9F605}"/>
    <cellStyle name="Comma 717 3 2 2" xfId="18608" xr:uid="{6B9C8098-0BAF-45C0-A306-6F8C7871397F}"/>
    <cellStyle name="Comma 717 3 3" xfId="13433" xr:uid="{4D2FF6B9-A43F-4E18-BA50-690DFB21A551}"/>
    <cellStyle name="Comma 717 4" xfId="5149" xr:uid="{388ACF9E-A509-437D-9359-D633B0BB1255}"/>
    <cellStyle name="Comma 717 4 2" xfId="10325" xr:uid="{811B7E33-F24C-4EB7-8A94-2004705ECE64}"/>
    <cellStyle name="Comma 717 4 2 2" xfId="20677" xr:uid="{2BBC1AA2-C5F2-47B5-8B2B-8EFB506879AA}"/>
    <cellStyle name="Comma 717 4 3" xfId="15501" xr:uid="{E4C4FFDF-FB67-4CE3-BC6D-1C1E857797B2}"/>
    <cellStyle name="Comma 717 5" xfId="6197" xr:uid="{7841A703-A283-4E5A-84AE-EE9FD6078ECA}"/>
    <cellStyle name="Comma 717 5 2" xfId="16549" xr:uid="{044682FE-3F18-4FD0-A968-84AFF67EB7ED}"/>
    <cellStyle name="Comma 717 6" xfId="11375" xr:uid="{3AC525EA-BEB2-4A11-A27A-EACD36DB2E8A}"/>
    <cellStyle name="Comma 718" xfId="958" xr:uid="{8FA4D578-E9D3-4E7D-9BEE-AA68F948B0E3}"/>
    <cellStyle name="Comma 718 2" xfId="1996" xr:uid="{8EF32DED-009E-40EE-832A-7C51895D8E31}"/>
    <cellStyle name="Comma 718 2 2" xfId="4054" xr:uid="{8C84C0E3-B28D-44FC-8B22-9E47C47F7632}"/>
    <cellStyle name="Comma 718 2 2 2" xfId="9287" xr:uid="{5636C039-5315-4207-BD19-32C2F3ED52BD}"/>
    <cellStyle name="Comma 718 2 2 2 2" xfId="19639" xr:uid="{D0A58B4E-7125-4F5F-9C95-480E1CD4B0A7}"/>
    <cellStyle name="Comma 718 2 2 3" xfId="14464" xr:uid="{B0DA4ACA-67B1-4DC9-859C-F2501F7730A4}"/>
    <cellStyle name="Comma 718 2 3" xfId="7229" xr:uid="{E42DDEB4-D2E0-4240-87EF-04481974DC5A}"/>
    <cellStyle name="Comma 718 2 3 2" xfId="17581" xr:uid="{C2CE0B34-1555-44F8-9E3D-6A5D7CB44E7E}"/>
    <cellStyle name="Comma 718 2 4" xfId="12406" xr:uid="{6E4F2992-6B92-47E0-914E-19A7A1B11BE0}"/>
    <cellStyle name="Comma 718 3" xfId="3024" xr:uid="{5939EE62-7B92-4EAD-8B0D-43FD046D506E}"/>
    <cellStyle name="Comma 718 3 2" xfId="8257" xr:uid="{A9CC00F3-D68C-47EB-B486-22F901B9236F}"/>
    <cellStyle name="Comma 718 3 2 2" xfId="18609" xr:uid="{650EC236-0D71-4359-AB6C-D252B6462A03}"/>
    <cellStyle name="Comma 718 3 3" xfId="13434" xr:uid="{368E0859-5DAD-4007-9148-86C55B5B222C}"/>
    <cellStyle name="Comma 718 4" xfId="5150" xr:uid="{D465289A-B011-49BD-BB86-90BA631AEE5B}"/>
    <cellStyle name="Comma 718 4 2" xfId="10326" xr:uid="{BD26BBF5-93C3-4DC9-A2C7-A66E25DDEC97}"/>
    <cellStyle name="Comma 718 4 2 2" xfId="20678" xr:uid="{8938937A-1C62-419F-B88B-AD34E3D6AC57}"/>
    <cellStyle name="Comma 718 4 3" xfId="15502" xr:uid="{853FB6D6-425C-4F62-84B2-0160DDE03039}"/>
    <cellStyle name="Comma 718 5" xfId="6198" xr:uid="{D17478D9-98BD-48C2-8504-30541FA64B68}"/>
    <cellStyle name="Comma 718 5 2" xfId="16550" xr:uid="{D24651C2-0739-4827-8DB3-BA96124C5B49}"/>
    <cellStyle name="Comma 718 6" xfId="11376" xr:uid="{19E89F84-5B4B-4283-88EC-CEF6FA2E885C}"/>
    <cellStyle name="Comma 719" xfId="959" xr:uid="{C8BC961E-1332-46FB-8588-6601ED06F89B}"/>
    <cellStyle name="Comma 719 2" xfId="1997" xr:uid="{7468CAA0-EE27-49E6-87BC-30875D7369A2}"/>
    <cellStyle name="Comma 719 2 2" xfId="4055" xr:uid="{59952CFF-9BD9-435D-AD47-63251BF04D53}"/>
    <cellStyle name="Comma 719 2 2 2" xfId="9288" xr:uid="{83625F2D-3E70-4211-8AA3-9EA0D7113EA2}"/>
    <cellStyle name="Comma 719 2 2 2 2" xfId="19640" xr:uid="{791CBA68-E9A3-4786-B40A-126B19A06F40}"/>
    <cellStyle name="Comma 719 2 2 3" xfId="14465" xr:uid="{62FA7C90-EA2A-4F83-96F1-FFCE47AE70E9}"/>
    <cellStyle name="Comma 719 2 3" xfId="7230" xr:uid="{4BD7A345-8B45-415C-B9A9-7D6F63C8CD83}"/>
    <cellStyle name="Comma 719 2 3 2" xfId="17582" xr:uid="{4277AB7F-0689-47CA-8953-DE41D184971D}"/>
    <cellStyle name="Comma 719 2 4" xfId="12407" xr:uid="{3F5AE2EF-9E56-4528-B9EA-CF8099CF2299}"/>
    <cellStyle name="Comma 719 3" xfId="3025" xr:uid="{0D5FB967-CB29-4550-9B34-44891A422B16}"/>
    <cellStyle name="Comma 719 3 2" xfId="8258" xr:uid="{A25B27C1-9561-42EB-BFDD-AB746D0A9A6B}"/>
    <cellStyle name="Comma 719 3 2 2" xfId="18610" xr:uid="{C021D197-F567-4C93-BDE0-3180213451DA}"/>
    <cellStyle name="Comma 719 3 3" xfId="13435" xr:uid="{9C755440-3C61-403C-AF91-751C04F62E99}"/>
    <cellStyle name="Comma 719 4" xfId="5151" xr:uid="{EB5A1959-F704-4941-AAD2-81C67F6E781A}"/>
    <cellStyle name="Comma 719 4 2" xfId="10327" xr:uid="{51A7EB40-9309-4DCF-A530-6512D33E3E1C}"/>
    <cellStyle name="Comma 719 4 2 2" xfId="20679" xr:uid="{3E88BD68-E39F-4292-9430-359213140CB0}"/>
    <cellStyle name="Comma 719 4 3" xfId="15503" xr:uid="{D02EC36D-3750-44AE-8EDD-A7BD892A9080}"/>
    <cellStyle name="Comma 719 5" xfId="6199" xr:uid="{8A6843FA-D1A5-4C31-8FE9-C0B7FB9B890B}"/>
    <cellStyle name="Comma 719 5 2" xfId="16551" xr:uid="{C934453D-0389-442B-AC7D-CBCB0B76C6D0}"/>
    <cellStyle name="Comma 719 6" xfId="11377" xr:uid="{4E0D72C5-D28D-4E93-ACBD-27EA81A5AB90}"/>
    <cellStyle name="Comma 72" xfId="275" xr:uid="{B3E2F9FA-DD5C-42FC-93A2-2DD58502ED23}"/>
    <cellStyle name="Comma 72 2" xfId="1350" xr:uid="{34DCEF63-49A3-4B6D-81D4-49070771787B}"/>
    <cellStyle name="Comma 72 2 2" xfId="3408" xr:uid="{09E3BEF5-9178-40D6-89CF-EFFCAB641127}"/>
    <cellStyle name="Comma 72 2 2 2" xfId="8641" xr:uid="{B9C1103F-9675-4CDC-8F6D-6AAFEAD42F98}"/>
    <cellStyle name="Comma 72 2 2 2 2" xfId="18993" xr:uid="{1E3C672F-2291-4506-A01B-C9AFA4554E9B}"/>
    <cellStyle name="Comma 72 2 2 3" xfId="13818" xr:uid="{2790D933-A2CA-49FB-BACB-14B778945AE3}"/>
    <cellStyle name="Comma 72 2 3" xfId="6583" xr:uid="{BE22A101-CF1A-4E87-AE86-9A8A1070D640}"/>
    <cellStyle name="Comma 72 2 3 2" xfId="16935" xr:uid="{2EE1DAE0-AF57-4028-9F99-94F00AB02BF2}"/>
    <cellStyle name="Comma 72 2 4" xfId="11760" xr:uid="{B85BD2F0-BC62-4545-B12F-69536AEBF5D6}"/>
    <cellStyle name="Comma 72 3" xfId="2378" xr:uid="{C3AEFADD-9186-4B36-A34D-67A1DF677C49}"/>
    <cellStyle name="Comma 72 3 2" xfId="7611" xr:uid="{AED1757A-4152-4BBC-92B0-ED3DDE83CA5E}"/>
    <cellStyle name="Comma 72 3 2 2" xfId="17963" xr:uid="{4D5DA39C-5E46-4D0A-AC15-D2F56EEC505B}"/>
    <cellStyle name="Comma 72 3 3" xfId="12788" xr:uid="{36E3F3AB-75C6-4185-8892-E75BB954BB86}"/>
    <cellStyle name="Comma 72 4" xfId="4504" xr:uid="{30C1BAA3-FFBC-4359-BEA6-6D1DDF3A4AF7}"/>
    <cellStyle name="Comma 72 4 2" xfId="9680" xr:uid="{89A2E93E-10CD-4BF9-966A-C71CBD400E76}"/>
    <cellStyle name="Comma 72 4 2 2" xfId="20032" xr:uid="{ADD2D600-00B3-4659-9A1A-E3B66BD09BE4}"/>
    <cellStyle name="Comma 72 4 3" xfId="14856" xr:uid="{7DBAB553-20FF-454B-B3F6-5D8474452968}"/>
    <cellStyle name="Comma 72 5" xfId="5552" xr:uid="{3D3E2A28-5AEB-44BD-BC8D-245C34A1C081}"/>
    <cellStyle name="Comma 72 5 2" xfId="15904" xr:uid="{69369CB0-2DAC-41B0-B122-AFA0CF49ADC0}"/>
    <cellStyle name="Comma 72 6" xfId="10730" xr:uid="{AAA28324-51BC-472F-9175-47367A4419EB}"/>
    <cellStyle name="Comma 720" xfId="960" xr:uid="{F916E849-790A-4D72-9645-89374CDBC10C}"/>
    <cellStyle name="Comma 720 2" xfId="1998" xr:uid="{476ED8AA-C21F-4214-8D06-9ADD6BDB8FBE}"/>
    <cellStyle name="Comma 720 2 2" xfId="4056" xr:uid="{C10BDF4E-D19E-4292-9A54-72571A480C73}"/>
    <cellStyle name="Comma 720 2 2 2" xfId="9289" xr:uid="{7B2896C5-9A1D-46DA-B9D2-8AE229342B0D}"/>
    <cellStyle name="Comma 720 2 2 2 2" xfId="19641" xr:uid="{D17CD88E-2BB9-446B-AD8E-9ABA7962CD29}"/>
    <cellStyle name="Comma 720 2 2 3" xfId="14466" xr:uid="{A7386F68-14CB-4B3C-80BC-8EC99CAEF0A6}"/>
    <cellStyle name="Comma 720 2 3" xfId="7231" xr:uid="{07875303-780F-49E8-87C3-5BFCFDCB6973}"/>
    <cellStyle name="Comma 720 2 3 2" xfId="17583" xr:uid="{CF1358B1-B48D-4058-ACFC-B0009B40B6D6}"/>
    <cellStyle name="Comma 720 2 4" xfId="12408" xr:uid="{397DD3F3-35CC-47FA-A52E-41DA8B18F9D5}"/>
    <cellStyle name="Comma 720 3" xfId="3026" xr:uid="{B812833D-0B2C-4337-97A1-18D872FCC88D}"/>
    <cellStyle name="Comma 720 3 2" xfId="8259" xr:uid="{2E1C7DBB-700E-4122-9A84-035683307E90}"/>
    <cellStyle name="Comma 720 3 2 2" xfId="18611" xr:uid="{6384012F-DADF-423E-8BC2-C29C91B47584}"/>
    <cellStyle name="Comma 720 3 3" xfId="13436" xr:uid="{881B4807-EE65-469E-960F-69D463964C10}"/>
    <cellStyle name="Comma 720 4" xfId="5152" xr:uid="{A5634179-D257-4D7E-B3AE-1421273B00C7}"/>
    <cellStyle name="Comma 720 4 2" xfId="10328" xr:uid="{3F800729-0625-4542-91F1-8CBCAE0E3C51}"/>
    <cellStyle name="Comma 720 4 2 2" xfId="20680" xr:uid="{72B7EAD5-08CE-476D-B042-A2D16ECB1C77}"/>
    <cellStyle name="Comma 720 4 3" xfId="15504" xr:uid="{13D36858-C406-477A-9322-E42E17633EC8}"/>
    <cellStyle name="Comma 720 5" xfId="6200" xr:uid="{3D1ECC1F-7C2E-4579-B300-01ACFDAC5419}"/>
    <cellStyle name="Comma 720 5 2" xfId="16552" xr:uid="{16C4A98B-D584-468E-A2AF-135A86F06A06}"/>
    <cellStyle name="Comma 720 6" xfId="11378" xr:uid="{BCD469B2-F939-454F-8519-687AE83A7D1B}"/>
    <cellStyle name="Comma 721" xfId="961" xr:uid="{4FF90391-70CB-420D-B40B-40CC0EF605DD}"/>
    <cellStyle name="Comma 721 2" xfId="1999" xr:uid="{6349AEAA-D606-4BD7-B8A2-F4F37E680E7D}"/>
    <cellStyle name="Comma 721 2 2" xfId="4057" xr:uid="{4D1852C9-7EAD-4297-98BF-C60648F80132}"/>
    <cellStyle name="Comma 721 2 2 2" xfId="9290" xr:uid="{8D3DF1CC-5481-4ED0-A0F4-9906FB0E268F}"/>
    <cellStyle name="Comma 721 2 2 2 2" xfId="19642" xr:uid="{891D60D5-965B-4603-818B-1B57D34D9629}"/>
    <cellStyle name="Comma 721 2 2 3" xfId="14467" xr:uid="{1FE940A7-2527-4303-9DDC-F9A305390F34}"/>
    <cellStyle name="Comma 721 2 3" xfId="7232" xr:uid="{11ED3071-AFD8-49EE-AB3B-011889664619}"/>
    <cellStyle name="Comma 721 2 3 2" xfId="17584" xr:uid="{2CAE2516-4BD2-4047-9AA8-F2179684BC2C}"/>
    <cellStyle name="Comma 721 2 4" xfId="12409" xr:uid="{B35F8922-5EC6-4D7D-83B5-C13C9A2F6580}"/>
    <cellStyle name="Comma 721 3" xfId="3027" xr:uid="{2D08885C-6E62-4184-9F79-56CF0DE3E527}"/>
    <cellStyle name="Comma 721 3 2" xfId="8260" xr:uid="{4CF9810B-F420-41A5-B279-A8C741EB047C}"/>
    <cellStyle name="Comma 721 3 2 2" xfId="18612" xr:uid="{34C282EB-4FE2-4F56-9D83-C25FE1ED2399}"/>
    <cellStyle name="Comma 721 3 3" xfId="13437" xr:uid="{496C418B-CF9F-46B2-AE3F-938DF4C4D5A4}"/>
    <cellStyle name="Comma 721 4" xfId="5153" xr:uid="{73318EB9-76F0-4998-B9DF-FF369121C65F}"/>
    <cellStyle name="Comma 721 4 2" xfId="10329" xr:uid="{ACF38E44-C535-4517-9A4F-7BF566123342}"/>
    <cellStyle name="Comma 721 4 2 2" xfId="20681" xr:uid="{6906698D-B857-40C9-9A06-346159CA8A93}"/>
    <cellStyle name="Comma 721 4 3" xfId="15505" xr:uid="{EB5C6E11-3304-49FE-A5C5-479EBB935F3A}"/>
    <cellStyle name="Comma 721 5" xfId="6201" xr:uid="{5C6F3466-51F2-4398-81DE-8E8312D5B489}"/>
    <cellStyle name="Comma 721 5 2" xfId="16553" xr:uid="{885A77F8-0412-40CC-B863-E64183FECD3F}"/>
    <cellStyle name="Comma 721 6" xfId="11379" xr:uid="{491965E4-FB26-4FC9-A09F-44367027529E}"/>
    <cellStyle name="Comma 722" xfId="962" xr:uid="{B732869C-200E-460D-932A-2AA0838B9C4E}"/>
    <cellStyle name="Comma 722 2" xfId="2000" xr:uid="{5D8CD36F-89D9-474C-91F8-65E7AF654F37}"/>
    <cellStyle name="Comma 722 2 2" xfId="4058" xr:uid="{5AF9AD18-6C07-4231-BEA1-F628B94CCBF0}"/>
    <cellStyle name="Comma 722 2 2 2" xfId="9291" xr:uid="{7D65D947-BFD6-4D2E-A499-8529C6484E88}"/>
    <cellStyle name="Comma 722 2 2 2 2" xfId="19643" xr:uid="{BE344FD0-DB9D-44B8-B2D8-F3D924C6DBD4}"/>
    <cellStyle name="Comma 722 2 2 3" xfId="14468" xr:uid="{2C2DDE6E-F9D3-4562-B499-116A53597FF9}"/>
    <cellStyle name="Comma 722 2 3" xfId="7233" xr:uid="{0CCF1C43-0CE8-4DF1-A812-49EB27E21CF1}"/>
    <cellStyle name="Comma 722 2 3 2" xfId="17585" xr:uid="{D9B8145B-4EF3-4E9D-AD1E-05F1C537941A}"/>
    <cellStyle name="Comma 722 2 4" xfId="12410" xr:uid="{43FBFC1A-5B6D-4C17-B3B1-DC7CC19A7423}"/>
    <cellStyle name="Comma 722 3" xfId="3028" xr:uid="{6B1F1348-457F-4F73-90B5-40861652095C}"/>
    <cellStyle name="Comma 722 3 2" xfId="8261" xr:uid="{292F04C1-C7A7-4845-8778-CABC1027879C}"/>
    <cellStyle name="Comma 722 3 2 2" xfId="18613" xr:uid="{F5D05200-87BF-47F3-A5B4-420971AE7D79}"/>
    <cellStyle name="Comma 722 3 3" xfId="13438" xr:uid="{3C164408-72BC-43B5-993D-287F1922ECDD}"/>
    <cellStyle name="Comma 722 4" xfId="5154" xr:uid="{99E5FF81-8551-4FF6-B123-4E4435ADA87B}"/>
    <cellStyle name="Comma 722 4 2" xfId="10330" xr:uid="{7176800B-0DD5-4E02-BCBC-98CB64024F28}"/>
    <cellStyle name="Comma 722 4 2 2" xfId="20682" xr:uid="{786D3308-58B7-4040-9D9E-2AC31A9B0DB4}"/>
    <cellStyle name="Comma 722 4 3" xfId="15506" xr:uid="{320A3F0D-6812-4D9A-9CA0-8C79998DB388}"/>
    <cellStyle name="Comma 722 5" xfId="6202" xr:uid="{F6F69B4C-E8D7-47DB-9709-6D502BA02D8F}"/>
    <cellStyle name="Comma 722 5 2" xfId="16554" xr:uid="{CBE0ED9D-455D-42D7-8B1A-8E342EB01373}"/>
    <cellStyle name="Comma 722 6" xfId="11380" xr:uid="{04B83F0F-34E9-494E-BB01-8D8A14656661}"/>
    <cellStyle name="Comma 723" xfId="963" xr:uid="{CA17B236-3D89-4B48-8294-D8F3E8967A5B}"/>
    <cellStyle name="Comma 723 2" xfId="2001" xr:uid="{60DD687C-0002-40C9-BDE8-22B7EF455A2E}"/>
    <cellStyle name="Comma 723 2 2" xfId="4059" xr:uid="{6EDF3FA0-57DB-40D5-AA31-86C1F55B8894}"/>
    <cellStyle name="Comma 723 2 2 2" xfId="9292" xr:uid="{8C5D5448-7F18-45C9-8097-7D87CA5DA456}"/>
    <cellStyle name="Comma 723 2 2 2 2" xfId="19644" xr:uid="{753889F9-5254-4BF4-B398-807CF7B51DF6}"/>
    <cellStyle name="Comma 723 2 2 3" xfId="14469" xr:uid="{0FC51719-F2EF-48F0-89D1-AF5CD0BAEE75}"/>
    <cellStyle name="Comma 723 2 3" xfId="7234" xr:uid="{B8232197-0A1A-47E0-B18C-F6412B4F5F6A}"/>
    <cellStyle name="Comma 723 2 3 2" xfId="17586" xr:uid="{548C556C-A864-4FE7-BC3F-189EC092D16D}"/>
    <cellStyle name="Comma 723 2 4" xfId="12411" xr:uid="{66FB04A7-43F1-4F2C-B18D-BD05713799CB}"/>
    <cellStyle name="Comma 723 3" xfId="3029" xr:uid="{EA42E66D-6577-47A8-90CE-D9BB4F394224}"/>
    <cellStyle name="Comma 723 3 2" xfId="8262" xr:uid="{6E8E2CB9-3FBA-4FC0-8E49-4D2627C26C53}"/>
    <cellStyle name="Comma 723 3 2 2" xfId="18614" xr:uid="{51954277-226D-47E4-817D-A1178D17BDBB}"/>
    <cellStyle name="Comma 723 3 3" xfId="13439" xr:uid="{2E63F77A-F84C-4F1B-B4FC-BAFB7B085B96}"/>
    <cellStyle name="Comma 723 4" xfId="5155" xr:uid="{60ED752A-BCDB-488F-A66E-FD4FC9E626E2}"/>
    <cellStyle name="Comma 723 4 2" xfId="10331" xr:uid="{1E83E95A-069C-4C20-ACFC-7077DDE2735F}"/>
    <cellStyle name="Comma 723 4 2 2" xfId="20683" xr:uid="{26A7EC7C-6470-478C-B3F1-178549C94E98}"/>
    <cellStyle name="Comma 723 4 3" xfId="15507" xr:uid="{0D4072C8-242A-4E07-94CF-85021F949E52}"/>
    <cellStyle name="Comma 723 5" xfId="6203" xr:uid="{CFAB1859-F700-4729-8C71-527BA7947C72}"/>
    <cellStyle name="Comma 723 5 2" xfId="16555" xr:uid="{99017C41-BD18-41BD-965F-B8720CE0B94D}"/>
    <cellStyle name="Comma 723 6" xfId="11381" xr:uid="{33C1281B-55BE-4C07-AE9D-BE40D3E0A0FC}"/>
    <cellStyle name="Comma 724" xfId="964" xr:uid="{E1BF7EA3-9A99-4FCE-AE92-80521D400DF1}"/>
    <cellStyle name="Comma 724 2" xfId="2002" xr:uid="{ACB70E92-B7B5-4953-86AC-279EE33433D7}"/>
    <cellStyle name="Comma 724 2 2" xfId="4060" xr:uid="{D450E67D-0924-455A-9CBC-3DD648E24421}"/>
    <cellStyle name="Comma 724 2 2 2" xfId="9293" xr:uid="{DB9DD61E-8951-4EBD-BBA8-45CE5C921ACA}"/>
    <cellStyle name="Comma 724 2 2 2 2" xfId="19645" xr:uid="{5685A812-91DC-46E4-98BC-E5FC0A5B183C}"/>
    <cellStyle name="Comma 724 2 2 3" xfId="14470" xr:uid="{8C7ED26F-4BC2-4004-BCD4-7DF7ADA6F4C8}"/>
    <cellStyle name="Comma 724 2 3" xfId="7235" xr:uid="{7011AFE7-04BC-4574-B121-9C2D1E280C36}"/>
    <cellStyle name="Comma 724 2 3 2" xfId="17587" xr:uid="{2F4C553C-54C3-46AE-8344-4A643ABCE579}"/>
    <cellStyle name="Comma 724 2 4" xfId="12412" xr:uid="{8E0028FD-3202-458E-9E81-DB18C54CE300}"/>
    <cellStyle name="Comma 724 3" xfId="3030" xr:uid="{B1DEEB61-AF6E-4C0C-BB41-41BD414DC414}"/>
    <cellStyle name="Comma 724 3 2" xfId="8263" xr:uid="{3BDB96E0-D82D-4C09-9FF1-2FE31A078A87}"/>
    <cellStyle name="Comma 724 3 2 2" xfId="18615" xr:uid="{BBB40156-1E9F-48A6-89B7-15EBAD9289FE}"/>
    <cellStyle name="Comma 724 3 3" xfId="13440" xr:uid="{60CF8A41-D1D2-432C-8E94-8A295A5F8500}"/>
    <cellStyle name="Comma 724 4" xfId="5156" xr:uid="{1BFA549B-C58E-46FF-B9AD-8E13D0866287}"/>
    <cellStyle name="Comma 724 4 2" xfId="10332" xr:uid="{DAF09D38-410A-4D94-B262-3E75E2E80E4E}"/>
    <cellStyle name="Comma 724 4 2 2" xfId="20684" xr:uid="{E1713019-F9DB-444E-AAC5-6FC0C07B369B}"/>
    <cellStyle name="Comma 724 4 3" xfId="15508" xr:uid="{CF05E439-CF10-4D99-BD9E-ECF6AAC7B139}"/>
    <cellStyle name="Comma 724 5" xfId="6204" xr:uid="{3A8D976C-E7CD-413E-8D79-EFFE1F04AC31}"/>
    <cellStyle name="Comma 724 5 2" xfId="16556" xr:uid="{20A73E20-4854-448D-9640-926F1642E37B}"/>
    <cellStyle name="Comma 724 6" xfId="11382" xr:uid="{6FB38562-9D28-4BC7-A99B-AC4EA9C7FEFA}"/>
    <cellStyle name="Comma 725" xfId="965" xr:uid="{541596FE-8BCF-47A2-A82A-76CEC1D7F9FD}"/>
    <cellStyle name="Comma 725 2" xfId="2003" xr:uid="{C1E6AB6B-A94D-4A03-8959-C13D11157D02}"/>
    <cellStyle name="Comma 725 2 2" xfId="4061" xr:uid="{011B7B57-D6BE-4021-8C9B-174A89D1FB91}"/>
    <cellStyle name="Comma 725 2 2 2" xfId="9294" xr:uid="{F9BEB4DE-B2DC-4EA7-BDCC-4AF21524EF13}"/>
    <cellStyle name="Comma 725 2 2 2 2" xfId="19646" xr:uid="{095D192F-19C0-4BA8-A066-F9CE4965E437}"/>
    <cellStyle name="Comma 725 2 2 3" xfId="14471" xr:uid="{DDE86C38-59CD-43D5-922C-04F316B8256E}"/>
    <cellStyle name="Comma 725 2 3" xfId="7236" xr:uid="{764EF9B7-BE15-457E-BBE8-89B2B7E061F6}"/>
    <cellStyle name="Comma 725 2 3 2" xfId="17588" xr:uid="{F2E69739-CC63-42B7-B3EB-CE5408D7E1E9}"/>
    <cellStyle name="Comma 725 2 4" xfId="12413" xr:uid="{3F587F41-D783-4738-AB06-4C55913CD52C}"/>
    <cellStyle name="Comma 725 3" xfId="3031" xr:uid="{D119134E-EB76-40CB-ACBD-C4592B4242E4}"/>
    <cellStyle name="Comma 725 3 2" xfId="8264" xr:uid="{03778BAD-B009-4812-8EA4-E015378B4C0C}"/>
    <cellStyle name="Comma 725 3 2 2" xfId="18616" xr:uid="{255F9096-11BE-41EF-8769-E18ED559CA88}"/>
    <cellStyle name="Comma 725 3 3" xfId="13441" xr:uid="{3F259C9E-F4E3-44FD-B423-CAF1D415ED59}"/>
    <cellStyle name="Comma 725 4" xfId="5157" xr:uid="{768026A4-A55C-4E01-A6F9-0CFF9347C4AE}"/>
    <cellStyle name="Comma 725 4 2" xfId="10333" xr:uid="{98609B24-C01E-4BB9-8F03-D76C8A4FFD07}"/>
    <cellStyle name="Comma 725 4 2 2" xfId="20685" xr:uid="{3BCC4CC2-EBC2-43B0-87AA-25954DFB8314}"/>
    <cellStyle name="Comma 725 4 3" xfId="15509" xr:uid="{55C2C888-E263-42DF-97F6-3F7B1E61CD86}"/>
    <cellStyle name="Comma 725 5" xfId="6205" xr:uid="{628BA7BE-94DF-4ABB-8673-DC1DB186C1E0}"/>
    <cellStyle name="Comma 725 5 2" xfId="16557" xr:uid="{E22635BB-F7FC-4E48-A768-4389B067C408}"/>
    <cellStyle name="Comma 725 6" xfId="11383" xr:uid="{F60073BB-49E1-42F0-98FD-DCC9E7101DED}"/>
    <cellStyle name="Comma 726" xfId="966" xr:uid="{165CB0D2-99A4-4B30-A3B1-B698C3FED6FE}"/>
    <cellStyle name="Comma 726 2" xfId="2004" xr:uid="{D9358EE5-ACDE-4D5D-9B2B-64912D5C4FCA}"/>
    <cellStyle name="Comma 726 2 2" xfId="4062" xr:uid="{DC55EAC1-C2C7-4C6E-AD50-3F8C06D9C436}"/>
    <cellStyle name="Comma 726 2 2 2" xfId="9295" xr:uid="{25667A1A-C38C-48AE-B8B0-C6B367578831}"/>
    <cellStyle name="Comma 726 2 2 2 2" xfId="19647" xr:uid="{7DC5C3B6-C666-41A1-BF1E-3781EC35980C}"/>
    <cellStyle name="Comma 726 2 2 3" xfId="14472" xr:uid="{F2BC759B-2622-4127-9C00-F0C7D257E93F}"/>
    <cellStyle name="Comma 726 2 3" xfId="7237" xr:uid="{36589422-765E-4D37-90DC-7CC482DF83CD}"/>
    <cellStyle name="Comma 726 2 3 2" xfId="17589" xr:uid="{6FA18C81-DA9A-4BEB-A2F5-3287721D9E8C}"/>
    <cellStyle name="Comma 726 2 4" xfId="12414" xr:uid="{3E609CDC-9B35-4F73-9B10-C7C690C2FE8A}"/>
    <cellStyle name="Comma 726 3" xfId="3032" xr:uid="{968C9E7B-F31C-4683-843F-D59EFF04F40F}"/>
    <cellStyle name="Comma 726 3 2" xfId="8265" xr:uid="{370E4F7D-3F95-40D1-A5B8-13D554EAAF61}"/>
    <cellStyle name="Comma 726 3 2 2" xfId="18617" xr:uid="{1E00F0CD-2204-4E48-BA26-F9C0879FAFA5}"/>
    <cellStyle name="Comma 726 3 3" xfId="13442" xr:uid="{D7E15874-D677-4913-9ECA-8332109A89D0}"/>
    <cellStyle name="Comma 726 4" xfId="5158" xr:uid="{3C7DD440-A3C8-4058-9DBE-6FFA15D6B8AB}"/>
    <cellStyle name="Comma 726 4 2" xfId="10334" xr:uid="{7B1E8FFF-60DA-40A0-B57C-CBEE78CC58A3}"/>
    <cellStyle name="Comma 726 4 2 2" xfId="20686" xr:uid="{7633F84D-0CBB-4848-A8D5-83FA5751866B}"/>
    <cellStyle name="Comma 726 4 3" xfId="15510" xr:uid="{1A8E9CF7-C478-4ACE-95D9-63881BE9B29E}"/>
    <cellStyle name="Comma 726 5" xfId="6206" xr:uid="{B9666C51-1439-41D2-A171-238F46254EFB}"/>
    <cellStyle name="Comma 726 5 2" xfId="16558" xr:uid="{533F7EB0-00C4-45EA-AAD8-3F43C99F3628}"/>
    <cellStyle name="Comma 726 6" xfId="11384" xr:uid="{9DB071FF-4043-4AFE-8ED5-30E38F01AAE1}"/>
    <cellStyle name="Comma 727" xfId="967" xr:uid="{5CDD519D-A4E3-4BD1-BCBA-28BFA1914E52}"/>
    <cellStyle name="Comma 727 2" xfId="2005" xr:uid="{2AFB5A11-B456-438C-A882-7582AC09A0C1}"/>
    <cellStyle name="Comma 727 2 2" xfId="4063" xr:uid="{52B039D1-35FD-4173-A231-CF6A6122C09B}"/>
    <cellStyle name="Comma 727 2 2 2" xfId="9296" xr:uid="{D459ACE5-3E5A-4A4B-BDBE-23711AE703A4}"/>
    <cellStyle name="Comma 727 2 2 2 2" xfId="19648" xr:uid="{CAAA5D4C-2C24-439D-99CD-F840C1080DD1}"/>
    <cellStyle name="Comma 727 2 2 3" xfId="14473" xr:uid="{2531B641-8A24-41BA-9349-5CD399D5E901}"/>
    <cellStyle name="Comma 727 2 3" xfId="7238" xr:uid="{52EF5B84-4BE5-4B17-B30E-8C0DE6F2D7C2}"/>
    <cellStyle name="Comma 727 2 3 2" xfId="17590" xr:uid="{1878907E-EFA7-4FB4-AE14-E2F87EAB81F7}"/>
    <cellStyle name="Comma 727 2 4" xfId="12415" xr:uid="{0F744AC3-BC7C-4DA5-A078-00D4CC7D7D40}"/>
    <cellStyle name="Comma 727 3" xfId="3033" xr:uid="{9C618607-A254-4F72-A9BB-96C6912B20A0}"/>
    <cellStyle name="Comma 727 3 2" xfId="8266" xr:uid="{F3B00B18-5650-4413-BDD6-4D71DEE31B55}"/>
    <cellStyle name="Comma 727 3 2 2" xfId="18618" xr:uid="{6C455BB9-9C72-4BD1-B104-7D3F1136F7DF}"/>
    <cellStyle name="Comma 727 3 3" xfId="13443" xr:uid="{217E22F8-CFBD-4C81-A99F-04687303F8A0}"/>
    <cellStyle name="Comma 727 4" xfId="5159" xr:uid="{7327EED8-0706-4AA1-95EB-5D6A74AC9F17}"/>
    <cellStyle name="Comma 727 4 2" xfId="10335" xr:uid="{82474D2B-20B5-4E29-9E9C-835862EDF765}"/>
    <cellStyle name="Comma 727 4 2 2" xfId="20687" xr:uid="{75FF4B66-37A9-42AE-97C8-62227B383AC1}"/>
    <cellStyle name="Comma 727 4 3" xfId="15511" xr:uid="{40D0B9EB-EF13-4715-93F5-946F9DBEFE0C}"/>
    <cellStyle name="Comma 727 5" xfId="6207" xr:uid="{DE087AE4-78B6-4459-A083-6F4C8EF7FFB2}"/>
    <cellStyle name="Comma 727 5 2" xfId="16559" xr:uid="{51C05916-C5C7-4AAB-A224-8F5027ABA5E2}"/>
    <cellStyle name="Comma 727 6" xfId="11385" xr:uid="{4B6593E3-56FF-4341-B863-1B6CD6EA4384}"/>
    <cellStyle name="Comma 728" xfId="968" xr:uid="{23D4B100-0900-4853-84DD-44EA41733834}"/>
    <cellStyle name="Comma 728 2" xfId="2006" xr:uid="{C5904952-DC75-4065-BE91-FF04CEA81088}"/>
    <cellStyle name="Comma 728 2 2" xfId="4064" xr:uid="{988A513F-D3C7-4F0F-B555-0DA7EF616D02}"/>
    <cellStyle name="Comma 728 2 2 2" xfId="9297" xr:uid="{353EDE11-E013-440B-BD7F-C80D447CAA64}"/>
    <cellStyle name="Comma 728 2 2 2 2" xfId="19649" xr:uid="{C5EAD6DD-05D2-49F6-BA87-A394E1CD77DC}"/>
    <cellStyle name="Comma 728 2 2 3" xfId="14474" xr:uid="{4FD01BBE-F98A-4A7C-8189-BCB72E9E21C0}"/>
    <cellStyle name="Comma 728 2 3" xfId="7239" xr:uid="{21CB42CB-C57D-4C1E-8C9A-7BC33B887A01}"/>
    <cellStyle name="Comma 728 2 3 2" xfId="17591" xr:uid="{E45D4E4F-E9CA-45F0-A8F0-C03C1B2216D2}"/>
    <cellStyle name="Comma 728 2 4" xfId="12416" xr:uid="{22822922-13D0-430F-A5F8-EE24BE1BF56C}"/>
    <cellStyle name="Comma 728 3" xfId="3034" xr:uid="{53EEDCC5-8D0D-4032-B9FB-FAF8B44B7659}"/>
    <cellStyle name="Comma 728 3 2" xfId="8267" xr:uid="{F9483537-3A40-4314-95E7-C2BA538582CA}"/>
    <cellStyle name="Comma 728 3 2 2" xfId="18619" xr:uid="{0CD3CD8B-7E1E-4CC3-9B53-0DCE700BED1F}"/>
    <cellStyle name="Comma 728 3 3" xfId="13444" xr:uid="{C4F9BF89-E8C1-458E-9000-D18B77762C09}"/>
    <cellStyle name="Comma 728 4" xfId="5160" xr:uid="{AFAD0073-D87F-48E5-BB41-D990946B0F11}"/>
    <cellStyle name="Comma 728 4 2" xfId="10336" xr:uid="{F7A31AFB-839E-469F-8AE3-034788EA65D2}"/>
    <cellStyle name="Comma 728 4 2 2" xfId="20688" xr:uid="{CF4E7A4A-6187-45DD-9166-8B13031B1E64}"/>
    <cellStyle name="Comma 728 4 3" xfId="15512" xr:uid="{38C1AB71-268B-406B-92E3-317321EAE095}"/>
    <cellStyle name="Comma 728 5" xfId="6208" xr:uid="{817A776E-5297-41ED-A2EE-746E32E8C962}"/>
    <cellStyle name="Comma 728 5 2" xfId="16560" xr:uid="{5295C211-D6BA-416B-B572-DC53E7816CD0}"/>
    <cellStyle name="Comma 728 6" xfId="11386" xr:uid="{A01E1401-1F6E-43AA-8389-4C024202B331}"/>
    <cellStyle name="Comma 729" xfId="969" xr:uid="{AC843F9D-4FEA-4C46-9211-85A85A1C94B9}"/>
    <cellStyle name="Comma 729 2" xfId="2007" xr:uid="{BBA70E88-B3EB-4958-808C-B1CB393B280C}"/>
    <cellStyle name="Comma 729 2 2" xfId="4065" xr:uid="{B01B286A-70B6-4E21-BD2E-09693089AB3D}"/>
    <cellStyle name="Comma 729 2 2 2" xfId="9298" xr:uid="{B45CC510-1FFF-4E17-AC26-84E74A234B1A}"/>
    <cellStyle name="Comma 729 2 2 2 2" xfId="19650" xr:uid="{A9B559CB-28B0-476E-85BF-C04D3A51F53F}"/>
    <cellStyle name="Comma 729 2 2 3" xfId="14475" xr:uid="{7EC06443-9B66-4DF4-A060-EC4535D2D44C}"/>
    <cellStyle name="Comma 729 2 3" xfId="7240" xr:uid="{DE2FA12F-ED20-40C8-BEA2-D0331B2CBA3F}"/>
    <cellStyle name="Comma 729 2 3 2" xfId="17592" xr:uid="{3CD94B88-CCE9-4C7F-AC2C-16FF34AB4C9D}"/>
    <cellStyle name="Comma 729 2 4" xfId="12417" xr:uid="{7512BA8A-BFFB-44FD-AA16-92F61B65837E}"/>
    <cellStyle name="Comma 729 3" xfId="3035" xr:uid="{9CBA50A5-D9C4-4572-B423-03325205853E}"/>
    <cellStyle name="Comma 729 3 2" xfId="8268" xr:uid="{DBB3258D-BD16-4D16-930F-FFC3CF55CF4C}"/>
    <cellStyle name="Comma 729 3 2 2" xfId="18620" xr:uid="{0F0FDFCC-6F71-41B7-A0AC-5E9669473F3C}"/>
    <cellStyle name="Comma 729 3 3" xfId="13445" xr:uid="{07CBEF46-F9F1-4396-BE11-AEB9296E855F}"/>
    <cellStyle name="Comma 729 4" xfId="5161" xr:uid="{15B4381C-B5B8-4BE4-9B6B-573BAA1B73D0}"/>
    <cellStyle name="Comma 729 4 2" xfId="10337" xr:uid="{CFFD0CA0-3F22-4BD0-B1B3-4561711A34B8}"/>
    <cellStyle name="Comma 729 4 2 2" xfId="20689" xr:uid="{F56B2988-A0B3-4132-AF4E-0F5FA06291BD}"/>
    <cellStyle name="Comma 729 4 3" xfId="15513" xr:uid="{45DCB192-5840-4D5B-B301-AED77C33A95D}"/>
    <cellStyle name="Comma 729 5" xfId="6209" xr:uid="{2CB4A5A2-037F-4364-9147-FF05A23FD7A2}"/>
    <cellStyle name="Comma 729 5 2" xfId="16561" xr:uid="{77C3DE54-DF56-4C0F-A1CE-42C974FE917E}"/>
    <cellStyle name="Comma 729 6" xfId="11387" xr:uid="{C10BF03A-9753-4BD2-B230-573AFAE718F9}"/>
    <cellStyle name="Comma 73" xfId="276" xr:uid="{D29743F2-118A-4E1C-98A3-2B7A36239B6A}"/>
    <cellStyle name="Comma 73 2" xfId="1351" xr:uid="{53B1F0D4-F80E-405A-A6F2-97CEFDD36082}"/>
    <cellStyle name="Comma 73 2 2" xfId="3409" xr:uid="{192650E1-4686-47F0-87D0-ED833CDAF357}"/>
    <cellStyle name="Comma 73 2 2 2" xfId="8642" xr:uid="{7A188B4A-F5AE-48F9-9259-73882E7A9453}"/>
    <cellStyle name="Comma 73 2 2 2 2" xfId="18994" xr:uid="{05E1F455-71B3-43E6-A22A-4E5050571B39}"/>
    <cellStyle name="Comma 73 2 2 3" xfId="13819" xr:uid="{B22248E2-08F5-4B82-A7DA-71D267E4F535}"/>
    <cellStyle name="Comma 73 2 3" xfId="6584" xr:uid="{B02A2B93-84C8-4193-BE26-5EDFAACF6D25}"/>
    <cellStyle name="Comma 73 2 3 2" xfId="16936" xr:uid="{3366FF75-0CFA-4367-BDDA-82ED8A231ACF}"/>
    <cellStyle name="Comma 73 2 4" xfId="11761" xr:uid="{4AAEF2F3-3C9C-4EC8-A1BE-FA26CB2C3B01}"/>
    <cellStyle name="Comma 73 3" xfId="2379" xr:uid="{796EA116-E4BE-4CC4-9A3B-15D4F3E280B4}"/>
    <cellStyle name="Comma 73 3 2" xfId="7612" xr:uid="{FB918851-CE38-4D19-BAED-9108705EBFD4}"/>
    <cellStyle name="Comma 73 3 2 2" xfId="17964" xr:uid="{26267363-E9AB-42A3-AE3D-4E9806D12C09}"/>
    <cellStyle name="Comma 73 3 3" xfId="12789" xr:uid="{CCAAF7B3-A564-4EE9-9F58-61B807525F8A}"/>
    <cellStyle name="Comma 73 4" xfId="4505" xr:uid="{0D8668B2-B9F7-4B3F-876E-61CCE4C049CC}"/>
    <cellStyle name="Comma 73 4 2" xfId="9681" xr:uid="{9EDBE6EF-ACA4-401F-9976-DEB5E016A92E}"/>
    <cellStyle name="Comma 73 4 2 2" xfId="20033" xr:uid="{DB09BF46-DD9F-4EF2-9C07-309BB174C761}"/>
    <cellStyle name="Comma 73 4 3" xfId="14857" xr:uid="{16DDA5FA-5C75-4FD5-80E9-55626947C62A}"/>
    <cellStyle name="Comma 73 5" xfId="5553" xr:uid="{9983725C-3DCA-4343-95D4-EDF0C3EC101C}"/>
    <cellStyle name="Comma 73 5 2" xfId="15905" xr:uid="{5B8C6F47-6FED-47B6-9CB4-84DFCE6A9FA7}"/>
    <cellStyle name="Comma 73 6" xfId="10731" xr:uid="{5CDA273F-DCF5-45FE-99DF-CD9E6A9E0CEE}"/>
    <cellStyle name="Comma 730" xfId="970" xr:uid="{26ACC504-9624-40AA-A2B2-25566BF7367D}"/>
    <cellStyle name="Comma 730 2" xfId="2008" xr:uid="{7328FD37-5DD6-4025-9A27-1FD96D35C765}"/>
    <cellStyle name="Comma 730 2 2" xfId="4066" xr:uid="{5BBFD90B-3DD5-4F79-A7AC-6A1AE2D8B06E}"/>
    <cellStyle name="Comma 730 2 2 2" xfId="9299" xr:uid="{8390E27B-5754-4D0F-93DB-983D1AB2C921}"/>
    <cellStyle name="Comma 730 2 2 2 2" xfId="19651" xr:uid="{9250B1DC-DD0F-49BC-88AA-12D8DAE07F1C}"/>
    <cellStyle name="Comma 730 2 2 3" xfId="14476" xr:uid="{739F20A5-B5AA-4E3D-9942-DC6D5C2B15C6}"/>
    <cellStyle name="Comma 730 2 3" xfId="7241" xr:uid="{900622A2-500C-4230-8192-5AB6386BF266}"/>
    <cellStyle name="Comma 730 2 3 2" xfId="17593" xr:uid="{B7DD3BCA-229C-4F24-B06C-E553B0FC856D}"/>
    <cellStyle name="Comma 730 2 4" xfId="12418" xr:uid="{6C324042-738C-433D-8BAB-755DC2904D2A}"/>
    <cellStyle name="Comma 730 3" xfId="3036" xr:uid="{64F867D4-2511-4DCF-AA67-BBFA09740254}"/>
    <cellStyle name="Comma 730 3 2" xfId="8269" xr:uid="{CE69FCF3-6F9E-46F6-BC61-6716A79BBC09}"/>
    <cellStyle name="Comma 730 3 2 2" xfId="18621" xr:uid="{EAC1CEAA-CDF2-4B1F-A280-C2FA827146B8}"/>
    <cellStyle name="Comma 730 3 3" xfId="13446" xr:uid="{173BA56D-95AB-4CB2-AA0B-73A58A11D680}"/>
    <cellStyle name="Comma 730 4" xfId="5162" xr:uid="{D4A56941-6003-4AE5-9EDA-2F4A74C4C921}"/>
    <cellStyle name="Comma 730 4 2" xfId="10338" xr:uid="{9C841BB4-D653-4033-A6E5-2E14E29FDFC6}"/>
    <cellStyle name="Comma 730 4 2 2" xfId="20690" xr:uid="{41DD4B60-8A6C-4633-9B9A-2B6ABCBA8AFA}"/>
    <cellStyle name="Comma 730 4 3" xfId="15514" xr:uid="{5979A077-C3C5-4E99-A137-CE3D09A08E47}"/>
    <cellStyle name="Comma 730 5" xfId="6210" xr:uid="{78111F35-455E-47D9-B43F-87B487B3BBC2}"/>
    <cellStyle name="Comma 730 5 2" xfId="16562" xr:uid="{2081F751-91EA-4951-82D4-E5F75CA9B114}"/>
    <cellStyle name="Comma 730 6" xfId="11388" xr:uid="{3C06B4F5-0F26-4115-99E7-96EB7C7CEA74}"/>
    <cellStyle name="Comma 731" xfId="971" xr:uid="{0B82EBA2-E8A0-44E5-A042-78E9D4322148}"/>
    <cellStyle name="Comma 731 2" xfId="2009" xr:uid="{831C4186-E614-4583-B421-2064CA237CE5}"/>
    <cellStyle name="Comma 731 2 2" xfId="4067" xr:uid="{22AB6631-66B7-49AB-AF4C-E699DE2BA52A}"/>
    <cellStyle name="Comma 731 2 2 2" xfId="9300" xr:uid="{14639B88-DDA0-43E7-84DB-ABB91F521D8B}"/>
    <cellStyle name="Comma 731 2 2 2 2" xfId="19652" xr:uid="{BDD04EA0-CE1E-4E19-9C64-50D0C03BC7DA}"/>
    <cellStyle name="Comma 731 2 2 3" xfId="14477" xr:uid="{4B08142D-F6D8-4320-85CB-732564A3AABA}"/>
    <cellStyle name="Comma 731 2 3" xfId="7242" xr:uid="{F391B772-2B51-47AC-B632-2CE44E03C2D5}"/>
    <cellStyle name="Comma 731 2 3 2" xfId="17594" xr:uid="{EA8A9F07-9D06-4A0A-856B-B62908AC2A59}"/>
    <cellStyle name="Comma 731 2 4" xfId="12419" xr:uid="{576FE403-DF11-49C8-88E6-93C817B4E51C}"/>
    <cellStyle name="Comma 731 3" xfId="3037" xr:uid="{7E2A22D2-7720-42BB-A1C5-91C0D6D27425}"/>
    <cellStyle name="Comma 731 3 2" xfId="8270" xr:uid="{F91D796A-6DB6-4D84-8C72-8FF288AD28C2}"/>
    <cellStyle name="Comma 731 3 2 2" xfId="18622" xr:uid="{5729DBB0-77FF-4501-8FFB-B4B734EEE44B}"/>
    <cellStyle name="Comma 731 3 3" xfId="13447" xr:uid="{DFEE722F-288A-4884-A125-FA952C4EF57B}"/>
    <cellStyle name="Comma 731 4" xfId="5163" xr:uid="{596F30E1-72EA-4A00-A4D0-236B5F96E58E}"/>
    <cellStyle name="Comma 731 4 2" xfId="10339" xr:uid="{ED495CE0-3EAD-45E3-9C4E-769C802FCAE5}"/>
    <cellStyle name="Comma 731 4 2 2" xfId="20691" xr:uid="{85F5AF10-4928-4E2F-8674-D892159C0510}"/>
    <cellStyle name="Comma 731 4 3" xfId="15515" xr:uid="{71486E5F-9E10-4FB6-BC0C-FCEDAD944004}"/>
    <cellStyle name="Comma 731 5" xfId="6211" xr:uid="{4DD414BF-F109-46AB-84ED-C10E8713A371}"/>
    <cellStyle name="Comma 731 5 2" xfId="16563" xr:uid="{C686CABC-B75F-44AC-8DE5-D85E753990A3}"/>
    <cellStyle name="Comma 731 6" xfId="11389" xr:uid="{C0D0D7A4-4032-4382-9B09-43F3905A3105}"/>
    <cellStyle name="Comma 732" xfId="972" xr:uid="{106D1349-7EA5-45B8-AD37-2C3A41F2FCC9}"/>
    <cellStyle name="Comma 732 2" xfId="2010" xr:uid="{88F23711-A12C-4552-9424-BF7851A99DA1}"/>
    <cellStyle name="Comma 732 2 2" xfId="4068" xr:uid="{B4CA5746-B900-4231-9FD3-2BE4F002D5F7}"/>
    <cellStyle name="Comma 732 2 2 2" xfId="9301" xr:uid="{CCE47F43-69C4-4F04-9A99-5361B6DE1C06}"/>
    <cellStyle name="Comma 732 2 2 2 2" xfId="19653" xr:uid="{9D894546-B96B-4187-AC88-B1F18CF9341D}"/>
    <cellStyle name="Comma 732 2 2 3" xfId="14478" xr:uid="{3A8F07D7-CAF8-4002-8B45-5241D5CB4264}"/>
    <cellStyle name="Comma 732 2 3" xfId="7243" xr:uid="{B7AE827C-B22E-4141-9C60-85BAAB029E7F}"/>
    <cellStyle name="Comma 732 2 3 2" xfId="17595" xr:uid="{40475A8D-C64B-4C74-A7B9-9FEFEFC62278}"/>
    <cellStyle name="Comma 732 2 4" xfId="12420" xr:uid="{BA6AAE2D-2E20-40D4-9E07-6FFCD006B805}"/>
    <cellStyle name="Comma 732 3" xfId="3038" xr:uid="{B65503FA-14B3-4AC6-8F89-5C562063C33F}"/>
    <cellStyle name="Comma 732 3 2" xfId="8271" xr:uid="{915345E9-37E9-4301-91A2-FD0D1DF8FA5E}"/>
    <cellStyle name="Comma 732 3 2 2" xfId="18623" xr:uid="{89128EFB-389D-4EFA-98BC-532F8784E9FD}"/>
    <cellStyle name="Comma 732 3 3" xfId="13448" xr:uid="{943719F1-C38A-4ACB-92D4-FA0833FFFF0B}"/>
    <cellStyle name="Comma 732 4" xfId="5164" xr:uid="{8F9C2FD4-C8BE-4C02-AC48-9439FE833027}"/>
    <cellStyle name="Comma 732 4 2" xfId="10340" xr:uid="{81E7EF97-3448-447D-ABDF-5C0532119FB3}"/>
    <cellStyle name="Comma 732 4 2 2" xfId="20692" xr:uid="{B1B13CDA-8259-402D-AC6F-6F6C5749B017}"/>
    <cellStyle name="Comma 732 4 3" xfId="15516" xr:uid="{3574DDE8-198E-483A-B5AD-F53AAD41556C}"/>
    <cellStyle name="Comma 732 5" xfId="6212" xr:uid="{6FA17628-CEE5-4DC9-8420-191847517511}"/>
    <cellStyle name="Comma 732 5 2" xfId="16564" xr:uid="{101F537B-2501-4EBA-A535-394FC8EE6019}"/>
    <cellStyle name="Comma 732 6" xfId="11390" xr:uid="{5F6E14DF-54A3-4A50-8D0F-9ABD58BE9F39}"/>
    <cellStyle name="Comma 733" xfId="973" xr:uid="{E3709EA2-E4FF-4141-818C-F41D96EEFEB0}"/>
    <cellStyle name="Comma 733 2" xfId="2011" xr:uid="{BD7463B6-7604-41A0-A9DA-857FBFE75310}"/>
    <cellStyle name="Comma 733 2 2" xfId="4069" xr:uid="{7B013679-F19D-46A0-BAD3-24B6D20ACB14}"/>
    <cellStyle name="Comma 733 2 2 2" xfId="9302" xr:uid="{6E456786-074F-46E6-B1B7-D664B16938A8}"/>
    <cellStyle name="Comma 733 2 2 2 2" xfId="19654" xr:uid="{C778A841-50FE-414A-92EF-8B2E262C792E}"/>
    <cellStyle name="Comma 733 2 2 3" xfId="14479" xr:uid="{4E0F95FB-26C2-4D7F-937F-86C3D13659E2}"/>
    <cellStyle name="Comma 733 2 3" xfId="7244" xr:uid="{8652C4C9-D8E0-4033-B893-87F474D68E9C}"/>
    <cellStyle name="Comma 733 2 3 2" xfId="17596" xr:uid="{9E4916AB-36A5-4631-86FA-6985462BEDDE}"/>
    <cellStyle name="Comma 733 2 4" xfId="12421" xr:uid="{DA14BE82-3C9A-46B7-9012-393B1F500261}"/>
    <cellStyle name="Comma 733 3" xfId="3039" xr:uid="{D4E31D42-F766-4B93-961E-38A362CE600A}"/>
    <cellStyle name="Comma 733 3 2" xfId="8272" xr:uid="{B4F61466-E956-48D9-852C-D1DF8AFB74FC}"/>
    <cellStyle name="Comma 733 3 2 2" xfId="18624" xr:uid="{1AA7EB7F-DE2C-483B-8116-B6B67656A850}"/>
    <cellStyle name="Comma 733 3 3" xfId="13449" xr:uid="{A377CA0F-3751-439C-BBB5-02566A7AFCFC}"/>
    <cellStyle name="Comma 733 4" xfId="5165" xr:uid="{23529AC6-C2B0-4FE3-AFBC-80C45996F659}"/>
    <cellStyle name="Comma 733 4 2" xfId="10341" xr:uid="{3273BE4F-8F5A-427F-B2EB-305AF221E861}"/>
    <cellStyle name="Comma 733 4 2 2" xfId="20693" xr:uid="{6747498A-AB3D-42AB-AE79-05DD820E19BD}"/>
    <cellStyle name="Comma 733 4 3" xfId="15517" xr:uid="{E2EEEC67-6A20-4594-9FD4-65A8F4748041}"/>
    <cellStyle name="Comma 733 5" xfId="6213" xr:uid="{C069CE65-8B3C-4DE4-976D-8C2C65629631}"/>
    <cellStyle name="Comma 733 5 2" xfId="16565" xr:uid="{EC39D7F5-522A-47EA-B2BF-E8F80A4C10E1}"/>
    <cellStyle name="Comma 733 6" xfId="11391" xr:uid="{FD1E83BD-7B01-4158-9625-AE0FC939D25E}"/>
    <cellStyle name="Comma 734" xfId="974" xr:uid="{D2632069-4EDF-42E4-8850-02671F1DAA91}"/>
    <cellStyle name="Comma 734 2" xfId="2012" xr:uid="{6A0FD8F7-85BC-4494-A0C7-CD0135159E05}"/>
    <cellStyle name="Comma 734 2 2" xfId="4070" xr:uid="{C29CBEDA-03B5-4EF5-BB06-70BE7E388EDD}"/>
    <cellStyle name="Comma 734 2 2 2" xfId="9303" xr:uid="{2D774877-E0F5-4B92-B24E-ABEC59719FA7}"/>
    <cellStyle name="Comma 734 2 2 2 2" xfId="19655" xr:uid="{5CB28BA2-8700-45CE-A4E8-1638A0120B3D}"/>
    <cellStyle name="Comma 734 2 2 3" xfId="14480" xr:uid="{AD980E93-C861-4615-B513-9097BF8C72C8}"/>
    <cellStyle name="Comma 734 2 3" xfId="7245" xr:uid="{68CDD465-F4EB-4B4E-B64A-2F78EA196041}"/>
    <cellStyle name="Comma 734 2 3 2" xfId="17597" xr:uid="{3FA80C45-BDAE-408E-9086-7EB239D99392}"/>
    <cellStyle name="Comma 734 2 4" xfId="12422" xr:uid="{E16319FA-1301-4AB4-BDC6-D6954860FB5E}"/>
    <cellStyle name="Comma 734 3" xfId="3040" xr:uid="{342B00AB-845E-4644-8AE7-9F0A06651260}"/>
    <cellStyle name="Comma 734 3 2" xfId="8273" xr:uid="{7F408D16-5413-465A-B567-8140387C6E49}"/>
    <cellStyle name="Comma 734 3 2 2" xfId="18625" xr:uid="{29533504-EEE7-422B-9FA6-952AEEF0130E}"/>
    <cellStyle name="Comma 734 3 3" xfId="13450" xr:uid="{0DB5506B-CF99-4BF9-A722-B5B97E1995E2}"/>
    <cellStyle name="Comma 734 4" xfId="5166" xr:uid="{1AA08908-E7D0-43B9-9EAE-EE15ABFEE4AD}"/>
    <cellStyle name="Comma 734 4 2" xfId="10342" xr:uid="{96A70C0C-24C3-4075-95A3-2CDB7E285115}"/>
    <cellStyle name="Comma 734 4 2 2" xfId="20694" xr:uid="{CEA851FB-1991-4622-A68C-61935F1662DE}"/>
    <cellStyle name="Comma 734 4 3" xfId="15518" xr:uid="{F08F6CD0-6FF0-4D1B-A2D1-FEF9854F33E3}"/>
    <cellStyle name="Comma 734 5" xfId="6214" xr:uid="{08CFF9FE-75A2-4A15-878B-12B77BE6C0AC}"/>
    <cellStyle name="Comma 734 5 2" xfId="16566" xr:uid="{D96DC3CD-DA85-4E8A-9CEA-2F092828716F}"/>
    <cellStyle name="Comma 734 6" xfId="11392" xr:uid="{DC891957-063D-431E-9A2A-0C39B852EEA6}"/>
    <cellStyle name="Comma 735" xfId="975" xr:uid="{81535539-07F7-4EC8-8391-2397A752549C}"/>
    <cellStyle name="Comma 735 2" xfId="2013" xr:uid="{E1CF0FC5-8575-40DA-98FE-495DA40EA98B}"/>
    <cellStyle name="Comma 735 2 2" xfId="4071" xr:uid="{E9215C40-739B-42C2-9305-D202B2176613}"/>
    <cellStyle name="Comma 735 2 2 2" xfId="9304" xr:uid="{388A0BC4-F901-4E7E-98FE-C18231EB14FA}"/>
    <cellStyle name="Comma 735 2 2 2 2" xfId="19656" xr:uid="{F765720E-338D-418F-AAA4-E4F50A5F4E7E}"/>
    <cellStyle name="Comma 735 2 2 3" xfId="14481" xr:uid="{09001A6C-1ABE-4CA7-8D30-233B90CD14EF}"/>
    <cellStyle name="Comma 735 2 3" xfId="7246" xr:uid="{559A4063-FB34-4671-BA69-E790C3632158}"/>
    <cellStyle name="Comma 735 2 3 2" xfId="17598" xr:uid="{44CD4443-F7BF-4CF6-8108-8C8CDF3FDC4A}"/>
    <cellStyle name="Comma 735 2 4" xfId="12423" xr:uid="{9CEE7B91-692C-4D69-8EAA-59C615BFA08F}"/>
    <cellStyle name="Comma 735 3" xfId="3041" xr:uid="{7AFA1D63-917F-4214-A01E-6D00C8349F4B}"/>
    <cellStyle name="Comma 735 3 2" xfId="8274" xr:uid="{3AC84362-3141-4F68-94B5-AAD647056B7A}"/>
    <cellStyle name="Comma 735 3 2 2" xfId="18626" xr:uid="{EA20ADF6-CA6A-42D6-936F-E28DE770D211}"/>
    <cellStyle name="Comma 735 3 3" xfId="13451" xr:uid="{17F0CCC6-FF61-45C4-A863-1EC0448E5C08}"/>
    <cellStyle name="Comma 735 4" xfId="5167" xr:uid="{215D15D0-671A-445A-AC76-DBAEFAECADA5}"/>
    <cellStyle name="Comma 735 4 2" xfId="10343" xr:uid="{68708B02-3A0C-4B11-AD16-74B9D7BE13FC}"/>
    <cellStyle name="Comma 735 4 2 2" xfId="20695" xr:uid="{5956FF1B-093D-47A0-9E8D-913EE851FA62}"/>
    <cellStyle name="Comma 735 4 3" xfId="15519" xr:uid="{9830BD3C-8666-4135-95D6-B7C3FF467D0A}"/>
    <cellStyle name="Comma 735 5" xfId="6215" xr:uid="{BBDC494E-8A82-4B3E-8E83-E3A8D8E348BD}"/>
    <cellStyle name="Comma 735 5 2" xfId="16567" xr:uid="{D8B1F539-01C1-44A6-996D-91C18C6A619F}"/>
    <cellStyle name="Comma 735 6" xfId="11393" xr:uid="{A9C02C33-C79A-412F-848B-3184B133EFC9}"/>
    <cellStyle name="Comma 736" xfId="976" xr:uid="{6275CC8C-1C23-4415-96F8-16C4C06E846A}"/>
    <cellStyle name="Comma 736 2" xfId="2014" xr:uid="{9510FF2A-C9E8-476C-B3EC-5BDEB127DC0A}"/>
    <cellStyle name="Comma 736 2 2" xfId="4072" xr:uid="{DF1C7203-D71C-4264-B8B6-ED8474AF3B5F}"/>
    <cellStyle name="Comma 736 2 2 2" xfId="9305" xr:uid="{C795DE52-3DFB-40CD-8317-9C291E8FB4B1}"/>
    <cellStyle name="Comma 736 2 2 2 2" xfId="19657" xr:uid="{DD360A4F-D8AD-416B-89AA-9417B05E17D0}"/>
    <cellStyle name="Comma 736 2 2 3" xfId="14482" xr:uid="{5041C37A-F40A-4A3A-9C8D-4789359D4388}"/>
    <cellStyle name="Comma 736 2 3" xfId="7247" xr:uid="{62DFF702-9E23-4E95-93A8-7A388CBB25A3}"/>
    <cellStyle name="Comma 736 2 3 2" xfId="17599" xr:uid="{3DA3968E-8331-4C0B-847C-DD8E4F6ED997}"/>
    <cellStyle name="Comma 736 2 4" xfId="12424" xr:uid="{F00D594C-1275-4205-B746-B62C0793BA16}"/>
    <cellStyle name="Comma 736 3" xfId="3042" xr:uid="{5AF25BA0-85B8-48C6-A30E-502DC969B392}"/>
    <cellStyle name="Comma 736 3 2" xfId="8275" xr:uid="{18A673D5-EF94-4492-979E-A25714E360BA}"/>
    <cellStyle name="Comma 736 3 2 2" xfId="18627" xr:uid="{FF13FB07-3D05-46A1-825D-8E5FA2E5B02A}"/>
    <cellStyle name="Comma 736 3 3" xfId="13452" xr:uid="{97120F7E-FE63-4DBD-8180-8DA2B92E9510}"/>
    <cellStyle name="Comma 736 4" xfId="5168" xr:uid="{72E29ED4-8AAA-445E-9E82-1C33F60C8692}"/>
    <cellStyle name="Comma 736 4 2" xfId="10344" xr:uid="{27DB65DD-92DE-4892-AB72-B78D965FD100}"/>
    <cellStyle name="Comma 736 4 2 2" xfId="20696" xr:uid="{F0E89A36-C81A-48D9-A7C2-0618857BDBDC}"/>
    <cellStyle name="Comma 736 4 3" xfId="15520" xr:uid="{9FF25170-5F97-492F-9218-DC156F174CB6}"/>
    <cellStyle name="Comma 736 5" xfId="6216" xr:uid="{445E1574-5A65-4AA4-B26E-831577A7E39A}"/>
    <cellStyle name="Comma 736 5 2" xfId="16568" xr:uid="{282050E7-636A-4582-B496-A231A7D4EFEF}"/>
    <cellStyle name="Comma 736 6" xfId="11394" xr:uid="{B41D4E72-9756-4FC1-855A-326437692EBF}"/>
    <cellStyle name="Comma 737" xfId="977" xr:uid="{91108602-B0AE-4C4C-A200-206F281E3442}"/>
    <cellStyle name="Comma 737 2" xfId="2015" xr:uid="{FCAAD7D1-3E05-45B4-BF94-0F94AD81F8C1}"/>
    <cellStyle name="Comma 737 2 2" xfId="4073" xr:uid="{CE5F3098-745D-48F4-8700-CB6C798B1E4A}"/>
    <cellStyle name="Comma 737 2 2 2" xfId="9306" xr:uid="{B00DF407-5B85-400C-B30C-CE76A085315A}"/>
    <cellStyle name="Comma 737 2 2 2 2" xfId="19658" xr:uid="{41B54C2D-DEF7-4A70-8845-10D0F25D2EE6}"/>
    <cellStyle name="Comma 737 2 2 3" xfId="14483" xr:uid="{A67195A5-9C1A-4599-866F-5C14B0ED328E}"/>
    <cellStyle name="Comma 737 2 3" xfId="7248" xr:uid="{3CE8EE9C-7FA9-486C-ACD7-2E7BBCDCC452}"/>
    <cellStyle name="Comma 737 2 3 2" xfId="17600" xr:uid="{EE7E16C9-3CFB-4234-BDC7-4CE127C4919A}"/>
    <cellStyle name="Comma 737 2 4" xfId="12425" xr:uid="{3C40EFAF-B7B0-4FEE-A443-5FB4CB309ABA}"/>
    <cellStyle name="Comma 737 3" xfId="3043" xr:uid="{07D184F6-E6B9-46AF-B8D1-913D29012EDE}"/>
    <cellStyle name="Comma 737 3 2" xfId="8276" xr:uid="{B640EAA9-0D5F-45A8-A73C-CFC9E957C6AC}"/>
    <cellStyle name="Comma 737 3 2 2" xfId="18628" xr:uid="{9DBF8E96-DF80-4BAB-9F10-5BAA096E1CE0}"/>
    <cellStyle name="Comma 737 3 3" xfId="13453" xr:uid="{13B47668-165E-4D6A-8B50-D82A472E5923}"/>
    <cellStyle name="Comma 737 4" xfId="5169" xr:uid="{DA0F3A2C-9AA3-402E-A3D4-A80DD3C95D9F}"/>
    <cellStyle name="Comma 737 4 2" xfId="10345" xr:uid="{71A7033D-2803-42AA-B248-A5E302139DB4}"/>
    <cellStyle name="Comma 737 4 2 2" xfId="20697" xr:uid="{72E2B459-E75C-4A9B-9C6F-F013666BED58}"/>
    <cellStyle name="Comma 737 4 3" xfId="15521" xr:uid="{E9179660-DF00-404F-9753-C6A4F34D2473}"/>
    <cellStyle name="Comma 737 5" xfId="6217" xr:uid="{48767405-5E92-4370-95FB-F5E1BA63C78D}"/>
    <cellStyle name="Comma 737 5 2" xfId="16569" xr:uid="{3AB94D64-DA5B-41E0-9540-6B61A357E5A8}"/>
    <cellStyle name="Comma 737 6" xfId="11395" xr:uid="{74CC2C8D-DAD1-482F-9B21-2DF3FB8E85FC}"/>
    <cellStyle name="Comma 738" xfId="978" xr:uid="{D52C17A9-FAFE-432F-9C57-4762C2848E1F}"/>
    <cellStyle name="Comma 738 2" xfId="2016" xr:uid="{929F9423-F8E9-4CA4-8F78-4ABDA7995EC2}"/>
    <cellStyle name="Comma 738 2 2" xfId="4074" xr:uid="{630EA61D-78AC-49C6-BCE7-4B16298D18CB}"/>
    <cellStyle name="Comma 738 2 2 2" xfId="9307" xr:uid="{0C4AF31D-F9C1-425C-8380-B4D91C86DE94}"/>
    <cellStyle name="Comma 738 2 2 2 2" xfId="19659" xr:uid="{33C8D40E-7E42-4CE0-B4B6-A01D24977F4D}"/>
    <cellStyle name="Comma 738 2 2 3" xfId="14484" xr:uid="{07A88668-02BC-41DE-AEC1-C84F0E46F3F5}"/>
    <cellStyle name="Comma 738 2 3" xfId="7249" xr:uid="{1D333F35-3B38-426D-B1ED-26E330E622BE}"/>
    <cellStyle name="Comma 738 2 3 2" xfId="17601" xr:uid="{939FCF17-9DF6-4FFC-BC97-B539A1ECA5DD}"/>
    <cellStyle name="Comma 738 2 4" xfId="12426" xr:uid="{AB3985A2-22C8-4816-8FB4-AADB60888EB1}"/>
    <cellStyle name="Comma 738 3" xfId="3044" xr:uid="{ADEE654C-4242-4864-AB64-F4E533589A19}"/>
    <cellStyle name="Comma 738 3 2" xfId="8277" xr:uid="{1724CEE6-0A42-4F74-A2C0-105DCA39B161}"/>
    <cellStyle name="Comma 738 3 2 2" xfId="18629" xr:uid="{A0D3FBC5-6000-462E-B994-30C08D64F67D}"/>
    <cellStyle name="Comma 738 3 3" xfId="13454" xr:uid="{2F118A20-20C1-4D73-B766-00D95098B81E}"/>
    <cellStyle name="Comma 738 4" xfId="5170" xr:uid="{B606ABF3-4EDE-46D9-9DD1-514C7971DF53}"/>
    <cellStyle name="Comma 738 4 2" xfId="10346" xr:uid="{1A7A6DF5-DB5E-46CD-B117-45B7BB2F4449}"/>
    <cellStyle name="Comma 738 4 2 2" xfId="20698" xr:uid="{B884421C-7F93-483A-B4F3-20DC20208C6D}"/>
    <cellStyle name="Comma 738 4 3" xfId="15522" xr:uid="{D1E3B77C-0E71-4BBF-8137-262354C93F76}"/>
    <cellStyle name="Comma 738 5" xfId="6218" xr:uid="{4E3BEB60-7828-46F7-8ECF-410E64984AD5}"/>
    <cellStyle name="Comma 738 5 2" xfId="16570" xr:uid="{464825A5-C471-48C0-A596-94CCA9F0F5EF}"/>
    <cellStyle name="Comma 738 6" xfId="11396" xr:uid="{F2354B57-2756-4AC7-8DBD-F6696F59B69F}"/>
    <cellStyle name="Comma 739" xfId="979" xr:uid="{BF632AFB-B3F7-4E15-A430-2928B306CACC}"/>
    <cellStyle name="Comma 739 2" xfId="2017" xr:uid="{51E7EB29-1D51-4DB3-ADCD-486AAAB4AA9D}"/>
    <cellStyle name="Comma 739 2 2" xfId="4075" xr:uid="{3D476F29-EE1D-45DF-B4FD-4565AE5EF2E3}"/>
    <cellStyle name="Comma 739 2 2 2" xfId="9308" xr:uid="{27316B59-0031-452F-A054-9DD8743592B6}"/>
    <cellStyle name="Comma 739 2 2 2 2" xfId="19660" xr:uid="{3E253229-728E-492C-A72E-B79127759B0A}"/>
    <cellStyle name="Comma 739 2 2 3" xfId="14485" xr:uid="{8CB6371B-8A02-44DF-B0AC-E67952089029}"/>
    <cellStyle name="Comma 739 2 3" xfId="7250" xr:uid="{DAADC8F2-3F73-45D9-9858-81D983F7BD79}"/>
    <cellStyle name="Comma 739 2 3 2" xfId="17602" xr:uid="{09D9C8A8-77A3-40CB-88D3-DF9F6B645D43}"/>
    <cellStyle name="Comma 739 2 4" xfId="12427" xr:uid="{AE1EC284-DEBC-4598-9968-9E10432DA52F}"/>
    <cellStyle name="Comma 739 3" xfId="3045" xr:uid="{68291E10-2155-4A39-B14E-F53C3F7D76A4}"/>
    <cellStyle name="Comma 739 3 2" xfId="8278" xr:uid="{9D9D42AB-02CF-4175-9037-EEC292889C6B}"/>
    <cellStyle name="Comma 739 3 2 2" xfId="18630" xr:uid="{9D17A867-517E-4198-AF28-7F6855388A9C}"/>
    <cellStyle name="Comma 739 3 3" xfId="13455" xr:uid="{607EDAE6-EE87-462E-ABBD-A228FC13B608}"/>
    <cellStyle name="Comma 739 4" xfId="5171" xr:uid="{FFAD1435-74B0-4333-BE1E-9B529A444C6F}"/>
    <cellStyle name="Comma 739 4 2" xfId="10347" xr:uid="{86E29422-9B84-4674-989E-38BA476C7FDE}"/>
    <cellStyle name="Comma 739 4 2 2" xfId="20699" xr:uid="{B8839E12-4D49-419A-A930-E420C79106E5}"/>
    <cellStyle name="Comma 739 4 3" xfId="15523" xr:uid="{440CD7B9-28D6-4814-B411-0D6A8CC28438}"/>
    <cellStyle name="Comma 739 5" xfId="6219" xr:uid="{B7B45198-167F-455D-A0E0-261D46519E2B}"/>
    <cellStyle name="Comma 739 5 2" xfId="16571" xr:uid="{E5FEC71B-C9A9-4E2B-96EC-65EFE17EA3A1}"/>
    <cellStyle name="Comma 739 6" xfId="11397" xr:uid="{B7BD36EE-D568-43C2-B9B7-1403FBA7B574}"/>
    <cellStyle name="Comma 74" xfId="277" xr:uid="{6D1A54F5-328B-42C3-9B42-AB586DBD70E6}"/>
    <cellStyle name="Comma 74 2" xfId="1352" xr:uid="{EFF80CAE-ED4A-47F3-9D2B-9DC67E146D79}"/>
    <cellStyle name="Comma 74 2 2" xfId="3410" xr:uid="{7E8FF0C5-33BA-4BDE-B391-55F2E7A06793}"/>
    <cellStyle name="Comma 74 2 2 2" xfId="8643" xr:uid="{6D0D21D5-7586-46C8-BF72-252FE6848B82}"/>
    <cellStyle name="Comma 74 2 2 2 2" xfId="18995" xr:uid="{6DF8DD55-1DB3-4CCE-AE63-12D6F5E3BE24}"/>
    <cellStyle name="Comma 74 2 2 3" xfId="13820" xr:uid="{D20CEC9C-9D9A-42E3-9B63-3F21794E51F6}"/>
    <cellStyle name="Comma 74 2 3" xfId="6585" xr:uid="{1EFADEA7-355C-424B-94CB-978D58A2C2CD}"/>
    <cellStyle name="Comma 74 2 3 2" xfId="16937" xr:uid="{63E3C412-35CC-42A8-9AF7-87605B00F963}"/>
    <cellStyle name="Comma 74 2 4" xfId="11762" xr:uid="{8F735F11-F6E0-4E40-89BA-CF89410A7A3C}"/>
    <cellStyle name="Comma 74 3" xfId="2380" xr:uid="{2DD77E5C-5700-4C38-BD94-100253B06E0F}"/>
    <cellStyle name="Comma 74 3 2" xfId="7613" xr:uid="{2471F7B9-ADF5-48D1-9512-FA11AD115FCE}"/>
    <cellStyle name="Comma 74 3 2 2" xfId="17965" xr:uid="{3C59A855-E403-4A2B-B07D-4D8CCB82CF23}"/>
    <cellStyle name="Comma 74 3 3" xfId="12790" xr:uid="{F5A795F9-78E4-4CE9-BD4F-91FE160309F7}"/>
    <cellStyle name="Comma 74 4" xfId="4506" xr:uid="{7B41CDC5-B81A-485D-9A9F-91FE787360A5}"/>
    <cellStyle name="Comma 74 4 2" xfId="9682" xr:uid="{83D63B37-1ED3-40DD-84C1-54DF28810F0A}"/>
    <cellStyle name="Comma 74 4 2 2" xfId="20034" xr:uid="{75D9D792-1749-4AA8-88B4-EB7C39E30F3D}"/>
    <cellStyle name="Comma 74 4 3" xfId="14858" xr:uid="{CAC62118-D20C-4785-BC05-C5E4A55839A1}"/>
    <cellStyle name="Comma 74 5" xfId="5554" xr:uid="{06D586EC-530A-439C-85D0-635B603BB6B1}"/>
    <cellStyle name="Comma 74 5 2" xfId="15906" xr:uid="{05CCBE75-2B4C-468C-AE25-8B2FC995CCCE}"/>
    <cellStyle name="Comma 74 6" xfId="10732" xr:uid="{90C8BD0F-E9C4-454B-BC00-74B4454AD71D}"/>
    <cellStyle name="Comma 740" xfId="980" xr:uid="{5058C42B-FF04-424A-89D9-3EED97FF4E86}"/>
    <cellStyle name="Comma 740 2" xfId="2018" xr:uid="{55A52E11-55E8-4E51-8649-C30F1A6C244A}"/>
    <cellStyle name="Comma 740 2 2" xfId="4076" xr:uid="{5D907768-939D-47DA-A5EE-02E320CAB862}"/>
    <cellStyle name="Comma 740 2 2 2" xfId="9309" xr:uid="{E044059A-41ED-44C9-9CCD-B25F86BA9976}"/>
    <cellStyle name="Comma 740 2 2 2 2" xfId="19661" xr:uid="{87B98F8F-624E-460E-91A2-171A96677FD4}"/>
    <cellStyle name="Comma 740 2 2 3" xfId="14486" xr:uid="{B4C53051-553E-46E3-93A4-4D77F2AD8323}"/>
    <cellStyle name="Comma 740 2 3" xfId="7251" xr:uid="{01E461DE-C483-4FFF-BA95-3319F6E4E978}"/>
    <cellStyle name="Comma 740 2 3 2" xfId="17603" xr:uid="{35660F50-9474-41E3-97B8-51108AB7B6D3}"/>
    <cellStyle name="Comma 740 2 4" xfId="12428" xr:uid="{5399E86E-10A5-465F-88B2-44C6F841888A}"/>
    <cellStyle name="Comma 740 3" xfId="3046" xr:uid="{59F434F8-0FBF-4B9C-ABDF-DBEC8FC03E1E}"/>
    <cellStyle name="Comma 740 3 2" xfId="8279" xr:uid="{9C480D46-626F-4B33-91C6-626CE1EB3F5C}"/>
    <cellStyle name="Comma 740 3 2 2" xfId="18631" xr:uid="{F38CFDF6-3DEC-4227-BEF9-59EF981F42CC}"/>
    <cellStyle name="Comma 740 3 3" xfId="13456" xr:uid="{CC3F4EEA-6E80-4E24-B0D3-E6D1DC511ECD}"/>
    <cellStyle name="Comma 740 4" xfId="5172" xr:uid="{05CCD0FD-5859-4DA5-A0B6-5EF075A4476C}"/>
    <cellStyle name="Comma 740 4 2" xfId="10348" xr:uid="{2EFD9716-A852-4D86-A607-7D4AED6C5A8C}"/>
    <cellStyle name="Comma 740 4 2 2" xfId="20700" xr:uid="{1733489D-1D0F-4BE7-8A4A-56938A617DBD}"/>
    <cellStyle name="Comma 740 4 3" xfId="15524" xr:uid="{2056406D-3794-4476-9D47-BCC083B57565}"/>
    <cellStyle name="Comma 740 5" xfId="6220" xr:uid="{D90B8F90-6DA3-4C55-8BCD-6175F657C1F8}"/>
    <cellStyle name="Comma 740 5 2" xfId="16572" xr:uid="{E43EC7BF-B2C3-4EC3-B8BE-440ACB6736A8}"/>
    <cellStyle name="Comma 740 6" xfId="11398" xr:uid="{85440DDF-0D5B-4D53-8663-1C7CCDB42DCA}"/>
    <cellStyle name="Comma 741" xfId="981" xr:uid="{D9D9CDA0-A2B7-4731-B4D1-2CAE565B887E}"/>
    <cellStyle name="Comma 741 2" xfId="2019" xr:uid="{F3C12424-6713-4C09-8365-AD1756D296DB}"/>
    <cellStyle name="Comma 741 2 2" xfId="4077" xr:uid="{839AA61D-4463-46B1-9CAE-1910411BE413}"/>
    <cellStyle name="Comma 741 2 2 2" xfId="9310" xr:uid="{A6A8891A-AD52-44AD-8427-1C34448D5F70}"/>
    <cellStyle name="Comma 741 2 2 2 2" xfId="19662" xr:uid="{63095AC4-904A-4052-B4FC-39629325A79D}"/>
    <cellStyle name="Comma 741 2 2 3" xfId="14487" xr:uid="{50C55ED3-3514-458A-B336-35DF699EDE5E}"/>
    <cellStyle name="Comma 741 2 3" xfId="7252" xr:uid="{7441C89E-942F-4017-903B-82EF145DFBDC}"/>
    <cellStyle name="Comma 741 2 3 2" xfId="17604" xr:uid="{40261190-D545-4372-AAE4-E4628C19EA9C}"/>
    <cellStyle name="Comma 741 2 4" xfId="12429" xr:uid="{ABE2B906-813B-4F9B-AF86-F8E86DA544D0}"/>
    <cellStyle name="Comma 741 3" xfId="3047" xr:uid="{65D0485E-3626-4576-843B-C0A02950795F}"/>
    <cellStyle name="Comma 741 3 2" xfId="8280" xr:uid="{36369B0A-CD19-4314-93F0-08E9289AFFC9}"/>
    <cellStyle name="Comma 741 3 2 2" xfId="18632" xr:uid="{8814295C-B613-4DD8-A5C9-2C9BD6A1A139}"/>
    <cellStyle name="Comma 741 3 3" xfId="13457" xr:uid="{C6C44EAA-D531-4C4F-84A5-B91F74391F73}"/>
    <cellStyle name="Comma 741 4" xfId="5173" xr:uid="{BB0A730E-E3E5-45B9-BDEB-46773E904063}"/>
    <cellStyle name="Comma 741 4 2" xfId="10349" xr:uid="{88960F25-0216-42E3-82E0-A7A5986A5431}"/>
    <cellStyle name="Comma 741 4 2 2" xfId="20701" xr:uid="{7C6DC794-487E-48D0-B59A-062F2360BAD0}"/>
    <cellStyle name="Comma 741 4 3" xfId="15525" xr:uid="{A5F8D173-999C-49D2-8773-A16DEBE0D011}"/>
    <cellStyle name="Comma 741 5" xfId="6221" xr:uid="{00E19BFD-E695-4F88-BC8E-8AA7C4F13A0C}"/>
    <cellStyle name="Comma 741 5 2" xfId="16573" xr:uid="{5E11BF0E-4355-4FA8-8B0B-85304FE20B2C}"/>
    <cellStyle name="Comma 741 6" xfId="11399" xr:uid="{F63A6963-C777-42C4-89D5-F668E45C4525}"/>
    <cellStyle name="Comma 742" xfId="982" xr:uid="{35481A7F-8619-4C33-BFBC-7E21C2A98BB6}"/>
    <cellStyle name="Comma 742 2" xfId="2020" xr:uid="{8BE82A58-7F94-4D57-8B36-C79F48309AFD}"/>
    <cellStyle name="Comma 742 2 2" xfId="4078" xr:uid="{2E94C716-E914-440C-BC05-6893229096FC}"/>
    <cellStyle name="Comma 742 2 2 2" xfId="9311" xr:uid="{E7238A6F-A2D0-4128-B805-D118E77F2E29}"/>
    <cellStyle name="Comma 742 2 2 2 2" xfId="19663" xr:uid="{4927CC9D-D634-4125-8BE9-84FEE0FDD70C}"/>
    <cellStyle name="Comma 742 2 2 3" xfId="14488" xr:uid="{54FBCEE3-3DBC-4FAE-98FE-188B9363AB40}"/>
    <cellStyle name="Comma 742 2 3" xfId="7253" xr:uid="{8F8DB3FA-4BFC-49F0-A4F5-EA9F91EECDC8}"/>
    <cellStyle name="Comma 742 2 3 2" xfId="17605" xr:uid="{023C76BE-DB72-419E-B9D3-A02DBA384FD6}"/>
    <cellStyle name="Comma 742 2 4" xfId="12430" xr:uid="{E2D1E9EC-C98F-496D-848C-2F7C5FA90EDE}"/>
    <cellStyle name="Comma 742 3" xfId="3048" xr:uid="{F797EDF4-31A9-4436-BA30-04F686BB922F}"/>
    <cellStyle name="Comma 742 3 2" xfId="8281" xr:uid="{4779C6A2-81E9-4BFA-93B9-82C56EA0AFD3}"/>
    <cellStyle name="Comma 742 3 2 2" xfId="18633" xr:uid="{D1FD3C2C-31EE-424A-B0EC-A970319FCD01}"/>
    <cellStyle name="Comma 742 3 3" xfId="13458" xr:uid="{6746DC9A-4A83-46AA-BA1B-D9A36AA50A78}"/>
    <cellStyle name="Comma 742 4" xfId="5174" xr:uid="{B03DA3B4-974D-4C50-A5A8-EC6E020ED986}"/>
    <cellStyle name="Comma 742 4 2" xfId="10350" xr:uid="{4AC5D099-065F-4887-AF15-9D850015B84D}"/>
    <cellStyle name="Comma 742 4 2 2" xfId="20702" xr:uid="{6E4BD5A6-B16F-4BBC-8085-6E1ECBD84DDC}"/>
    <cellStyle name="Comma 742 4 3" xfId="15526" xr:uid="{0EEF1C57-6E23-42B8-9DB2-342FE7985919}"/>
    <cellStyle name="Comma 742 5" xfId="6222" xr:uid="{819A1F1F-AB0D-4279-9886-DF09723B70F8}"/>
    <cellStyle name="Comma 742 5 2" xfId="16574" xr:uid="{5167ED39-4B05-4AB2-AC39-66C297E7483E}"/>
    <cellStyle name="Comma 742 6" xfId="11400" xr:uid="{9540A304-2834-4456-BDBC-4E7347D5D036}"/>
    <cellStyle name="Comma 743" xfId="983" xr:uid="{DC988B34-0A31-491E-9145-40B6C366FAC5}"/>
    <cellStyle name="Comma 743 2" xfId="2021" xr:uid="{AF53B96E-37BF-45D7-A9E8-CF911DB0841A}"/>
    <cellStyle name="Comma 743 2 2" xfId="4079" xr:uid="{CC74FCC5-8EB1-48BF-8209-642035D15AFD}"/>
    <cellStyle name="Comma 743 2 2 2" xfId="9312" xr:uid="{EE464D4C-412E-4270-AA9E-306A444135A0}"/>
    <cellStyle name="Comma 743 2 2 2 2" xfId="19664" xr:uid="{47DEC932-631E-4701-BDA1-BD09F6F62875}"/>
    <cellStyle name="Comma 743 2 2 3" xfId="14489" xr:uid="{3FF9987C-41C9-41B6-9794-234DFDD78CA7}"/>
    <cellStyle name="Comma 743 2 3" xfId="7254" xr:uid="{247DF918-D85C-4C53-9B6B-DCD48C6AEB29}"/>
    <cellStyle name="Comma 743 2 3 2" xfId="17606" xr:uid="{8BD8AC2B-BBD0-4284-86EB-DEACE9B5DD08}"/>
    <cellStyle name="Comma 743 2 4" xfId="12431" xr:uid="{551157C4-446F-4F20-8964-76CCD96B6CFC}"/>
    <cellStyle name="Comma 743 3" xfId="3049" xr:uid="{46D6D5B2-40A9-4068-8DE3-6C911B89E483}"/>
    <cellStyle name="Comma 743 3 2" xfId="8282" xr:uid="{6672554E-2FCE-41B6-BFBD-8D0E0F3F5EC1}"/>
    <cellStyle name="Comma 743 3 2 2" xfId="18634" xr:uid="{B91B970C-ED5B-4CA8-80DA-00AC17B81452}"/>
    <cellStyle name="Comma 743 3 3" xfId="13459" xr:uid="{87829E9B-A479-435F-8FF7-85A245667C01}"/>
    <cellStyle name="Comma 743 4" xfId="5175" xr:uid="{0038FF65-34B4-4CB9-926A-9E2CC99A670F}"/>
    <cellStyle name="Comma 743 4 2" xfId="10351" xr:uid="{D5DD8AE4-BEA0-477C-B5CF-FE6E9F799F02}"/>
    <cellStyle name="Comma 743 4 2 2" xfId="20703" xr:uid="{96C8E15A-FC74-427C-9821-99E9CAE2DF4A}"/>
    <cellStyle name="Comma 743 4 3" xfId="15527" xr:uid="{B7FB93F3-BF14-4E54-8281-E45F452BF898}"/>
    <cellStyle name="Comma 743 5" xfId="6223" xr:uid="{58BC27A9-0D91-4D54-A6FF-429EF648D391}"/>
    <cellStyle name="Comma 743 5 2" xfId="16575" xr:uid="{D67F25A2-1353-4EBA-A7FF-83A0E70EED31}"/>
    <cellStyle name="Comma 743 6" xfId="11401" xr:uid="{43A87F7D-A8C8-4554-90BF-5C3B420FD889}"/>
    <cellStyle name="Comma 744" xfId="984" xr:uid="{CC9F0AF4-3C11-4DA8-89C4-B9163ABB6094}"/>
    <cellStyle name="Comma 744 2" xfId="2022" xr:uid="{E5606532-DB34-4E1C-B068-D659B0DCBA59}"/>
    <cellStyle name="Comma 744 2 2" xfId="4080" xr:uid="{E4C2DE7E-7F9D-4293-94F9-7B4D15CCED92}"/>
    <cellStyle name="Comma 744 2 2 2" xfId="9313" xr:uid="{188DABA1-5468-4D45-8A92-6203A878E21A}"/>
    <cellStyle name="Comma 744 2 2 2 2" xfId="19665" xr:uid="{C0AD7028-47E8-4BF9-83CD-088825EA32DC}"/>
    <cellStyle name="Comma 744 2 2 3" xfId="14490" xr:uid="{EF06AC8B-50FF-4D3A-81E5-4AD650371012}"/>
    <cellStyle name="Comma 744 2 3" xfId="7255" xr:uid="{2BCFC7BC-CFC5-494A-A04F-6C2C54D555C4}"/>
    <cellStyle name="Comma 744 2 3 2" xfId="17607" xr:uid="{3BBE3106-D29A-4CE3-B72D-71589E6A70D9}"/>
    <cellStyle name="Comma 744 2 4" xfId="12432" xr:uid="{446A124A-C7F2-4C20-A91F-5FFCC7006383}"/>
    <cellStyle name="Comma 744 3" xfId="3050" xr:uid="{8FF084EC-1781-4AF5-92D9-43B9CD2BBB7C}"/>
    <cellStyle name="Comma 744 3 2" xfId="8283" xr:uid="{0C8B39C5-46D0-4FA4-AB32-BF75CCD5FFAD}"/>
    <cellStyle name="Comma 744 3 2 2" xfId="18635" xr:uid="{82D24AD3-4050-4D1F-B672-7EEE2847D8D2}"/>
    <cellStyle name="Comma 744 3 3" xfId="13460" xr:uid="{BBE2DB92-8437-43C9-85F8-8AF17C8388CF}"/>
    <cellStyle name="Comma 744 4" xfId="5176" xr:uid="{1C9ADC34-7736-4CC7-B794-1733B21BAD72}"/>
    <cellStyle name="Comma 744 4 2" xfId="10352" xr:uid="{FF6FAAB3-DB3C-46FB-8169-3BE378DC12C2}"/>
    <cellStyle name="Comma 744 4 2 2" xfId="20704" xr:uid="{CED45D60-4954-455D-859F-4E17BE6FA1CA}"/>
    <cellStyle name="Comma 744 4 3" xfId="15528" xr:uid="{1F74F4E6-9535-4CA9-87DB-228EBA853AD0}"/>
    <cellStyle name="Comma 744 5" xfId="6224" xr:uid="{53CA4CAA-941C-4E8A-AF9A-437581031614}"/>
    <cellStyle name="Comma 744 5 2" xfId="16576" xr:uid="{DBB5ACA2-05FC-4B6F-8E0D-6AD2F0AE241C}"/>
    <cellStyle name="Comma 744 6" xfId="11402" xr:uid="{07F4A89C-605C-438C-900C-2455FFBE4EAC}"/>
    <cellStyle name="Comma 745" xfId="985" xr:uid="{DC63B68F-F818-4159-8769-400CF316E422}"/>
    <cellStyle name="Comma 745 2" xfId="2023" xr:uid="{34B70E65-D3F2-444F-9BDA-FD119878BE6C}"/>
    <cellStyle name="Comma 745 2 2" xfId="4081" xr:uid="{61870E45-53AC-4344-9604-B2B468230A41}"/>
    <cellStyle name="Comma 745 2 2 2" xfId="9314" xr:uid="{6368158C-8231-4157-B5F2-12E2539C776B}"/>
    <cellStyle name="Comma 745 2 2 2 2" xfId="19666" xr:uid="{433ECF47-CF15-4A3A-BD73-B27C1642AF85}"/>
    <cellStyle name="Comma 745 2 2 3" xfId="14491" xr:uid="{37707E4E-D9AC-4848-A77B-A4B86FBA7533}"/>
    <cellStyle name="Comma 745 2 3" xfId="7256" xr:uid="{DF27A45E-60C8-45C7-8493-B92682451A6C}"/>
    <cellStyle name="Comma 745 2 3 2" xfId="17608" xr:uid="{34502CB2-5620-430D-8ECB-6FA0F3100A03}"/>
    <cellStyle name="Comma 745 2 4" xfId="12433" xr:uid="{2AD11957-A3A4-4422-AB40-ACB9FD48E7A4}"/>
    <cellStyle name="Comma 745 3" xfId="3051" xr:uid="{7964722A-ED48-4284-B0A4-39AA35DB5ED8}"/>
    <cellStyle name="Comma 745 3 2" xfId="8284" xr:uid="{1FD74307-F6C7-4588-B824-E90A404700C3}"/>
    <cellStyle name="Comma 745 3 2 2" xfId="18636" xr:uid="{5D5D4620-A39B-4CDB-9CB4-D7C3F0323765}"/>
    <cellStyle name="Comma 745 3 3" xfId="13461" xr:uid="{A3D66E2F-53DF-49A4-A908-8F4225226715}"/>
    <cellStyle name="Comma 745 4" xfId="5177" xr:uid="{084507D2-4FAF-4EEE-AF2C-27A8EBBEA0B7}"/>
    <cellStyle name="Comma 745 4 2" xfId="10353" xr:uid="{500AD9E7-2E95-4803-963B-AE2F31698C54}"/>
    <cellStyle name="Comma 745 4 2 2" xfId="20705" xr:uid="{BE64F72E-27D1-4A54-90D8-C1CD16CAE30E}"/>
    <cellStyle name="Comma 745 4 3" xfId="15529" xr:uid="{461DEB38-B248-48B2-BF4D-95615FD7FD6F}"/>
    <cellStyle name="Comma 745 5" xfId="6225" xr:uid="{94D9A8B2-B8C6-4BDD-A33F-8F3E0386B941}"/>
    <cellStyle name="Comma 745 5 2" xfId="16577" xr:uid="{0117A673-F8DB-478B-9711-63DC9C0A1421}"/>
    <cellStyle name="Comma 745 6" xfId="11403" xr:uid="{48E6F4AA-1A58-47C8-BA38-D2111059DF41}"/>
    <cellStyle name="Comma 746" xfId="986" xr:uid="{DD792C47-655A-4E44-BFD4-1CA30EF88126}"/>
    <cellStyle name="Comma 746 2" xfId="2024" xr:uid="{E2E2190D-1A1A-4CA5-ACF1-842FE904E313}"/>
    <cellStyle name="Comma 746 2 2" xfId="4082" xr:uid="{794FE7A9-5CF5-464D-8302-4B0129E51746}"/>
    <cellStyle name="Comma 746 2 2 2" xfId="9315" xr:uid="{DF256C0E-FDA7-40D6-B480-A8311A0CFE45}"/>
    <cellStyle name="Comma 746 2 2 2 2" xfId="19667" xr:uid="{42CBE387-8592-4631-AAF2-36DA9C62FD5B}"/>
    <cellStyle name="Comma 746 2 2 3" xfId="14492" xr:uid="{C0D6C86A-0D1F-4CEE-9581-F186E5E295BF}"/>
    <cellStyle name="Comma 746 2 3" xfId="7257" xr:uid="{E9892813-3DC4-4322-803C-004216715944}"/>
    <cellStyle name="Comma 746 2 3 2" xfId="17609" xr:uid="{1747860C-9926-4E4F-8093-7A17CB253E22}"/>
    <cellStyle name="Comma 746 2 4" xfId="12434" xr:uid="{C4C84897-8E6B-4BA6-86CD-53F9845CFCA6}"/>
    <cellStyle name="Comma 746 3" xfId="3052" xr:uid="{C64D7566-888B-43A5-9E68-0D6A13876B8D}"/>
    <cellStyle name="Comma 746 3 2" xfId="8285" xr:uid="{5EDA2139-8A74-41B7-B7FF-50796648F5CA}"/>
    <cellStyle name="Comma 746 3 2 2" xfId="18637" xr:uid="{0B0D1501-C642-4F0A-9C3A-732D159CF42D}"/>
    <cellStyle name="Comma 746 3 3" xfId="13462" xr:uid="{F4704C82-9C6A-4CBE-81FB-3A095DAC5092}"/>
    <cellStyle name="Comma 746 4" xfId="5178" xr:uid="{F3A65856-18BB-476E-8A66-4D50EB3F6619}"/>
    <cellStyle name="Comma 746 4 2" xfId="10354" xr:uid="{E948B1A0-20DC-418A-864A-8E6462D6553E}"/>
    <cellStyle name="Comma 746 4 2 2" xfId="20706" xr:uid="{09776D23-0D69-47BC-B207-EC5249E62D92}"/>
    <cellStyle name="Comma 746 4 3" xfId="15530" xr:uid="{B1F5F11A-F908-4DF6-AF8E-F15D36E8A15E}"/>
    <cellStyle name="Comma 746 5" xfId="6226" xr:uid="{51903350-755C-481F-9BB7-3BDE0CA7B825}"/>
    <cellStyle name="Comma 746 5 2" xfId="16578" xr:uid="{8D418921-17C2-49FC-806E-E93C496D9DEA}"/>
    <cellStyle name="Comma 746 6" xfId="11404" xr:uid="{CA7C412F-EC06-4446-BD37-B2CAF158E4D9}"/>
    <cellStyle name="Comma 747" xfId="987" xr:uid="{9A9153D3-2767-4529-A8A5-ED5BA30E675F}"/>
    <cellStyle name="Comma 747 2" xfId="2025" xr:uid="{D3BA5256-4E66-4E8E-92C1-43976A718A8B}"/>
    <cellStyle name="Comma 747 2 2" xfId="4083" xr:uid="{5123F2BF-DEE8-4E6C-8425-18656DE156B9}"/>
    <cellStyle name="Comma 747 2 2 2" xfId="9316" xr:uid="{4A35A67E-6C80-440E-BAB1-3E48F40721B3}"/>
    <cellStyle name="Comma 747 2 2 2 2" xfId="19668" xr:uid="{CC69EDE3-7534-4325-8B96-31FB15CC383D}"/>
    <cellStyle name="Comma 747 2 2 3" xfId="14493" xr:uid="{4D162DCC-0E1A-43D1-842E-12BB1508BF6D}"/>
    <cellStyle name="Comma 747 2 3" xfId="7258" xr:uid="{D71C4203-DB9E-49A4-B2BA-E881E67611F8}"/>
    <cellStyle name="Comma 747 2 3 2" xfId="17610" xr:uid="{8F0A564F-0938-44AD-9FBE-AF4FEE45078F}"/>
    <cellStyle name="Comma 747 2 4" xfId="12435" xr:uid="{151CF8AE-6C01-401E-A715-AB4A1742BA6B}"/>
    <cellStyle name="Comma 747 3" xfId="3053" xr:uid="{42399D7F-E250-4BC6-AE1B-3E405E967F0C}"/>
    <cellStyle name="Comma 747 3 2" xfId="8286" xr:uid="{64854D1E-1EB4-460B-BB4A-EEAB19B63D15}"/>
    <cellStyle name="Comma 747 3 2 2" xfId="18638" xr:uid="{3A9FF724-8CD4-4466-934D-DCA6D40C81DF}"/>
    <cellStyle name="Comma 747 3 3" xfId="13463" xr:uid="{376C032C-D79D-414B-B371-FAFE4226F86B}"/>
    <cellStyle name="Comma 747 4" xfId="5179" xr:uid="{FB34FE62-4AD9-4D85-B60D-BAC3C5ED1F4A}"/>
    <cellStyle name="Comma 747 4 2" xfId="10355" xr:uid="{12BFC9C4-C877-4263-894D-3499034AB245}"/>
    <cellStyle name="Comma 747 4 2 2" xfId="20707" xr:uid="{272EF7B7-C665-478C-B9E7-365E76D220E6}"/>
    <cellStyle name="Comma 747 4 3" xfId="15531" xr:uid="{5E84070E-FCB7-4E6A-8587-1BD73E58D678}"/>
    <cellStyle name="Comma 747 5" xfId="6227" xr:uid="{C3D9040D-C13E-4D8F-9FDD-2B94C5722931}"/>
    <cellStyle name="Comma 747 5 2" xfId="16579" xr:uid="{544F70F3-06C7-4C2C-A709-6FBA23164B21}"/>
    <cellStyle name="Comma 747 6" xfId="11405" xr:uid="{C110AE82-B014-481D-A0E1-104BF17DBB47}"/>
    <cellStyle name="Comma 748" xfId="988" xr:uid="{740ED02A-4B79-45E5-B928-B5E717605701}"/>
    <cellStyle name="Comma 748 2" xfId="2026" xr:uid="{C5829390-FBF5-4695-A131-444B15BBA79F}"/>
    <cellStyle name="Comma 748 2 2" xfId="4084" xr:uid="{7011CFEB-38F2-4014-8D97-EF7A20DDE6C9}"/>
    <cellStyle name="Comma 748 2 2 2" xfId="9317" xr:uid="{FF141EF1-4DFF-4EA7-8802-CC3CDA457E07}"/>
    <cellStyle name="Comma 748 2 2 2 2" xfId="19669" xr:uid="{81A8D826-28A9-48F3-ADAE-AB11A5DEAD9F}"/>
    <cellStyle name="Comma 748 2 2 3" xfId="14494" xr:uid="{995E2F14-CFFB-4F1A-93CF-06C10FF3C4A1}"/>
    <cellStyle name="Comma 748 2 3" xfId="7259" xr:uid="{01ADFC19-00E7-4146-8AC1-9F01596C791B}"/>
    <cellStyle name="Comma 748 2 3 2" xfId="17611" xr:uid="{AA9F8D03-A694-4801-A587-D25D33EC19AB}"/>
    <cellStyle name="Comma 748 2 4" xfId="12436" xr:uid="{56EF72CE-649B-4458-95E4-396C50D41E64}"/>
    <cellStyle name="Comma 748 3" xfId="3054" xr:uid="{5E8DF34B-1184-4E53-BA04-362385B67ACA}"/>
    <cellStyle name="Comma 748 3 2" xfId="8287" xr:uid="{BA5D2941-EE82-4293-8BAE-A3C2DB6C7EA9}"/>
    <cellStyle name="Comma 748 3 2 2" xfId="18639" xr:uid="{3557730F-4E88-4F9F-AD90-1A7BBD7DC7AA}"/>
    <cellStyle name="Comma 748 3 3" xfId="13464" xr:uid="{33A3E20D-EF35-4D11-BB7D-A60863817883}"/>
    <cellStyle name="Comma 748 4" xfId="5180" xr:uid="{D0AC4690-41F7-4244-811C-0B06C855DB08}"/>
    <cellStyle name="Comma 748 4 2" xfId="10356" xr:uid="{5ED5918A-6CEA-436C-92F8-A7AB812AAFEA}"/>
    <cellStyle name="Comma 748 4 2 2" xfId="20708" xr:uid="{00B5AAD0-CA27-40C8-8548-BED3B5D753FC}"/>
    <cellStyle name="Comma 748 4 3" xfId="15532" xr:uid="{8697C013-9199-4610-85D2-BC1F44075CAD}"/>
    <cellStyle name="Comma 748 5" xfId="6228" xr:uid="{9204FEE8-7AEC-4DA1-BE84-022D42209A3E}"/>
    <cellStyle name="Comma 748 5 2" xfId="16580" xr:uid="{01E48B93-84D1-4A57-A9D5-2C0AB3D4422F}"/>
    <cellStyle name="Comma 748 6" xfId="11406" xr:uid="{E07E759D-DF65-46CC-A32D-02895CDFF8B1}"/>
    <cellStyle name="Comma 749" xfId="989" xr:uid="{C8E6276A-CABE-4499-8B7C-F1B9A569293F}"/>
    <cellStyle name="Comma 749 2" xfId="2027" xr:uid="{FB019767-609A-4954-BA19-0DA755B2C78A}"/>
    <cellStyle name="Comma 749 2 2" xfId="4085" xr:uid="{CFCB5ABA-836A-4BDA-BE84-5E986D1FF3F5}"/>
    <cellStyle name="Comma 749 2 2 2" xfId="9318" xr:uid="{F895AB20-75E4-4CAA-A862-74B09CC87D16}"/>
    <cellStyle name="Comma 749 2 2 2 2" xfId="19670" xr:uid="{7B679FDC-9D71-4F8D-9C87-CF5EFD0E6E7F}"/>
    <cellStyle name="Comma 749 2 2 3" xfId="14495" xr:uid="{1A772C8B-E13A-4045-9415-7557A209BD1F}"/>
    <cellStyle name="Comma 749 2 3" xfId="7260" xr:uid="{EBE74973-B8FA-4C4F-A54D-DD960E2BA8EF}"/>
    <cellStyle name="Comma 749 2 3 2" xfId="17612" xr:uid="{071537D3-994C-4727-A232-157FFEAE37FE}"/>
    <cellStyle name="Comma 749 2 4" xfId="12437" xr:uid="{F344BB97-F7DE-4B95-93CF-A51A5FC07D59}"/>
    <cellStyle name="Comma 749 3" xfId="3055" xr:uid="{4EF94D64-BEFD-445D-8CFA-326139D828A4}"/>
    <cellStyle name="Comma 749 3 2" xfId="8288" xr:uid="{12216A86-847B-458D-909B-ACB424E6F2AA}"/>
    <cellStyle name="Comma 749 3 2 2" xfId="18640" xr:uid="{A9602E7D-B9FC-45F0-8E19-0A70D43E3142}"/>
    <cellStyle name="Comma 749 3 3" xfId="13465" xr:uid="{A654D99A-4A4B-4F98-A450-0950CC48F658}"/>
    <cellStyle name="Comma 749 4" xfId="5181" xr:uid="{A6205009-B615-4097-8D54-993D8C847E44}"/>
    <cellStyle name="Comma 749 4 2" xfId="10357" xr:uid="{984BEF69-4BC0-4624-9F1C-34F298BACB62}"/>
    <cellStyle name="Comma 749 4 2 2" xfId="20709" xr:uid="{48FA12BC-C7B9-4F4C-A45F-1CD08AD73045}"/>
    <cellStyle name="Comma 749 4 3" xfId="15533" xr:uid="{F68AA318-5B68-459A-89B7-C1409A5AB806}"/>
    <cellStyle name="Comma 749 5" xfId="6229" xr:uid="{27884485-9B0F-49EE-BA8B-BCEA67C8E806}"/>
    <cellStyle name="Comma 749 5 2" xfId="16581" xr:uid="{E4A156C2-DCE7-4ED2-9416-D9CD9E3906BB}"/>
    <cellStyle name="Comma 749 6" xfId="11407" xr:uid="{6BDA86F4-BCEE-42BE-8EDB-111461EDFD35}"/>
    <cellStyle name="Comma 75" xfId="288" xr:uid="{CFB4C1AD-322F-4062-B8B5-A657D9C95928}"/>
    <cellStyle name="Comma 75 2" xfId="1353" xr:uid="{D2B2364E-6C84-430B-8889-347DE157E11A}"/>
    <cellStyle name="Comma 75 2 2" xfId="3411" xr:uid="{920A9383-64A2-43B1-A166-FBA67DB9D9F3}"/>
    <cellStyle name="Comma 75 2 2 2" xfId="8644" xr:uid="{E4013272-322E-4243-95F3-CEE64BF2BA7B}"/>
    <cellStyle name="Comma 75 2 2 2 2" xfId="18996" xr:uid="{7CDA3C02-C8F4-43BE-A134-75E3CFC309FD}"/>
    <cellStyle name="Comma 75 2 2 3" xfId="13821" xr:uid="{AD9B7F17-F674-42BB-A3DA-CC9744561B48}"/>
    <cellStyle name="Comma 75 2 3" xfId="6586" xr:uid="{2D97206E-079C-4261-B32B-4E3AA3121AEF}"/>
    <cellStyle name="Comma 75 2 3 2" xfId="16938" xr:uid="{15560949-9CC7-46C2-86A5-CAE416B4CC45}"/>
    <cellStyle name="Comma 75 2 4" xfId="11763" xr:uid="{2E27ED71-8B8F-480B-8E49-B77409A9B043}"/>
    <cellStyle name="Comma 75 3" xfId="2381" xr:uid="{1A1A81F9-3674-4BE0-974B-72611C8CED69}"/>
    <cellStyle name="Comma 75 3 2" xfId="7614" xr:uid="{F9DCC6FF-C1CE-4064-BB89-11E333A83E1F}"/>
    <cellStyle name="Comma 75 3 2 2" xfId="17966" xr:uid="{1E62EA41-87FB-454B-9184-B865FAA773CE}"/>
    <cellStyle name="Comma 75 3 3" xfId="12791" xr:uid="{DC6F2C8D-67CF-4737-BD03-0C119BF6C50D}"/>
    <cellStyle name="Comma 75 4" xfId="4507" xr:uid="{E8605CE7-9FB7-49C4-BDB3-A46D057BBF7C}"/>
    <cellStyle name="Comma 75 4 2" xfId="9683" xr:uid="{7C874113-15BC-4D18-9C3C-0F9CCB67DE42}"/>
    <cellStyle name="Comma 75 4 2 2" xfId="20035" xr:uid="{A82E90E3-5FCB-4493-BA01-41236A08685A}"/>
    <cellStyle name="Comma 75 4 3" xfId="14859" xr:uid="{A2E122ED-1B07-4260-A0A1-D39FE0C8611B}"/>
    <cellStyle name="Comma 75 5" xfId="5555" xr:uid="{9AFE69C9-F737-44AF-A776-D2D790BA44B7}"/>
    <cellStyle name="Comma 75 5 2" xfId="15907" xr:uid="{81248E45-D85E-4054-86BA-46388D9A794D}"/>
    <cellStyle name="Comma 75 6" xfId="10733" xr:uid="{738DFCE3-10B8-4A14-BD22-FD69519DCC73}"/>
    <cellStyle name="Comma 750" xfId="990" xr:uid="{85E1522D-24CF-4420-A89E-952F4CA82A5B}"/>
    <cellStyle name="Comma 750 2" xfId="2028" xr:uid="{884E6F8E-599E-46F3-B12A-6017B0D9954C}"/>
    <cellStyle name="Comma 750 2 2" xfId="4086" xr:uid="{9A96BD89-485C-4E50-B8F1-25918F8EB6E9}"/>
    <cellStyle name="Comma 750 2 2 2" xfId="9319" xr:uid="{DFEA47B3-5F3F-477A-B9EE-BFBEC99134A1}"/>
    <cellStyle name="Comma 750 2 2 2 2" xfId="19671" xr:uid="{02B944C2-9C69-4D87-BA05-B98F8A375C8E}"/>
    <cellStyle name="Comma 750 2 2 3" xfId="14496" xr:uid="{38103030-0376-4BC9-8462-0960973CB41E}"/>
    <cellStyle name="Comma 750 2 3" xfId="7261" xr:uid="{9601086A-07BD-4BB4-A012-A841E5F1E8FF}"/>
    <cellStyle name="Comma 750 2 3 2" xfId="17613" xr:uid="{B609E159-B26C-42BA-8B4E-32DEF26A507C}"/>
    <cellStyle name="Comma 750 2 4" xfId="12438" xr:uid="{DADF8179-1A4F-4053-85F2-C06764E7DB6B}"/>
    <cellStyle name="Comma 750 3" xfId="3056" xr:uid="{41013789-A5FF-4ADE-9066-60E0E3CDA5FC}"/>
    <cellStyle name="Comma 750 3 2" xfId="8289" xr:uid="{BD30300B-FC24-46A9-B759-78A43B69E5DB}"/>
    <cellStyle name="Comma 750 3 2 2" xfId="18641" xr:uid="{8CA8DD90-8A64-46E7-BE84-F6BFDE878F0B}"/>
    <cellStyle name="Comma 750 3 3" xfId="13466" xr:uid="{992A66FA-A8BB-4057-B027-1B5FE49AE9E2}"/>
    <cellStyle name="Comma 750 4" xfId="5182" xr:uid="{5C0FDCA6-5D3F-48A9-8862-C8A59B506CB7}"/>
    <cellStyle name="Comma 750 4 2" xfId="10358" xr:uid="{3D450CF3-237C-4929-BD29-6CF3F118E607}"/>
    <cellStyle name="Comma 750 4 2 2" xfId="20710" xr:uid="{F49710B4-06D7-43E1-BE0D-44F42CC92055}"/>
    <cellStyle name="Comma 750 4 3" xfId="15534" xr:uid="{AB8D344C-8448-49A1-8DA3-59250F7B2BE3}"/>
    <cellStyle name="Comma 750 5" xfId="6230" xr:uid="{FC28B0BA-A6F6-4825-B8DF-CC6C5D2A7E4F}"/>
    <cellStyle name="Comma 750 5 2" xfId="16582" xr:uid="{865083F5-3DFC-4E08-8B27-DF8E552907CE}"/>
    <cellStyle name="Comma 750 6" xfId="11408" xr:uid="{3C1014D1-94CC-454C-A6D0-05559F747525}"/>
    <cellStyle name="Comma 751" xfId="991" xr:uid="{C54845E1-B8E5-4E06-B059-4BB617289D77}"/>
    <cellStyle name="Comma 751 2" xfId="2029" xr:uid="{9AB0BECB-EAE6-4957-8C63-6E305D410776}"/>
    <cellStyle name="Comma 751 2 2" xfId="4087" xr:uid="{D48A9CD9-1496-451A-A5D9-E2DBCEEBE544}"/>
    <cellStyle name="Comma 751 2 2 2" xfId="9320" xr:uid="{BB9111EA-B3B2-4C1F-9D31-2015884692FD}"/>
    <cellStyle name="Comma 751 2 2 2 2" xfId="19672" xr:uid="{9DA56A85-0DA6-4906-9460-225BF4A9EAAE}"/>
    <cellStyle name="Comma 751 2 2 3" xfId="14497" xr:uid="{20185EB3-84D5-4986-B2D9-13DF98F50442}"/>
    <cellStyle name="Comma 751 2 3" xfId="7262" xr:uid="{625D1223-0335-4439-B729-1E0254F2BF4C}"/>
    <cellStyle name="Comma 751 2 3 2" xfId="17614" xr:uid="{8F14D956-7F0D-456C-A40B-A73F619F25DF}"/>
    <cellStyle name="Comma 751 2 4" xfId="12439" xr:uid="{AC5FBB5F-7391-42AE-9025-0F16F70DCE71}"/>
    <cellStyle name="Comma 751 3" xfId="3057" xr:uid="{B8911A7D-FC51-40B8-B0FD-B45F3F781B55}"/>
    <cellStyle name="Comma 751 3 2" xfId="8290" xr:uid="{B93E8187-A76F-4821-A985-3C6297A7531F}"/>
    <cellStyle name="Comma 751 3 2 2" xfId="18642" xr:uid="{E9CA39D3-8F30-4DFE-9855-998BF1D0E063}"/>
    <cellStyle name="Comma 751 3 3" xfId="13467" xr:uid="{A5414C4D-1BE7-4EDB-AC1D-95CE1F69DD96}"/>
    <cellStyle name="Comma 751 4" xfId="5183" xr:uid="{DE6882E5-ED54-49E6-923E-74FA3E20BC81}"/>
    <cellStyle name="Comma 751 4 2" xfId="10359" xr:uid="{80D7CB15-231A-49A0-826E-1E9AAD8B14C1}"/>
    <cellStyle name="Comma 751 4 2 2" xfId="20711" xr:uid="{CD3E4346-8F0B-44AE-887D-80C86D128D25}"/>
    <cellStyle name="Comma 751 4 3" xfId="15535" xr:uid="{5594CF4C-C5D9-4AF6-A392-626FF29DF9C9}"/>
    <cellStyle name="Comma 751 5" xfId="6231" xr:uid="{281F4F2F-C5CD-4CCC-ADB6-42B1F9E7CCCE}"/>
    <cellStyle name="Comma 751 5 2" xfId="16583" xr:uid="{DE29AA45-58F9-4F84-8DD4-BCD6CB2F70CA}"/>
    <cellStyle name="Comma 751 6" xfId="11409" xr:uid="{D8C78E38-9723-409B-A623-5CFF848601CC}"/>
    <cellStyle name="Comma 752" xfId="992" xr:uid="{9FB34232-D606-4595-903B-CBDF640F3763}"/>
    <cellStyle name="Comma 752 2" xfId="2030" xr:uid="{E5F2E6E5-8273-405A-82A0-A1482EA04070}"/>
    <cellStyle name="Comma 752 2 2" xfId="4088" xr:uid="{7E1FEF5A-1491-45AF-B183-858C4FD919C0}"/>
    <cellStyle name="Comma 752 2 2 2" xfId="9321" xr:uid="{3F119F1D-374B-4285-AF07-27A1627B4748}"/>
    <cellStyle name="Comma 752 2 2 2 2" xfId="19673" xr:uid="{10D21E6C-2F5F-4999-926F-89884C9FC0D0}"/>
    <cellStyle name="Comma 752 2 2 3" xfId="14498" xr:uid="{3119503A-7406-4457-919A-77E0197B635F}"/>
    <cellStyle name="Comma 752 2 3" xfId="7263" xr:uid="{2DF7E583-B852-47BA-8B0E-D5AECFB1884B}"/>
    <cellStyle name="Comma 752 2 3 2" xfId="17615" xr:uid="{F14C1EE5-3AF7-4E4F-824E-A6004AC039B2}"/>
    <cellStyle name="Comma 752 2 4" xfId="12440" xr:uid="{8F9C84CF-2354-43CF-BCC7-7A72A3CF6414}"/>
    <cellStyle name="Comma 752 3" xfId="3058" xr:uid="{D5D7EFC0-49AF-4563-A69B-71A67DB05696}"/>
    <cellStyle name="Comma 752 3 2" xfId="8291" xr:uid="{5A45F9F8-1A4A-49F3-AE45-A1278872E0F3}"/>
    <cellStyle name="Comma 752 3 2 2" xfId="18643" xr:uid="{2B4ABDC4-9236-4264-87DF-222FEFD3B9B1}"/>
    <cellStyle name="Comma 752 3 3" xfId="13468" xr:uid="{B0AD9111-DCBA-47CD-8BEA-FA4CDDB02CD1}"/>
    <cellStyle name="Comma 752 4" xfId="5184" xr:uid="{AF6A14C6-C8C9-40EF-BE4D-CDF536CA99F3}"/>
    <cellStyle name="Comma 752 4 2" xfId="10360" xr:uid="{A030A157-2630-43ED-8C12-01FC04E13E53}"/>
    <cellStyle name="Comma 752 4 2 2" xfId="20712" xr:uid="{4B1CE69E-C482-477B-A1D9-E711837396F3}"/>
    <cellStyle name="Comma 752 4 3" xfId="15536" xr:uid="{A1612BA4-84BE-48DA-A1EC-CA1A65922431}"/>
    <cellStyle name="Comma 752 5" xfId="6232" xr:uid="{FE597641-D017-48FA-A484-1BDA55DEF83D}"/>
    <cellStyle name="Comma 752 5 2" xfId="16584" xr:uid="{073487F6-430B-4C4B-BB7E-A7A79B2C2888}"/>
    <cellStyle name="Comma 752 6" xfId="11410" xr:uid="{1917B92A-10E9-4CA0-943F-6E2550083B12}"/>
    <cellStyle name="Comma 753" xfId="993" xr:uid="{6CB37D44-89F6-4A29-AF28-4A453C16A0CC}"/>
    <cellStyle name="Comma 753 2" xfId="2031" xr:uid="{004BB3D9-7230-4DD9-8F57-43513AB252EF}"/>
    <cellStyle name="Comma 753 2 2" xfId="4089" xr:uid="{7C8A6936-49EA-499C-9B2E-8AB3BC3DB6BA}"/>
    <cellStyle name="Comma 753 2 2 2" xfId="9322" xr:uid="{8F567F24-B20A-4D45-B824-FCE8474ABB08}"/>
    <cellStyle name="Comma 753 2 2 2 2" xfId="19674" xr:uid="{CC3B8CBF-73C7-494E-801F-5CB1E98709A5}"/>
    <cellStyle name="Comma 753 2 2 3" xfId="14499" xr:uid="{D57D4A91-8369-4317-BAEF-87F731599A5A}"/>
    <cellStyle name="Comma 753 2 3" xfId="7264" xr:uid="{7522CA72-67E6-4361-9917-C317AEB074FF}"/>
    <cellStyle name="Comma 753 2 3 2" xfId="17616" xr:uid="{8DD86ADB-A58E-445E-9F3F-11D47F5DE83B}"/>
    <cellStyle name="Comma 753 2 4" xfId="12441" xr:uid="{421613C0-D218-4F8B-9299-18DC1EA571A9}"/>
    <cellStyle name="Comma 753 3" xfId="3059" xr:uid="{A7351CBC-8F0C-4060-AE28-D4D3AF1FF2BE}"/>
    <cellStyle name="Comma 753 3 2" xfId="8292" xr:uid="{620E2D8A-C6BF-45E3-A7E0-EF37279300A1}"/>
    <cellStyle name="Comma 753 3 2 2" xfId="18644" xr:uid="{F48F01B4-2CC2-41C3-A38F-F00C7FF753C9}"/>
    <cellStyle name="Comma 753 3 3" xfId="13469" xr:uid="{165136CA-15F7-47CB-A4AD-00DBA77C3FEB}"/>
    <cellStyle name="Comma 753 4" xfId="5185" xr:uid="{904F9A23-1B07-48BA-B457-0E27DCB305F3}"/>
    <cellStyle name="Comma 753 4 2" xfId="10361" xr:uid="{0FF652F3-83AD-4579-AF99-6032575AEABE}"/>
    <cellStyle name="Comma 753 4 2 2" xfId="20713" xr:uid="{E0B395C3-B8EA-47A5-8BA5-44441718A03A}"/>
    <cellStyle name="Comma 753 4 3" xfId="15537" xr:uid="{8B9747B7-5912-40A3-8CB6-AA50C460F5B7}"/>
    <cellStyle name="Comma 753 5" xfId="6233" xr:uid="{4F4F9C6F-DF68-46ED-B6EC-BA0034492BE3}"/>
    <cellStyle name="Comma 753 5 2" xfId="16585" xr:uid="{05B8907C-1F44-41F2-9134-5F0C6B3ED846}"/>
    <cellStyle name="Comma 753 6" xfId="11411" xr:uid="{42ED0B00-DFD5-4B92-9EEA-0C297B1D2545}"/>
    <cellStyle name="Comma 754" xfId="994" xr:uid="{E61E6E18-FF7A-45E3-8E37-5B21BF71D33E}"/>
    <cellStyle name="Comma 754 2" xfId="2032" xr:uid="{CA7D1172-8D86-46EE-BF9E-5E4D82D621BB}"/>
    <cellStyle name="Comma 754 2 2" xfId="4090" xr:uid="{56543CBC-47AA-448F-8BE2-1E087B528CF5}"/>
    <cellStyle name="Comma 754 2 2 2" xfId="9323" xr:uid="{09AA8765-3A37-4FFF-8017-DEA8D6F058EF}"/>
    <cellStyle name="Comma 754 2 2 2 2" xfId="19675" xr:uid="{740EB8BD-10CC-4A16-9941-6E37B6642112}"/>
    <cellStyle name="Comma 754 2 2 3" xfId="14500" xr:uid="{18F4B4F8-4F7F-4501-915A-3E338AADDC67}"/>
    <cellStyle name="Comma 754 2 3" xfId="7265" xr:uid="{DF65762D-B1C4-4CF4-99F7-3079A31BB5BF}"/>
    <cellStyle name="Comma 754 2 3 2" xfId="17617" xr:uid="{3054D440-DF6F-4ABD-A526-4A504FFD008B}"/>
    <cellStyle name="Comma 754 2 4" xfId="12442" xr:uid="{B15463FE-B123-4BF2-A1D3-50EC6E6F4CB1}"/>
    <cellStyle name="Comma 754 3" xfId="3060" xr:uid="{46432A26-0C81-4BCE-9AEB-F36A7F6F09A6}"/>
    <cellStyle name="Comma 754 3 2" xfId="8293" xr:uid="{F5EA4A17-B660-4EBB-B784-709182DA123B}"/>
    <cellStyle name="Comma 754 3 2 2" xfId="18645" xr:uid="{55B5ABD1-44FE-4310-A246-8E7CEC912AE9}"/>
    <cellStyle name="Comma 754 3 3" xfId="13470" xr:uid="{5403D406-0FC7-4006-B873-3EA5D594F8A2}"/>
    <cellStyle name="Comma 754 4" xfId="5186" xr:uid="{BD1DB889-1583-4F45-A4B4-76D7FF5F07D3}"/>
    <cellStyle name="Comma 754 4 2" xfId="10362" xr:uid="{A22F52AC-1092-4212-88F5-C6DAE8EF8C14}"/>
    <cellStyle name="Comma 754 4 2 2" xfId="20714" xr:uid="{4A792EDF-05C3-44EC-9F44-34164349ADF0}"/>
    <cellStyle name="Comma 754 4 3" xfId="15538" xr:uid="{E2D4A730-663E-4DE0-95DD-C00DA5413DCA}"/>
    <cellStyle name="Comma 754 5" xfId="6234" xr:uid="{6BB02D41-A2D7-4D88-A686-842AC3519F38}"/>
    <cellStyle name="Comma 754 5 2" xfId="16586" xr:uid="{41E6FDA2-1F0C-48E6-88C2-4D80E3618B2F}"/>
    <cellStyle name="Comma 754 6" xfId="11412" xr:uid="{D7771ABB-C066-4222-9B3D-134872B63315}"/>
    <cellStyle name="Comma 755" xfId="995" xr:uid="{D52A7725-7A45-4624-9C11-F2943134035F}"/>
    <cellStyle name="Comma 755 2" xfId="2033" xr:uid="{54EB9BAB-B3E9-4F43-B192-54D6701942A1}"/>
    <cellStyle name="Comma 755 2 2" xfId="4091" xr:uid="{0E347590-5945-410E-8FF2-798C1C2B0E32}"/>
    <cellStyle name="Comma 755 2 2 2" xfId="9324" xr:uid="{559D2368-E33B-478C-ACE5-5BEFD7B6BEE6}"/>
    <cellStyle name="Comma 755 2 2 2 2" xfId="19676" xr:uid="{2FB4EA65-53AE-4BC8-8B81-6021FED3475E}"/>
    <cellStyle name="Comma 755 2 2 3" xfId="14501" xr:uid="{51257CE5-B7B2-447A-ABE5-E41F3CDC5762}"/>
    <cellStyle name="Comma 755 2 3" xfId="7266" xr:uid="{3F60C9B9-AF38-4082-8A7C-4F9A6D9B413F}"/>
    <cellStyle name="Comma 755 2 3 2" xfId="17618" xr:uid="{E2B47D02-68C5-42BB-B50A-F6924F959D0C}"/>
    <cellStyle name="Comma 755 2 4" xfId="12443" xr:uid="{65868256-CFC9-4D17-9372-D08253C0E20B}"/>
    <cellStyle name="Comma 755 3" xfId="3061" xr:uid="{6833C0FB-48DE-4D65-877D-9062BA22FC78}"/>
    <cellStyle name="Comma 755 3 2" xfId="8294" xr:uid="{4D069F9A-43CD-46F3-8EC5-987B37EE6F66}"/>
    <cellStyle name="Comma 755 3 2 2" xfId="18646" xr:uid="{20C1A495-AE4A-4B22-B7D9-8375D9C8856C}"/>
    <cellStyle name="Comma 755 3 3" xfId="13471" xr:uid="{71643203-DCD4-4837-805F-949A43C31699}"/>
    <cellStyle name="Comma 755 4" xfId="5187" xr:uid="{BA09E638-E9C0-4B91-B677-52C0B32D6578}"/>
    <cellStyle name="Comma 755 4 2" xfId="10363" xr:uid="{E0D79EBA-9726-430B-B262-DF14DC093304}"/>
    <cellStyle name="Comma 755 4 2 2" xfId="20715" xr:uid="{6025F17E-AF3C-4EEA-B308-9392642B9A95}"/>
    <cellStyle name="Comma 755 4 3" xfId="15539" xr:uid="{BC34F023-2876-46E2-9E57-307ABB40FD2A}"/>
    <cellStyle name="Comma 755 5" xfId="6235" xr:uid="{D9DC7467-C43F-43D3-89CA-564D7BC41192}"/>
    <cellStyle name="Comma 755 5 2" xfId="16587" xr:uid="{45EE7140-3A30-49B8-B422-CB888ECC66B9}"/>
    <cellStyle name="Comma 755 6" xfId="11413" xr:uid="{08E5B85D-35C4-4199-AC0D-4F936C64CD66}"/>
    <cellStyle name="Comma 756" xfId="996" xr:uid="{FC397E92-8B0B-415A-A99D-032D2E1E73FE}"/>
    <cellStyle name="Comma 756 2" xfId="2034" xr:uid="{C084DCC5-2372-4CF6-87EA-88A0E86FF7AA}"/>
    <cellStyle name="Comma 756 2 2" xfId="4092" xr:uid="{4C754423-77D9-4483-9434-DD2367A9E3C5}"/>
    <cellStyle name="Comma 756 2 2 2" xfId="9325" xr:uid="{A1EBCFED-7A06-4418-A581-85E077360EA1}"/>
    <cellStyle name="Comma 756 2 2 2 2" xfId="19677" xr:uid="{03C5CDD8-DAA7-4C9E-BD58-243F581535EA}"/>
    <cellStyle name="Comma 756 2 2 3" xfId="14502" xr:uid="{73AD0C49-9C57-4601-8815-6A97E8743846}"/>
    <cellStyle name="Comma 756 2 3" xfId="7267" xr:uid="{34457D8A-E771-448F-AA44-F83C2DFAB5F2}"/>
    <cellStyle name="Comma 756 2 3 2" xfId="17619" xr:uid="{1558D9C6-1D44-4DA8-950C-7E05BD29D0D7}"/>
    <cellStyle name="Comma 756 2 4" xfId="12444" xr:uid="{EB7237EA-44BD-4EEF-8EDC-D3A07ED62B0C}"/>
    <cellStyle name="Comma 756 3" xfId="3062" xr:uid="{7B74CE19-9D7C-4451-A9D7-51AC63E6236B}"/>
    <cellStyle name="Comma 756 3 2" xfId="8295" xr:uid="{B7D212E9-73DA-4ABD-A4A8-C7BD2674C75D}"/>
    <cellStyle name="Comma 756 3 2 2" xfId="18647" xr:uid="{DEE9F991-3311-44F6-9BE7-6C6684882730}"/>
    <cellStyle name="Comma 756 3 3" xfId="13472" xr:uid="{E11CFD53-A34A-417F-82CF-933859D044C4}"/>
    <cellStyle name="Comma 756 4" xfId="5188" xr:uid="{D2795248-CEE8-4F26-A365-5F7B2AD9BB0B}"/>
    <cellStyle name="Comma 756 4 2" xfId="10364" xr:uid="{0E652A65-A426-42E3-A1E1-7FE519CC8529}"/>
    <cellStyle name="Comma 756 4 2 2" xfId="20716" xr:uid="{A89E420B-9E94-49B4-876C-B8079D40DB42}"/>
    <cellStyle name="Comma 756 4 3" xfId="15540" xr:uid="{018D264A-96AC-4BF4-98D7-5B2365061C11}"/>
    <cellStyle name="Comma 756 5" xfId="6236" xr:uid="{6774CC9A-A5F3-46BF-9DED-0CEA40922C83}"/>
    <cellStyle name="Comma 756 5 2" xfId="16588" xr:uid="{7BB5F1CB-8F08-49DD-9DF3-B876A58D87E4}"/>
    <cellStyle name="Comma 756 6" xfId="11414" xr:uid="{0EC88B81-D74F-419B-9EF8-94086AACEB60}"/>
    <cellStyle name="Comma 757" xfId="997" xr:uid="{A823B1EB-6798-4E28-A2F7-071F5DFB9D33}"/>
    <cellStyle name="Comma 757 2" xfId="2035" xr:uid="{09D69B7A-7694-46D7-A1E8-F92FD3C4116D}"/>
    <cellStyle name="Comma 757 2 2" xfId="4093" xr:uid="{30201A4A-AB3B-49A2-AC77-A71813056D49}"/>
    <cellStyle name="Comma 757 2 2 2" xfId="9326" xr:uid="{9A7E6D50-852D-4683-89EE-4E3B10A5A44E}"/>
    <cellStyle name="Comma 757 2 2 2 2" xfId="19678" xr:uid="{4C670E5D-91E0-4577-9551-53E4EEFD2CBB}"/>
    <cellStyle name="Comma 757 2 2 3" xfId="14503" xr:uid="{A3AA8066-7230-40AE-81B9-FE116DC5B85D}"/>
    <cellStyle name="Comma 757 2 3" xfId="7268" xr:uid="{5718F12E-4AD9-4559-B5C7-E03246F42DC4}"/>
    <cellStyle name="Comma 757 2 3 2" xfId="17620" xr:uid="{0BD7273B-ECA4-4092-8421-5BE002D1CF9B}"/>
    <cellStyle name="Comma 757 2 4" xfId="12445" xr:uid="{B171CAF8-3CD0-4BC9-B7D3-C1E6AF72825B}"/>
    <cellStyle name="Comma 757 3" xfId="3063" xr:uid="{F796E91A-6417-41B0-B4C0-01AA5332D777}"/>
    <cellStyle name="Comma 757 3 2" xfId="8296" xr:uid="{2F60076A-FF98-45F4-9E51-CE30C41F9B59}"/>
    <cellStyle name="Comma 757 3 2 2" xfId="18648" xr:uid="{01B8780D-0D41-4E00-91E0-28B236C51F81}"/>
    <cellStyle name="Comma 757 3 3" xfId="13473" xr:uid="{F9566377-E70E-4E94-A44E-FBAE934C4C7E}"/>
    <cellStyle name="Comma 757 4" xfId="5189" xr:uid="{D1CB296A-003E-4DA5-B98A-2AE2FD8AAB68}"/>
    <cellStyle name="Comma 757 4 2" xfId="10365" xr:uid="{2AEC5B7E-8DE2-440A-9326-B46A7DCE4B64}"/>
    <cellStyle name="Comma 757 4 2 2" xfId="20717" xr:uid="{F0DEEB33-93EE-4987-99B0-DC6371D03F24}"/>
    <cellStyle name="Comma 757 4 3" xfId="15541" xr:uid="{50788B33-7F3E-4EB8-981F-2470C69106BF}"/>
    <cellStyle name="Comma 757 5" xfId="6237" xr:uid="{EF354863-6BA5-4AF7-B29B-3131F9643BDF}"/>
    <cellStyle name="Comma 757 5 2" xfId="16589" xr:uid="{949075B8-E60F-4F4E-8DAC-7A298B51320A}"/>
    <cellStyle name="Comma 757 6" xfId="11415" xr:uid="{230B8888-A734-4D08-8D4F-014538939950}"/>
    <cellStyle name="Comma 758" xfId="998" xr:uid="{66704FEB-75BD-4578-B78C-7B45C5BCD2F8}"/>
    <cellStyle name="Comma 758 2" xfId="2036" xr:uid="{DDF514A7-61FC-4AA2-8D9C-18603831ED48}"/>
    <cellStyle name="Comma 758 2 2" xfId="4094" xr:uid="{CA5E5DFF-4745-4864-BCDA-B79B20093CC9}"/>
    <cellStyle name="Comma 758 2 2 2" xfId="9327" xr:uid="{FBDA1AB8-FFB8-44BB-B673-C3889521D847}"/>
    <cellStyle name="Comma 758 2 2 2 2" xfId="19679" xr:uid="{7FBB95BB-5D93-45C0-8B50-83C3DB8ED59A}"/>
    <cellStyle name="Comma 758 2 2 3" xfId="14504" xr:uid="{C0FEEE1D-15B9-41DF-B5E0-82BECFA10154}"/>
    <cellStyle name="Comma 758 2 3" xfId="7269" xr:uid="{6A8FC3FE-55E5-4474-BE9E-C424757887DF}"/>
    <cellStyle name="Comma 758 2 3 2" xfId="17621" xr:uid="{A3FB7E13-C8C8-4A0D-8A8C-7E7D45116D35}"/>
    <cellStyle name="Comma 758 2 4" xfId="12446" xr:uid="{16EA8628-6B41-4933-AA95-BC9038E88C7A}"/>
    <cellStyle name="Comma 758 3" xfId="3064" xr:uid="{1153CD1D-83BA-4B27-820B-3F84717FD46F}"/>
    <cellStyle name="Comma 758 3 2" xfId="8297" xr:uid="{122B8DFD-984E-4E1A-A25B-0A9F941EEC64}"/>
    <cellStyle name="Comma 758 3 2 2" xfId="18649" xr:uid="{FBACBCB4-2B06-4F24-B101-1F7D2D84BEA2}"/>
    <cellStyle name="Comma 758 3 3" xfId="13474" xr:uid="{6AAB1DFC-7D3E-4BEC-84D3-2E744E6700ED}"/>
    <cellStyle name="Comma 758 4" xfId="5190" xr:uid="{900984A8-51E7-41BA-B757-216D5BEC9B1D}"/>
    <cellStyle name="Comma 758 4 2" xfId="10366" xr:uid="{2360E3C1-9F4F-4ACE-B78D-BAC083B93FE4}"/>
    <cellStyle name="Comma 758 4 2 2" xfId="20718" xr:uid="{43594DFA-B7FC-4CD8-8482-D1FBE6E0D636}"/>
    <cellStyle name="Comma 758 4 3" xfId="15542" xr:uid="{05A5332B-699D-4C03-9C0C-B7A3FAA259C5}"/>
    <cellStyle name="Comma 758 5" xfId="6238" xr:uid="{6D737BA7-3D4B-488B-931A-E85554117ADD}"/>
    <cellStyle name="Comma 758 5 2" xfId="16590" xr:uid="{27B68028-AEE0-4E07-9F30-4690F7DE9EAA}"/>
    <cellStyle name="Comma 758 6" xfId="11416" xr:uid="{4C20C578-692D-42D7-95EB-E478F55A5840}"/>
    <cellStyle name="Comma 759" xfId="999" xr:uid="{74E281D2-236C-4A34-BD73-74149C70861A}"/>
    <cellStyle name="Comma 759 2" xfId="2037" xr:uid="{04136C2F-8CA7-447F-B285-CF46F05C734A}"/>
    <cellStyle name="Comma 759 2 2" xfId="4095" xr:uid="{15951416-2516-43E0-8878-35695E751F10}"/>
    <cellStyle name="Comma 759 2 2 2" xfId="9328" xr:uid="{60BBD00F-C422-49CF-898D-7F4AB3560F87}"/>
    <cellStyle name="Comma 759 2 2 2 2" xfId="19680" xr:uid="{998593D2-0EF7-44EE-A8DD-0EFF9B851D0E}"/>
    <cellStyle name="Comma 759 2 2 3" xfId="14505" xr:uid="{9155203B-34B4-4372-BFA6-DA841655032F}"/>
    <cellStyle name="Comma 759 2 3" xfId="7270" xr:uid="{211176B5-57CC-4648-B4CC-3EA29218668E}"/>
    <cellStyle name="Comma 759 2 3 2" xfId="17622" xr:uid="{51CD9DCD-6D7C-4425-921A-25C288E16BC3}"/>
    <cellStyle name="Comma 759 2 4" xfId="12447" xr:uid="{5B28CC48-6DED-438B-9DF2-3361689A3D77}"/>
    <cellStyle name="Comma 759 3" xfId="3065" xr:uid="{A96CC902-EC4A-4FF5-BB06-BE5F46F2B9B8}"/>
    <cellStyle name="Comma 759 3 2" xfId="8298" xr:uid="{B1F8179F-E781-42DB-B2B0-358456FB20A5}"/>
    <cellStyle name="Comma 759 3 2 2" xfId="18650" xr:uid="{58104909-7965-4624-85C6-CE8327F29F27}"/>
    <cellStyle name="Comma 759 3 3" xfId="13475" xr:uid="{1FAB3D61-31F2-414F-A446-12C7031A2BE0}"/>
    <cellStyle name="Comma 759 4" xfId="5191" xr:uid="{F84D424E-485B-4BFF-97BD-2388E1A8DDB6}"/>
    <cellStyle name="Comma 759 4 2" xfId="10367" xr:uid="{676FBC15-9A77-4A13-AAE0-354914EAADCD}"/>
    <cellStyle name="Comma 759 4 2 2" xfId="20719" xr:uid="{2DAF62B2-7666-4861-89ED-7580B7E80515}"/>
    <cellStyle name="Comma 759 4 3" xfId="15543" xr:uid="{31E3F714-F904-4D2E-AEFC-0887D423EC66}"/>
    <cellStyle name="Comma 759 5" xfId="6239" xr:uid="{4FFAB3F5-C61F-4630-ACFF-318E2FAB61AD}"/>
    <cellStyle name="Comma 759 5 2" xfId="16591" xr:uid="{137DA661-553C-4039-9267-251609EB97B6}"/>
    <cellStyle name="Comma 759 6" xfId="11417" xr:uid="{5F6B96F2-A24B-4B20-A206-BCA8C546AE63}"/>
    <cellStyle name="Comma 76" xfId="289" xr:uid="{7DC4BEB5-651B-4F0B-970C-A062761D13EF}"/>
    <cellStyle name="Comma 76 2" xfId="1354" xr:uid="{13447B68-7C2D-49DF-BB1A-2856E2EABDE7}"/>
    <cellStyle name="Comma 76 2 2" xfId="3412" xr:uid="{1A290B6F-2C00-450D-8198-355E560733B7}"/>
    <cellStyle name="Comma 76 2 2 2" xfId="8645" xr:uid="{6D60D9EF-C13F-4EA7-9516-4AC5D4CE5C97}"/>
    <cellStyle name="Comma 76 2 2 2 2" xfId="18997" xr:uid="{418D30E8-499D-499F-871E-7518E3AFFAF0}"/>
    <cellStyle name="Comma 76 2 2 3" xfId="13822" xr:uid="{EE754519-511C-4C08-9AA2-2584C23614F6}"/>
    <cellStyle name="Comma 76 2 3" xfId="6587" xr:uid="{EF1E55C2-7077-4D0F-A82C-91634A1C9E9B}"/>
    <cellStyle name="Comma 76 2 3 2" xfId="16939" xr:uid="{37B8A4FD-00D1-4406-A961-1D1F5F4D6CB2}"/>
    <cellStyle name="Comma 76 2 4" xfId="11764" xr:uid="{3566FFA4-0176-4A89-91DA-A58C89430A33}"/>
    <cellStyle name="Comma 76 3" xfId="2382" xr:uid="{4E2E0F32-B8DE-415D-A8AC-C3777B3A046C}"/>
    <cellStyle name="Comma 76 3 2" xfId="7615" xr:uid="{741545D7-197B-4220-BA4B-0489EDB8E018}"/>
    <cellStyle name="Comma 76 3 2 2" xfId="17967" xr:uid="{73FFD829-624C-4D31-B5D9-5E243599F52F}"/>
    <cellStyle name="Comma 76 3 3" xfId="12792" xr:uid="{2C77D90D-4E4B-410A-B17A-4D74D5F30BAC}"/>
    <cellStyle name="Comma 76 4" xfId="4508" xr:uid="{32900EAF-8BDC-42FC-AB7E-9DFDB9266434}"/>
    <cellStyle name="Comma 76 4 2" xfId="9684" xr:uid="{B232B371-5EFB-4938-82BD-4374C248A996}"/>
    <cellStyle name="Comma 76 4 2 2" xfId="20036" xr:uid="{DF9906C7-9A3D-4C4F-B8AE-042BD9FB1929}"/>
    <cellStyle name="Comma 76 4 3" xfId="14860" xr:uid="{B8023482-EE05-4DE7-92E7-CB22CB61C6A5}"/>
    <cellStyle name="Comma 76 5" xfId="5556" xr:uid="{39EFC217-E6B2-45E2-B3DB-218EA96E693D}"/>
    <cellStyle name="Comma 76 5 2" xfId="15908" xr:uid="{CB46F112-30B9-4671-9580-C3EBE2BF12FD}"/>
    <cellStyle name="Comma 76 6" xfId="10734" xr:uid="{9354190F-DCAC-4048-89D4-565C7F809771}"/>
    <cellStyle name="Comma 760" xfId="1000" xr:uid="{80C7D3FE-4F90-485F-BB5A-730DB50C559B}"/>
    <cellStyle name="Comma 760 2" xfId="2038" xr:uid="{23B2FB40-F798-401B-8B29-BFD7E303C2C5}"/>
    <cellStyle name="Comma 760 2 2" xfId="4096" xr:uid="{40F687D6-640F-4C02-B463-F0EA131462AC}"/>
    <cellStyle name="Comma 760 2 2 2" xfId="9329" xr:uid="{263033AB-6E54-4607-A06C-C42BA42F1919}"/>
    <cellStyle name="Comma 760 2 2 2 2" xfId="19681" xr:uid="{E25ABBD6-3E18-4F7B-B639-D751BB47A11F}"/>
    <cellStyle name="Comma 760 2 2 3" xfId="14506" xr:uid="{C56E1D23-5575-454B-AA12-954FE3C54ECD}"/>
    <cellStyle name="Comma 760 2 3" xfId="7271" xr:uid="{6BAB3106-1DA6-41D5-AC93-2A9655A9F349}"/>
    <cellStyle name="Comma 760 2 3 2" xfId="17623" xr:uid="{07CBEFC3-E23B-4EF7-9B3B-A7DE2030A775}"/>
    <cellStyle name="Comma 760 2 4" xfId="12448" xr:uid="{4FE44BAF-04C9-47BC-9C21-9D4A37B6F6B9}"/>
    <cellStyle name="Comma 760 3" xfId="3066" xr:uid="{5B3CD299-5C4A-4E61-A160-F8166F0509A4}"/>
    <cellStyle name="Comma 760 3 2" xfId="8299" xr:uid="{3488297C-3519-4E50-97D4-E52A33961C05}"/>
    <cellStyle name="Comma 760 3 2 2" xfId="18651" xr:uid="{3C095EA4-30AA-447A-AA0D-92B395CFD14F}"/>
    <cellStyle name="Comma 760 3 3" xfId="13476" xr:uid="{60EC841E-DD72-4D28-9CB0-03F6BF5C2C74}"/>
    <cellStyle name="Comma 760 4" xfId="5192" xr:uid="{C88E970A-D710-4551-A828-829EB3E8C520}"/>
    <cellStyle name="Comma 760 4 2" xfId="10368" xr:uid="{B2544386-30E2-4E13-B15A-D5B9EDABA441}"/>
    <cellStyle name="Comma 760 4 2 2" xfId="20720" xr:uid="{66E0D38B-E1A6-42D5-9A12-2861C37B39AC}"/>
    <cellStyle name="Comma 760 4 3" xfId="15544" xr:uid="{ADC9BFF0-538A-4CBE-A159-21BB4128E7FF}"/>
    <cellStyle name="Comma 760 5" xfId="6240" xr:uid="{620B5E6A-72BE-4D93-8FF5-77B4BE4511A3}"/>
    <cellStyle name="Comma 760 5 2" xfId="16592" xr:uid="{F95ACA63-3EDB-4A76-AAD6-23BE351005BA}"/>
    <cellStyle name="Comma 760 6" xfId="11418" xr:uid="{1C44EDDF-BD62-4859-9C20-62817E1F4DEE}"/>
    <cellStyle name="Comma 761" xfId="1001" xr:uid="{3F091C6B-5E87-4791-A885-97DC3FE2E150}"/>
    <cellStyle name="Comma 761 2" xfId="2039" xr:uid="{2B412FEA-6B1A-4995-9B62-8F8AA3B5F0B0}"/>
    <cellStyle name="Comma 761 2 2" xfId="4097" xr:uid="{FD6FEA32-5320-48A5-B312-792A4BB79DAE}"/>
    <cellStyle name="Comma 761 2 2 2" xfId="9330" xr:uid="{EEFA8672-5B06-4ADA-995B-3694555FC971}"/>
    <cellStyle name="Comma 761 2 2 2 2" xfId="19682" xr:uid="{3833F59B-DEE8-4454-8411-E39036F5C413}"/>
    <cellStyle name="Comma 761 2 2 3" xfId="14507" xr:uid="{55D7FE2C-6BD3-4E2C-8585-C4FDAF8A2EA1}"/>
    <cellStyle name="Comma 761 2 3" xfId="7272" xr:uid="{A15CF788-8E0A-4E0A-9428-201C9F8F8D22}"/>
    <cellStyle name="Comma 761 2 3 2" xfId="17624" xr:uid="{8B61083C-672B-4E94-AF6D-7CFA89D46B69}"/>
    <cellStyle name="Comma 761 2 4" xfId="12449" xr:uid="{822BA8FD-A3F0-482F-867E-554EB4B828D7}"/>
    <cellStyle name="Comma 761 3" xfId="3067" xr:uid="{6E347450-B660-42F7-A42E-6E10C02E67BA}"/>
    <cellStyle name="Comma 761 3 2" xfId="8300" xr:uid="{ADE9B552-167A-499C-9004-18C621C7D74D}"/>
    <cellStyle name="Comma 761 3 2 2" xfId="18652" xr:uid="{D3EF1CE6-9AAF-4BFE-97E6-48DF70F2CEC0}"/>
    <cellStyle name="Comma 761 3 3" xfId="13477" xr:uid="{A30FB281-0239-460B-86EE-263F0E0042A3}"/>
    <cellStyle name="Comma 761 4" xfId="5193" xr:uid="{D309DBE0-9BA5-4259-AF2D-E8BDC95F6789}"/>
    <cellStyle name="Comma 761 4 2" xfId="10369" xr:uid="{6B74DBEF-64CD-4FA0-B109-78A364AAEDF8}"/>
    <cellStyle name="Comma 761 4 2 2" xfId="20721" xr:uid="{FE4E8CA3-BE09-4856-B81B-9961D646F83A}"/>
    <cellStyle name="Comma 761 4 3" xfId="15545" xr:uid="{1DE76614-14AC-4A41-A856-2CC1B3E68DB5}"/>
    <cellStyle name="Comma 761 5" xfId="6241" xr:uid="{2DAAC17F-9262-40EE-9DFA-53452CB77160}"/>
    <cellStyle name="Comma 761 5 2" xfId="16593" xr:uid="{5A07347F-9476-4172-AF4C-08FF9A59B571}"/>
    <cellStyle name="Comma 761 6" xfId="11419" xr:uid="{C805D79C-994A-4B82-B55E-A3AFC401E900}"/>
    <cellStyle name="Comma 762" xfId="1002" xr:uid="{A0B42FF0-F426-4482-A6B2-0818ED3A1AE7}"/>
    <cellStyle name="Comma 762 2" xfId="2040" xr:uid="{DEC85766-436E-46C8-973C-A131EB826C1D}"/>
    <cellStyle name="Comma 762 2 2" xfId="4098" xr:uid="{406C9B14-AE49-490A-9871-17FFA081B0C2}"/>
    <cellStyle name="Comma 762 2 2 2" xfId="9331" xr:uid="{DA5CD104-9DE1-40AF-9AF4-1E400B35538B}"/>
    <cellStyle name="Comma 762 2 2 2 2" xfId="19683" xr:uid="{48A901E9-AF86-4C87-938B-A24EFD131FC5}"/>
    <cellStyle name="Comma 762 2 2 3" xfId="14508" xr:uid="{C2C3866F-DF00-4DAD-A42C-72D7E90BEFEC}"/>
    <cellStyle name="Comma 762 2 3" xfId="7273" xr:uid="{F03BB1B2-AA1E-4BCF-BA0E-73FF91B4AFB3}"/>
    <cellStyle name="Comma 762 2 3 2" xfId="17625" xr:uid="{4664C874-470F-4229-99D5-B72B90071544}"/>
    <cellStyle name="Comma 762 2 4" xfId="12450" xr:uid="{D7427B80-1666-4781-9281-CA4882C57E68}"/>
    <cellStyle name="Comma 762 3" xfId="3068" xr:uid="{E23BD4C8-F529-41F3-A5F5-5BFACA908935}"/>
    <cellStyle name="Comma 762 3 2" xfId="8301" xr:uid="{097AE928-9C91-4F6B-8AE2-D576689A7EB1}"/>
    <cellStyle name="Comma 762 3 2 2" xfId="18653" xr:uid="{1D671E28-A433-43D5-9D69-C6FF7A070C85}"/>
    <cellStyle name="Comma 762 3 3" xfId="13478" xr:uid="{7A025DA5-3CEB-45CF-B917-C1D0928845E6}"/>
    <cellStyle name="Comma 762 4" xfId="5194" xr:uid="{1164DC48-9C05-4030-9827-E85FB1F5AB27}"/>
    <cellStyle name="Comma 762 4 2" xfId="10370" xr:uid="{91182A8E-A91C-4A4E-A8BD-7C830FBC5D48}"/>
    <cellStyle name="Comma 762 4 2 2" xfId="20722" xr:uid="{C61BB2B2-7589-4293-8269-65AE502514DD}"/>
    <cellStyle name="Comma 762 4 3" xfId="15546" xr:uid="{DA774FDB-9F74-4520-AB33-8FDC0D622EB8}"/>
    <cellStyle name="Comma 762 5" xfId="6242" xr:uid="{FFE57382-8BB2-4ECF-94C4-DE38D3E29D39}"/>
    <cellStyle name="Comma 762 5 2" xfId="16594" xr:uid="{9321EC59-1891-42C6-9F48-21A5063F1C0B}"/>
    <cellStyle name="Comma 762 6" xfId="11420" xr:uid="{17771CD9-35F4-42AD-BCA8-6E9369D5784A}"/>
    <cellStyle name="Comma 763" xfId="1003" xr:uid="{D2C9B864-7FB6-4FC2-94BF-D3A8593B2D08}"/>
    <cellStyle name="Comma 763 2" xfId="2041" xr:uid="{D559BE2B-6488-4454-BB18-AECF3D0DC24D}"/>
    <cellStyle name="Comma 763 2 2" xfId="4099" xr:uid="{A1C8E203-50D8-4668-B9A8-400656B9C4EE}"/>
    <cellStyle name="Comma 763 2 2 2" xfId="9332" xr:uid="{85001B0C-780D-4ECC-BDD1-CFDBD305CA84}"/>
    <cellStyle name="Comma 763 2 2 2 2" xfId="19684" xr:uid="{FE38EC50-A1DD-4781-BBDC-4F34C7D42BC1}"/>
    <cellStyle name="Comma 763 2 2 3" xfId="14509" xr:uid="{1F5DD3D9-038E-421E-968E-C6F3C9B69499}"/>
    <cellStyle name="Comma 763 2 3" xfId="7274" xr:uid="{20AB403A-DFEF-43C2-87CE-5399B8AB6987}"/>
    <cellStyle name="Comma 763 2 3 2" xfId="17626" xr:uid="{58EE463E-B7A9-4869-A1E2-1AC679FCCC9C}"/>
    <cellStyle name="Comma 763 2 4" xfId="12451" xr:uid="{0C1C7F1A-8808-4CB0-8DF0-93A2D74B92E0}"/>
    <cellStyle name="Comma 763 3" xfId="3069" xr:uid="{817A4858-A10D-4A7C-8A72-F48DE1F0A98D}"/>
    <cellStyle name="Comma 763 3 2" xfId="8302" xr:uid="{5EDA38A7-05FD-4B83-AB65-B25ADE1D4DD3}"/>
    <cellStyle name="Comma 763 3 2 2" xfId="18654" xr:uid="{749A2B60-102B-4C76-B9D0-FCA8D9C7557F}"/>
    <cellStyle name="Comma 763 3 3" xfId="13479" xr:uid="{646FE37F-FB32-42D8-85AC-C3EF3CAFED5F}"/>
    <cellStyle name="Comma 763 4" xfId="5195" xr:uid="{DD77B5F1-6734-4BF1-8BB2-0166839A326C}"/>
    <cellStyle name="Comma 763 4 2" xfId="10371" xr:uid="{BE8344E7-625B-4292-8BBF-97F031D779E2}"/>
    <cellStyle name="Comma 763 4 2 2" xfId="20723" xr:uid="{DE1DC2B3-05F2-4BF3-89D0-508E399C5DF3}"/>
    <cellStyle name="Comma 763 4 3" xfId="15547" xr:uid="{5DB183F6-792B-4437-A185-FE0D7A59D870}"/>
    <cellStyle name="Comma 763 5" xfId="6243" xr:uid="{9E2B4EAB-9424-4ABD-9974-2940C1A2ECFE}"/>
    <cellStyle name="Comma 763 5 2" xfId="16595" xr:uid="{ED77A942-76D9-4AF5-A7DA-47FABE8C4860}"/>
    <cellStyle name="Comma 763 6" xfId="11421" xr:uid="{DB1386EE-F94B-4B73-9C86-DEF016259ABE}"/>
    <cellStyle name="Comma 764" xfId="1004" xr:uid="{2B4BFB05-4A01-4682-8BBF-7A94723B264B}"/>
    <cellStyle name="Comma 764 2" xfId="2042" xr:uid="{7165B608-348C-41DA-87B7-F4C9CC6369D9}"/>
    <cellStyle name="Comma 764 2 2" xfId="4100" xr:uid="{37AB8FE0-997C-49A1-BEFD-86C84967D81D}"/>
    <cellStyle name="Comma 764 2 2 2" xfId="9333" xr:uid="{37050CCC-4E97-4CC2-B5D9-4EE621EAF283}"/>
    <cellStyle name="Comma 764 2 2 2 2" xfId="19685" xr:uid="{FB7BAF36-CA4A-469C-AC79-161095DFEAD9}"/>
    <cellStyle name="Comma 764 2 2 3" xfId="14510" xr:uid="{A4411F6C-45D8-4A69-AFB4-F281AFDE013F}"/>
    <cellStyle name="Comma 764 2 3" xfId="7275" xr:uid="{80C0A4EB-4CE6-4E28-88E5-E43F93698074}"/>
    <cellStyle name="Comma 764 2 3 2" xfId="17627" xr:uid="{B698094D-6E59-4F1E-BC6F-CD78C062FCC0}"/>
    <cellStyle name="Comma 764 2 4" xfId="12452" xr:uid="{C5A84305-46D3-489E-BF68-EFBDA75CE60B}"/>
    <cellStyle name="Comma 764 3" xfId="3070" xr:uid="{255375D3-BFC7-43D7-8A03-0FF15602E10A}"/>
    <cellStyle name="Comma 764 3 2" xfId="8303" xr:uid="{0D7BCB72-EB03-4A02-9DCC-84DD388D2AA2}"/>
    <cellStyle name="Comma 764 3 2 2" xfId="18655" xr:uid="{D7995051-9164-4AE4-BB79-DCD2E4B4D064}"/>
    <cellStyle name="Comma 764 3 3" xfId="13480" xr:uid="{62BF9C7B-1387-4920-BA0B-77AC587F239D}"/>
    <cellStyle name="Comma 764 4" xfId="5196" xr:uid="{38FF5CC6-9AF3-49C2-9E0C-875C5F46D4D9}"/>
    <cellStyle name="Comma 764 4 2" xfId="10372" xr:uid="{2C835B81-F53B-4441-8D8B-32EA9CAE3F6A}"/>
    <cellStyle name="Comma 764 4 2 2" xfId="20724" xr:uid="{5C05F3E8-DD6C-4794-A388-8B3C9F0FF09E}"/>
    <cellStyle name="Comma 764 4 3" xfId="15548" xr:uid="{37058F5A-3CDD-44DA-A03D-49102729F663}"/>
    <cellStyle name="Comma 764 5" xfId="6244" xr:uid="{4942DEB6-B81E-4858-AF6D-797F007EB23F}"/>
    <cellStyle name="Comma 764 5 2" xfId="16596" xr:uid="{E05C0AC2-DAD6-459B-A594-BB116019E9FE}"/>
    <cellStyle name="Comma 764 6" xfId="11422" xr:uid="{139EA896-3C8A-42BD-9D2D-AD6F70989776}"/>
    <cellStyle name="Comma 765" xfId="1005" xr:uid="{8D5CCCDE-3E2D-465E-BA32-7A908D8D90C1}"/>
    <cellStyle name="Comma 765 2" xfId="2043" xr:uid="{0BFF451B-6B71-4925-A506-FA6EB3B8388A}"/>
    <cellStyle name="Comma 765 2 2" xfId="4101" xr:uid="{991BA38A-DE73-4A46-AD8F-F1D8B4B94E7D}"/>
    <cellStyle name="Comma 765 2 2 2" xfId="9334" xr:uid="{BB1635A3-C8D8-4B2F-9668-874FE240D40D}"/>
    <cellStyle name="Comma 765 2 2 2 2" xfId="19686" xr:uid="{812E3F6F-44CC-4904-B024-B585661AF057}"/>
    <cellStyle name="Comma 765 2 2 3" xfId="14511" xr:uid="{CACFA96D-74E0-4B10-9870-9740EA32888E}"/>
    <cellStyle name="Comma 765 2 3" xfId="7276" xr:uid="{2C6379D6-4993-4172-9606-458400C1D545}"/>
    <cellStyle name="Comma 765 2 3 2" xfId="17628" xr:uid="{A8E3C02A-DAFA-44D6-ACC9-653D60AE089C}"/>
    <cellStyle name="Comma 765 2 4" xfId="12453" xr:uid="{DF3E7B8E-AFBB-4390-9E2F-9349C74ECA2C}"/>
    <cellStyle name="Comma 765 3" xfId="3071" xr:uid="{51D3D6E8-C7B6-4A96-B195-F1BBD0258108}"/>
    <cellStyle name="Comma 765 3 2" xfId="8304" xr:uid="{A722957C-284A-4E02-AB35-04A47658DC9C}"/>
    <cellStyle name="Comma 765 3 2 2" xfId="18656" xr:uid="{A2307B92-D2D1-4C23-A913-3603137332CF}"/>
    <cellStyle name="Comma 765 3 3" xfId="13481" xr:uid="{E70588CD-9CC0-43E9-97A1-3960F073082A}"/>
    <cellStyle name="Comma 765 4" xfId="5197" xr:uid="{D54B9D77-4AA1-45E2-AAD5-7D117D143AAD}"/>
    <cellStyle name="Comma 765 4 2" xfId="10373" xr:uid="{F5D5B92E-888C-40BE-AEE9-AE8D3633670F}"/>
    <cellStyle name="Comma 765 4 2 2" xfId="20725" xr:uid="{EEF6CF88-F01C-45DF-9901-AFAF37FF8128}"/>
    <cellStyle name="Comma 765 4 3" xfId="15549" xr:uid="{915577BD-5C17-4F0B-8A25-82D95EC96D62}"/>
    <cellStyle name="Comma 765 5" xfId="6245" xr:uid="{070236F0-AFDD-43B5-9D82-35FD4AC1ADF7}"/>
    <cellStyle name="Comma 765 5 2" xfId="16597" xr:uid="{A4920638-ED68-4E37-8785-89013ACAAE07}"/>
    <cellStyle name="Comma 765 6" xfId="11423" xr:uid="{3E31A7B8-96F3-4373-AE1F-07CA3AC7312D}"/>
    <cellStyle name="Comma 766" xfId="1006" xr:uid="{8CE88248-11C1-454D-9FDE-F1C32A4FA1CD}"/>
    <cellStyle name="Comma 766 2" xfId="2044" xr:uid="{34040A0E-AA35-4D15-90E0-9FC1971EC651}"/>
    <cellStyle name="Comma 766 2 2" xfId="4102" xr:uid="{A51B2530-E39F-451F-BD16-DDA974258F5D}"/>
    <cellStyle name="Comma 766 2 2 2" xfId="9335" xr:uid="{E9759B1E-5477-494A-91B8-7C2744BAC157}"/>
    <cellStyle name="Comma 766 2 2 2 2" xfId="19687" xr:uid="{DCF1736A-5E69-4280-B56C-0BE4406E0699}"/>
    <cellStyle name="Comma 766 2 2 3" xfId="14512" xr:uid="{CC76964C-5851-455B-9039-3C6CCA5F0D15}"/>
    <cellStyle name="Comma 766 2 3" xfId="7277" xr:uid="{CEDB5D7F-F618-47D7-AB6D-B2F5BDFFA9D8}"/>
    <cellStyle name="Comma 766 2 3 2" xfId="17629" xr:uid="{2164B8A6-B0B9-48BA-AECA-9ADC7E8F7BF3}"/>
    <cellStyle name="Comma 766 2 4" xfId="12454" xr:uid="{86C8A245-3AC3-444D-A27A-DF7E5F3937C7}"/>
    <cellStyle name="Comma 766 3" xfId="3072" xr:uid="{FF0FE157-FF82-46D6-91BE-7E6B69CB9D74}"/>
    <cellStyle name="Comma 766 3 2" xfId="8305" xr:uid="{D8375956-3325-421A-B4D9-812BFAA6DC03}"/>
    <cellStyle name="Comma 766 3 2 2" xfId="18657" xr:uid="{C358CC64-DEA7-4624-B301-78E2B5A78C69}"/>
    <cellStyle name="Comma 766 3 3" xfId="13482" xr:uid="{32368ADA-396C-4DC5-80C8-91D67764F35B}"/>
    <cellStyle name="Comma 766 4" xfId="5198" xr:uid="{4E18B723-3D6F-4A81-BEB2-BBE04C691EFE}"/>
    <cellStyle name="Comma 766 4 2" xfId="10374" xr:uid="{BCDE3A09-6A46-4E7F-AD5D-79E0C959E461}"/>
    <cellStyle name="Comma 766 4 2 2" xfId="20726" xr:uid="{248FBC94-2215-4795-BD35-65BB5F8CD070}"/>
    <cellStyle name="Comma 766 4 3" xfId="15550" xr:uid="{130F53C3-DBC8-4AF1-B8AE-8083B28E2E62}"/>
    <cellStyle name="Comma 766 5" xfId="6246" xr:uid="{4CDD83A7-D659-4ECD-AFD5-12B49057D08C}"/>
    <cellStyle name="Comma 766 5 2" xfId="16598" xr:uid="{F50BCEE7-4730-4812-9541-858E83FDDCF9}"/>
    <cellStyle name="Comma 766 6" xfId="11424" xr:uid="{AE8F25AD-390A-4F6C-9EBE-B30278A12985}"/>
    <cellStyle name="Comma 767" xfId="1007" xr:uid="{8BE006D4-3A14-414E-B000-C050B90E2AB9}"/>
    <cellStyle name="Comma 767 2" xfId="2045" xr:uid="{A2EDE219-FE64-4ED7-B4E6-8D0228CD2C21}"/>
    <cellStyle name="Comma 767 2 2" xfId="4103" xr:uid="{2155CB14-052B-47B6-A877-1490F8D35A6D}"/>
    <cellStyle name="Comma 767 2 2 2" xfId="9336" xr:uid="{4FB9D9D7-ED8E-4A0A-9187-EA9420F083C5}"/>
    <cellStyle name="Comma 767 2 2 2 2" xfId="19688" xr:uid="{49AAB48A-E156-4D66-AF92-8C56DE0A71B6}"/>
    <cellStyle name="Comma 767 2 2 3" xfId="14513" xr:uid="{C11A38C0-D4D0-4CC4-B683-F322334432FB}"/>
    <cellStyle name="Comma 767 2 3" xfId="7278" xr:uid="{BDBC7DC4-207E-414D-8D32-44CD46569F88}"/>
    <cellStyle name="Comma 767 2 3 2" xfId="17630" xr:uid="{A1899616-6A4B-4FEB-8734-0A4ADB61D9B1}"/>
    <cellStyle name="Comma 767 2 4" xfId="12455" xr:uid="{139344E5-6079-429E-BBBD-0778408299B5}"/>
    <cellStyle name="Comma 767 3" xfId="3073" xr:uid="{180346F9-D783-43DF-B10C-7C424B345EDB}"/>
    <cellStyle name="Comma 767 3 2" xfId="8306" xr:uid="{E7CBA544-1498-416D-9ABD-F4E465CC3E43}"/>
    <cellStyle name="Comma 767 3 2 2" xfId="18658" xr:uid="{1257E32F-8202-4B4D-AA0A-B8979D5CFA43}"/>
    <cellStyle name="Comma 767 3 3" xfId="13483" xr:uid="{3172A80F-CF5F-4298-9DBC-1B6A25DFEA02}"/>
    <cellStyle name="Comma 767 4" xfId="5199" xr:uid="{803F97B4-096A-45A0-91F0-C20C1A81D676}"/>
    <cellStyle name="Comma 767 4 2" xfId="10375" xr:uid="{83DA03A6-B717-4275-8A7F-F51439BF460D}"/>
    <cellStyle name="Comma 767 4 2 2" xfId="20727" xr:uid="{0E08890C-82A1-409D-A89B-7B2054E92A3D}"/>
    <cellStyle name="Comma 767 4 3" xfId="15551" xr:uid="{9252516B-D849-4CBE-B76B-338D4F639F8D}"/>
    <cellStyle name="Comma 767 5" xfId="6247" xr:uid="{63DCE7B4-C9FF-424A-ABD9-C10B995A9D8E}"/>
    <cellStyle name="Comma 767 5 2" xfId="16599" xr:uid="{F0DBB339-9268-438A-AAB1-3591E50CB060}"/>
    <cellStyle name="Comma 767 6" xfId="11425" xr:uid="{5D2EF261-CCCE-4A4E-A6D8-80FE340B7803}"/>
    <cellStyle name="Comma 768" xfId="1008" xr:uid="{0E91708D-3B5F-47B0-872F-1279C431EDFC}"/>
    <cellStyle name="Comma 768 2" xfId="2046" xr:uid="{4B9D870F-8E78-4E15-8A4F-022927054F61}"/>
    <cellStyle name="Comma 768 2 2" xfId="4104" xr:uid="{F39E5F40-B66E-472D-833B-B07E4020271A}"/>
    <cellStyle name="Comma 768 2 2 2" xfId="9337" xr:uid="{4019EBBC-C7B1-4E30-820D-CE6E8193E56E}"/>
    <cellStyle name="Comma 768 2 2 2 2" xfId="19689" xr:uid="{D9F11356-2F78-4BDF-B0EC-458B9AB8DA5B}"/>
    <cellStyle name="Comma 768 2 2 3" xfId="14514" xr:uid="{F68BECC5-F625-442E-AB8E-4530F496D90A}"/>
    <cellStyle name="Comma 768 2 3" xfId="7279" xr:uid="{9A2BF00D-51DE-4996-8C42-412AD43EC3AD}"/>
    <cellStyle name="Comma 768 2 3 2" xfId="17631" xr:uid="{AFB8086D-05B1-4831-B843-50FAB706A136}"/>
    <cellStyle name="Comma 768 2 4" xfId="12456" xr:uid="{85D6ACB3-8693-44FA-9D63-DFEA31D6E950}"/>
    <cellStyle name="Comma 768 3" xfId="3074" xr:uid="{015B4414-170F-4DD2-B3B6-7E4A6937E233}"/>
    <cellStyle name="Comma 768 3 2" xfId="8307" xr:uid="{C0358461-6F13-402A-AF4E-69242553469B}"/>
    <cellStyle name="Comma 768 3 2 2" xfId="18659" xr:uid="{CC32D75E-0DBD-4E46-8B43-5A87B8ADF31D}"/>
    <cellStyle name="Comma 768 3 3" xfId="13484" xr:uid="{EA708A7B-8163-441D-B41F-00CBC7E57F0C}"/>
    <cellStyle name="Comma 768 4" xfId="5200" xr:uid="{E0BF3BCA-CDF0-415C-92DE-BBD36B355BB1}"/>
    <cellStyle name="Comma 768 4 2" xfId="10376" xr:uid="{CE086157-C782-4242-87C4-900BA6C43882}"/>
    <cellStyle name="Comma 768 4 2 2" xfId="20728" xr:uid="{ED6BBE29-2668-4A26-8F24-479B129CE1C3}"/>
    <cellStyle name="Comma 768 4 3" xfId="15552" xr:uid="{029388E5-A89C-44AA-BE42-6BE9FB2CFE00}"/>
    <cellStyle name="Comma 768 5" xfId="6248" xr:uid="{E6C415BC-5F80-415B-A1DA-F82C4A37245B}"/>
    <cellStyle name="Comma 768 5 2" xfId="16600" xr:uid="{6D52E95E-5233-4FE6-9E9C-8BB9F140FFE5}"/>
    <cellStyle name="Comma 768 6" xfId="11426" xr:uid="{9D1C39F8-8D6D-41F3-9520-A8C9012F3F85}"/>
    <cellStyle name="Comma 769" xfId="1009" xr:uid="{C5B90C9F-39B2-4FE6-95C8-D6A68D48325A}"/>
    <cellStyle name="Comma 769 2" xfId="2047" xr:uid="{253E09E4-C40E-41D3-998D-020F3085AA67}"/>
    <cellStyle name="Comma 769 2 2" xfId="4105" xr:uid="{4FA8B453-6934-475D-A174-7B6859530E83}"/>
    <cellStyle name="Comma 769 2 2 2" xfId="9338" xr:uid="{F2D5F84C-A5CA-4481-84D0-9997D65F61C9}"/>
    <cellStyle name="Comma 769 2 2 2 2" xfId="19690" xr:uid="{CE54ECA1-A680-4495-9715-FB29A26E03F6}"/>
    <cellStyle name="Comma 769 2 2 3" xfId="14515" xr:uid="{6BD98D8F-6E2B-4E59-8CB7-35CCF034C379}"/>
    <cellStyle name="Comma 769 2 3" xfId="7280" xr:uid="{BC908AD8-5E73-41A0-A031-F48D869F7147}"/>
    <cellStyle name="Comma 769 2 3 2" xfId="17632" xr:uid="{D91EB4ED-67A2-4696-8313-768CE2AF74F1}"/>
    <cellStyle name="Comma 769 2 4" xfId="12457" xr:uid="{78BAF7E9-9805-4093-BCBB-8E8B95F7CCCA}"/>
    <cellStyle name="Comma 769 3" xfId="3075" xr:uid="{B233FBD3-FBCD-4806-B1A9-CCCAB5E4748C}"/>
    <cellStyle name="Comma 769 3 2" xfId="8308" xr:uid="{C064EC6C-0A07-4E91-9C1D-65D005E1C252}"/>
    <cellStyle name="Comma 769 3 2 2" xfId="18660" xr:uid="{6E1336A3-AE97-4290-B30B-42D6DECCAF5A}"/>
    <cellStyle name="Comma 769 3 3" xfId="13485" xr:uid="{AA579C8C-7329-46D4-B92B-D63C36E6B066}"/>
    <cellStyle name="Comma 769 4" xfId="5201" xr:uid="{14C4BC31-601F-41F6-86DB-E69A75DB7067}"/>
    <cellStyle name="Comma 769 4 2" xfId="10377" xr:uid="{D36944C2-1DA7-4EB8-AE7A-2DB464E83885}"/>
    <cellStyle name="Comma 769 4 2 2" xfId="20729" xr:uid="{8A236C41-1676-49C1-A420-4864FF63E2EF}"/>
    <cellStyle name="Comma 769 4 3" xfId="15553" xr:uid="{F8DE1C39-27C0-418F-BE12-24A644A2B35C}"/>
    <cellStyle name="Comma 769 5" xfId="6249" xr:uid="{37C0E63A-9846-4E77-A7B0-3EFAEED20788}"/>
    <cellStyle name="Comma 769 5 2" xfId="16601" xr:uid="{24C55A84-4F1F-473F-88C2-58E16588CFF7}"/>
    <cellStyle name="Comma 769 6" xfId="11427" xr:uid="{073F7D50-7605-4C4C-8414-5F98E2927E92}"/>
    <cellStyle name="Comma 77" xfId="290" xr:uid="{ECD79BC8-B446-4D57-B42C-23D2B0620CB7}"/>
    <cellStyle name="Comma 77 2" xfId="1355" xr:uid="{94E85596-24BC-408A-9468-C441C2DF0653}"/>
    <cellStyle name="Comma 77 2 2" xfId="3413" xr:uid="{1F622E6D-0CE2-4578-A2B0-CE9FCEB43E1A}"/>
    <cellStyle name="Comma 77 2 2 2" xfId="8646" xr:uid="{B4B5A1FC-E587-4ADC-B5FF-B9D36BA74567}"/>
    <cellStyle name="Comma 77 2 2 2 2" xfId="18998" xr:uid="{6D7C04B9-BD47-4DFF-97EF-3465987DC19B}"/>
    <cellStyle name="Comma 77 2 2 3" xfId="13823" xr:uid="{AD01DFD4-7D49-4901-A766-D986E5CE8A4B}"/>
    <cellStyle name="Comma 77 2 3" xfId="6588" xr:uid="{E3462C4E-7DA2-4924-8923-7162F64AAB28}"/>
    <cellStyle name="Comma 77 2 3 2" xfId="16940" xr:uid="{7C43B4C9-8714-4F18-AE68-9E3E71B0337B}"/>
    <cellStyle name="Comma 77 2 4" xfId="11765" xr:uid="{8A404624-90A9-4D2B-A2E7-EBF843D154A2}"/>
    <cellStyle name="Comma 77 3" xfId="2383" xr:uid="{1936373F-2F7A-4A1F-913A-FAEB58516959}"/>
    <cellStyle name="Comma 77 3 2" xfId="7616" xr:uid="{FFEB0349-513A-4D44-A973-72FAE45A8FF4}"/>
    <cellStyle name="Comma 77 3 2 2" xfId="17968" xr:uid="{2153B31E-8F44-4F6A-9523-A4F960FB367A}"/>
    <cellStyle name="Comma 77 3 3" xfId="12793" xr:uid="{A90D0C2F-36AD-4DD8-AE37-FADA80DBD8B1}"/>
    <cellStyle name="Comma 77 4" xfId="4509" xr:uid="{E3810EE7-3C04-47D3-B70E-E2DADE9DA434}"/>
    <cellStyle name="Comma 77 4 2" xfId="9685" xr:uid="{4EE7FBF6-B027-4585-929E-53C6433E9002}"/>
    <cellStyle name="Comma 77 4 2 2" xfId="20037" xr:uid="{D5055384-3A6C-4803-A27B-9293E23BD315}"/>
    <cellStyle name="Comma 77 4 3" xfId="14861" xr:uid="{616E1374-067F-47A4-B6CF-18B86BE03EA4}"/>
    <cellStyle name="Comma 77 5" xfId="5557" xr:uid="{09E81DD9-6280-4EFE-8916-96D23966E44A}"/>
    <cellStyle name="Comma 77 5 2" xfId="15909" xr:uid="{4DD115B8-BE8A-4785-BDFC-4ECD1D6D5C22}"/>
    <cellStyle name="Comma 77 6" xfId="10735" xr:uid="{7163984C-5570-4BFF-8BAA-C12423720170}"/>
    <cellStyle name="Comma 770" xfId="1010" xr:uid="{0931D7E4-A729-40D0-8408-48A734F6A053}"/>
    <cellStyle name="Comma 770 2" xfId="2048" xr:uid="{55BDC774-FB07-4D99-B454-E8C781C4C491}"/>
    <cellStyle name="Comma 770 2 2" xfId="4106" xr:uid="{1135D8CD-EED5-44DD-9693-DBF823EAA5CC}"/>
    <cellStyle name="Comma 770 2 2 2" xfId="9339" xr:uid="{A4EF8D77-5AE0-4223-986B-6565F0811A1F}"/>
    <cellStyle name="Comma 770 2 2 2 2" xfId="19691" xr:uid="{AE7F9771-CABB-4084-8EC8-27634C5DBE84}"/>
    <cellStyle name="Comma 770 2 2 3" xfId="14516" xr:uid="{31A076AF-3BF3-4A2B-8EBE-925405EC8B13}"/>
    <cellStyle name="Comma 770 2 3" xfId="7281" xr:uid="{BF2E4B32-75A3-415D-B247-DB766DE80448}"/>
    <cellStyle name="Comma 770 2 3 2" xfId="17633" xr:uid="{94487EFD-0940-4280-AFDF-D0C8ACF7F8E3}"/>
    <cellStyle name="Comma 770 2 4" xfId="12458" xr:uid="{7AA359B9-8B37-4B4D-A2DA-CB03761F28A7}"/>
    <cellStyle name="Comma 770 3" xfId="3076" xr:uid="{DA231126-1566-4FA8-88D0-BDF03A58AD40}"/>
    <cellStyle name="Comma 770 3 2" xfId="8309" xr:uid="{6FD67BD1-A6FE-4E7B-B445-3D2EEA532C7F}"/>
    <cellStyle name="Comma 770 3 2 2" xfId="18661" xr:uid="{306D0800-DDD7-448E-A112-A2B8042F5EC8}"/>
    <cellStyle name="Comma 770 3 3" xfId="13486" xr:uid="{FEF28D93-A82C-47A1-9688-497B203E65FC}"/>
    <cellStyle name="Comma 770 4" xfId="5202" xr:uid="{E18A1737-886F-4B03-9380-459564771581}"/>
    <cellStyle name="Comma 770 4 2" xfId="10378" xr:uid="{BE79F1A4-951C-4AF7-83B3-9366685EA2D3}"/>
    <cellStyle name="Comma 770 4 2 2" xfId="20730" xr:uid="{D52B8C02-F69D-4C95-9284-BC69E59A5095}"/>
    <cellStyle name="Comma 770 4 3" xfId="15554" xr:uid="{31B592F1-FCF9-4FD1-B5E1-FE2BF9CBEA32}"/>
    <cellStyle name="Comma 770 5" xfId="6250" xr:uid="{BD9478B5-1509-4E5F-A515-63B429148948}"/>
    <cellStyle name="Comma 770 5 2" xfId="16602" xr:uid="{C8C90A8E-C7AD-4A8E-BBBC-56C0E33E9496}"/>
    <cellStyle name="Comma 770 6" xfId="11428" xr:uid="{E4DB2781-4D29-4836-B8D1-3779A0AFFD1A}"/>
    <cellStyle name="Comma 771" xfId="1011" xr:uid="{723ADEA3-411D-465B-ADA0-3580426C16CF}"/>
    <cellStyle name="Comma 771 2" xfId="2049" xr:uid="{62276E40-260C-46FA-A4C9-6553B1288E11}"/>
    <cellStyle name="Comma 771 2 2" xfId="4107" xr:uid="{EA13DAB5-604A-425C-9285-A77CC140BF9D}"/>
    <cellStyle name="Comma 771 2 2 2" xfId="9340" xr:uid="{00C0A364-AEB8-45B5-9B47-386CF2C1CDC6}"/>
    <cellStyle name="Comma 771 2 2 2 2" xfId="19692" xr:uid="{68B8F82C-4939-4AC6-AA80-798B2B0C4516}"/>
    <cellStyle name="Comma 771 2 2 3" xfId="14517" xr:uid="{6463C747-F340-4BD9-B3FC-89B8A39CBC85}"/>
    <cellStyle name="Comma 771 2 3" xfId="7282" xr:uid="{8B1A5D30-5DD0-48DB-99C9-4EC32D16BFB5}"/>
    <cellStyle name="Comma 771 2 3 2" xfId="17634" xr:uid="{ED04ADA5-8BAC-4F5F-9B7D-7761B9E0321A}"/>
    <cellStyle name="Comma 771 2 4" xfId="12459" xr:uid="{E45164F5-0639-4DC7-B393-833A6EB27187}"/>
    <cellStyle name="Comma 771 3" xfId="3077" xr:uid="{1E721F5C-080C-4937-8AC9-B9EA392CB226}"/>
    <cellStyle name="Comma 771 3 2" xfId="8310" xr:uid="{35DCD0CE-BF17-46A9-AA03-CB128F3D66B9}"/>
    <cellStyle name="Comma 771 3 2 2" xfId="18662" xr:uid="{FC9211A3-840E-4C7E-904E-DF83470679EC}"/>
    <cellStyle name="Comma 771 3 3" xfId="13487" xr:uid="{3F1B59AD-18D9-457A-A24B-1681198E0F51}"/>
    <cellStyle name="Comma 771 4" xfId="5203" xr:uid="{906307B0-B8CF-447F-B787-AE31E828040E}"/>
    <cellStyle name="Comma 771 4 2" xfId="10379" xr:uid="{08BCA31C-6E5A-47DA-B7D0-FE0F4A76A9F4}"/>
    <cellStyle name="Comma 771 4 2 2" xfId="20731" xr:uid="{C735D717-51D3-44E7-9551-20997D59EBE6}"/>
    <cellStyle name="Comma 771 4 3" xfId="15555" xr:uid="{8F1AC9A9-10F7-4CE2-8695-28E9EEBDFEFA}"/>
    <cellStyle name="Comma 771 5" xfId="6251" xr:uid="{2EAC59FC-F424-49F0-A2FE-ACB2C3D564EB}"/>
    <cellStyle name="Comma 771 5 2" xfId="16603" xr:uid="{0FBD36A2-D21B-406D-97C4-94BF506A9C87}"/>
    <cellStyle name="Comma 771 6" xfId="11429" xr:uid="{419420A7-2582-461C-9D59-683C92DE32CC}"/>
    <cellStyle name="Comma 772" xfId="1012" xr:uid="{93E30F42-EC1C-4834-A305-0E01374197C6}"/>
    <cellStyle name="Comma 772 2" xfId="2050" xr:uid="{C61BD08E-C448-4FBF-A786-F902D46F4FB3}"/>
    <cellStyle name="Comma 772 2 2" xfId="4108" xr:uid="{12DFD550-8B57-4C6B-929F-5CBA49A7D11E}"/>
    <cellStyle name="Comma 772 2 2 2" xfId="9341" xr:uid="{F11D8747-2BAD-428E-9016-ACD80770CF8A}"/>
    <cellStyle name="Comma 772 2 2 2 2" xfId="19693" xr:uid="{0435F104-672D-4FF8-9EA5-83DCFFD8F8D7}"/>
    <cellStyle name="Comma 772 2 2 3" xfId="14518" xr:uid="{00EF7335-1297-43BA-A0A9-3BD5CBE1EB4A}"/>
    <cellStyle name="Comma 772 2 3" xfId="7283" xr:uid="{0210338F-84A0-418C-BBD4-36E6E51AD20F}"/>
    <cellStyle name="Comma 772 2 3 2" xfId="17635" xr:uid="{517DB897-FF10-49F0-AB93-DC31CFAB0E92}"/>
    <cellStyle name="Comma 772 2 4" xfId="12460" xr:uid="{2B11910A-E252-450D-BF72-714EB5CAF69E}"/>
    <cellStyle name="Comma 772 3" xfId="3078" xr:uid="{9DE6061A-9B01-432C-81FB-A52EA3DDC9E5}"/>
    <cellStyle name="Comma 772 3 2" xfId="8311" xr:uid="{4A3AD385-E95F-4E05-9C51-F069EB11C906}"/>
    <cellStyle name="Comma 772 3 2 2" xfId="18663" xr:uid="{0B6AB2DB-7655-4966-9D5A-BC21F570693F}"/>
    <cellStyle name="Comma 772 3 3" xfId="13488" xr:uid="{64298700-EFA3-497A-BB5C-C32A8AC1B68E}"/>
    <cellStyle name="Comma 772 4" xfId="5204" xr:uid="{4C1B46F3-1456-49C8-9FA4-62612D080262}"/>
    <cellStyle name="Comma 772 4 2" xfId="10380" xr:uid="{3F86D541-5F5B-479C-9B0A-E32775A70313}"/>
    <cellStyle name="Comma 772 4 2 2" xfId="20732" xr:uid="{3C4CF28D-CD52-4524-827A-C21AAC5EFAB3}"/>
    <cellStyle name="Comma 772 4 3" xfId="15556" xr:uid="{92CA698D-6A9F-4C3F-B4F0-7F240ABA3032}"/>
    <cellStyle name="Comma 772 5" xfId="6252" xr:uid="{5FBA26E6-8B56-462B-A928-6268C2997474}"/>
    <cellStyle name="Comma 772 5 2" xfId="16604" xr:uid="{7C6AC94B-C898-4586-950B-B03972D0E7B8}"/>
    <cellStyle name="Comma 772 6" xfId="11430" xr:uid="{96D68316-CDE8-4211-BC6D-84D0EF9ADB98}"/>
    <cellStyle name="Comma 773" xfId="1013" xr:uid="{D715F4E5-8230-42ED-91AB-CFCC57A5B076}"/>
    <cellStyle name="Comma 773 2" xfId="2051" xr:uid="{5ABBF01D-4270-4C27-A889-73BD5F9E9B50}"/>
    <cellStyle name="Comma 773 2 2" xfId="4109" xr:uid="{DCBBD6D6-FEAE-4C5C-ABE1-0D0F256AE3AA}"/>
    <cellStyle name="Comma 773 2 2 2" xfId="9342" xr:uid="{6CBB7E2E-FE45-40D3-AAD3-CFC44287E0B7}"/>
    <cellStyle name="Comma 773 2 2 2 2" xfId="19694" xr:uid="{FE2B9621-EFAD-4E34-8B50-C803E372485A}"/>
    <cellStyle name="Comma 773 2 2 3" xfId="14519" xr:uid="{B01264C1-0166-44BD-970F-164D7EEC6B9B}"/>
    <cellStyle name="Comma 773 2 3" xfId="7284" xr:uid="{53AFDA66-4AB7-4437-A97C-386878FBEB8A}"/>
    <cellStyle name="Comma 773 2 3 2" xfId="17636" xr:uid="{DB218B64-1A8D-451A-91CE-DC7B597C5008}"/>
    <cellStyle name="Comma 773 2 4" xfId="12461" xr:uid="{F6057F9C-C66A-45A5-85EE-C02890833B39}"/>
    <cellStyle name="Comma 773 3" xfId="3079" xr:uid="{A8BF9A69-E9BF-44C4-8F3B-AB0BB34B8633}"/>
    <cellStyle name="Comma 773 3 2" xfId="8312" xr:uid="{B0865CD0-7F2F-499B-BE0B-80AB5A6D8F76}"/>
    <cellStyle name="Comma 773 3 2 2" xfId="18664" xr:uid="{FBA42CD8-B237-4E70-85B8-220655663F63}"/>
    <cellStyle name="Comma 773 3 3" xfId="13489" xr:uid="{F9101AB9-1007-4AD1-AD71-D14A8CA4D53B}"/>
    <cellStyle name="Comma 773 4" xfId="5205" xr:uid="{9A236CF2-25CF-4FB9-9653-EBB4D34D9BB5}"/>
    <cellStyle name="Comma 773 4 2" xfId="10381" xr:uid="{FA2212D6-E344-445E-8CA2-54F27998B5E7}"/>
    <cellStyle name="Comma 773 4 2 2" xfId="20733" xr:uid="{0B25007B-BDCA-4795-A914-7E06D8215013}"/>
    <cellStyle name="Comma 773 4 3" xfId="15557" xr:uid="{FE945285-B99A-4D6C-AEF9-648C73301634}"/>
    <cellStyle name="Comma 773 5" xfId="6253" xr:uid="{8D8C70C1-A59B-4E06-A495-05C6E06BABA1}"/>
    <cellStyle name="Comma 773 5 2" xfId="16605" xr:uid="{B5C46F63-81FD-4FCD-A2D9-DBE59596B46E}"/>
    <cellStyle name="Comma 773 6" xfId="11431" xr:uid="{5B6131DA-ACD3-40A2-ABCB-CB7AD097814E}"/>
    <cellStyle name="Comma 774" xfId="1014" xr:uid="{F8432EC1-775C-413A-B7E8-60032084851A}"/>
    <cellStyle name="Comma 774 2" xfId="2052" xr:uid="{416D5D1B-D29D-47FD-8BC3-085AE61986A1}"/>
    <cellStyle name="Comma 774 2 2" xfId="4110" xr:uid="{0016EA46-ECAC-416E-82BD-60EA07027C63}"/>
    <cellStyle name="Comma 774 2 2 2" xfId="9343" xr:uid="{E9618A3E-050C-4605-9A22-478A8643F59D}"/>
    <cellStyle name="Comma 774 2 2 2 2" xfId="19695" xr:uid="{5F99AB75-0F7E-4467-96D7-C12F3B994375}"/>
    <cellStyle name="Comma 774 2 2 3" xfId="14520" xr:uid="{4106E6A2-EB3B-4F01-857E-C405B17BDEF0}"/>
    <cellStyle name="Comma 774 2 3" xfId="7285" xr:uid="{C1043FB6-1F59-423E-B1C8-6EC75A087FFC}"/>
    <cellStyle name="Comma 774 2 3 2" xfId="17637" xr:uid="{4B69BE3A-0771-4C54-ABF6-C310E67A28D2}"/>
    <cellStyle name="Comma 774 2 4" xfId="12462" xr:uid="{70E0D260-6AAE-4BEA-A5AD-14D35CB49498}"/>
    <cellStyle name="Comma 774 3" xfId="3080" xr:uid="{702E6F46-1E33-4662-A6DC-242924756B85}"/>
    <cellStyle name="Comma 774 3 2" xfId="8313" xr:uid="{AA3D3DFD-E0A6-4C83-9DDD-6B138F3E3E53}"/>
    <cellStyle name="Comma 774 3 2 2" xfId="18665" xr:uid="{E2F09024-88A9-41A7-9B04-D917A2A2A971}"/>
    <cellStyle name="Comma 774 3 3" xfId="13490" xr:uid="{14C6DC08-9EED-4B42-A821-CA209A67A87F}"/>
    <cellStyle name="Comma 774 4" xfId="5206" xr:uid="{397B2AF0-D5A6-423B-9C9F-E07313269857}"/>
    <cellStyle name="Comma 774 4 2" xfId="10382" xr:uid="{30076993-F444-498B-9868-3785B1AB1AA1}"/>
    <cellStyle name="Comma 774 4 2 2" xfId="20734" xr:uid="{B8C724E2-1AD2-402A-951C-407FFC9AB247}"/>
    <cellStyle name="Comma 774 4 3" xfId="15558" xr:uid="{579115B0-8E5B-427E-83C8-ACC7971E5889}"/>
    <cellStyle name="Comma 774 5" xfId="6254" xr:uid="{B8FADEB6-5EFF-4D2C-B693-C1F67009F0CC}"/>
    <cellStyle name="Comma 774 5 2" xfId="16606" xr:uid="{CD8FD2D4-BB57-4757-AC7D-AAE80CDE0638}"/>
    <cellStyle name="Comma 774 6" xfId="11432" xr:uid="{D33C5F80-0829-47C0-B310-201B32069DE1}"/>
    <cellStyle name="Comma 775" xfId="1015" xr:uid="{2CDE34B7-74FE-4BCD-AEB8-800147DA713D}"/>
    <cellStyle name="Comma 775 2" xfId="2053" xr:uid="{481FC255-1FC3-4488-A553-90337F8C7DD6}"/>
    <cellStyle name="Comma 775 2 2" xfId="4111" xr:uid="{1152757D-925E-42E4-9366-231490925B57}"/>
    <cellStyle name="Comma 775 2 2 2" xfId="9344" xr:uid="{26ACB0DD-883B-496D-8DC3-E30B6EBF60A5}"/>
    <cellStyle name="Comma 775 2 2 2 2" xfId="19696" xr:uid="{B5AB34A8-FBE6-42B1-8C25-208DC00F3A44}"/>
    <cellStyle name="Comma 775 2 2 3" xfId="14521" xr:uid="{D829F7DF-6C93-4919-AA8C-A2064B73567E}"/>
    <cellStyle name="Comma 775 2 3" xfId="7286" xr:uid="{ABF18481-DC8D-4C14-8FDB-4722308ABF9C}"/>
    <cellStyle name="Comma 775 2 3 2" xfId="17638" xr:uid="{2BC4C052-2F39-4543-9D38-E1FAE72161B3}"/>
    <cellStyle name="Comma 775 2 4" xfId="12463" xr:uid="{A5131696-5B71-433F-8D1B-F6D804E8A81C}"/>
    <cellStyle name="Comma 775 3" xfId="3081" xr:uid="{D3FF2696-8FC6-47FB-8732-0FF1423360FA}"/>
    <cellStyle name="Comma 775 3 2" xfId="8314" xr:uid="{69602066-2E36-4E41-87CE-8CC0F8235C84}"/>
    <cellStyle name="Comma 775 3 2 2" xfId="18666" xr:uid="{AFC4A2B6-EE12-4F93-8BFB-5E0111BE6B53}"/>
    <cellStyle name="Comma 775 3 3" xfId="13491" xr:uid="{472D1B7F-1FEA-44F8-9557-3D4E7CB266CE}"/>
    <cellStyle name="Comma 775 4" xfId="5207" xr:uid="{58D52178-4DBC-4785-9D61-B295D0F54247}"/>
    <cellStyle name="Comma 775 4 2" xfId="10383" xr:uid="{E4D4AC6D-3BD5-4414-9CD4-A275C9401B9A}"/>
    <cellStyle name="Comma 775 4 2 2" xfId="20735" xr:uid="{DFDB3608-4C0B-4DEB-B1E7-B90A6FADEF34}"/>
    <cellStyle name="Comma 775 4 3" xfId="15559" xr:uid="{B97AEA29-5CD8-4AB9-85E6-A8FDDBA1A1FF}"/>
    <cellStyle name="Comma 775 5" xfId="6255" xr:uid="{A43CC620-8E08-4056-873C-AA24A8EB0871}"/>
    <cellStyle name="Comma 775 5 2" xfId="16607" xr:uid="{D17B69F4-6A54-4E2D-9D98-B22401A8AEFB}"/>
    <cellStyle name="Comma 775 6" xfId="11433" xr:uid="{46AB1ADC-0134-44E4-8BAF-A5C72D8D515B}"/>
    <cellStyle name="Comma 776" xfId="1016" xr:uid="{B80FCC5B-465D-4A92-B520-D2D72C537C77}"/>
    <cellStyle name="Comma 776 2" xfId="2054" xr:uid="{AF5F9DAC-EB47-4D9C-808A-B39022C7ED9D}"/>
    <cellStyle name="Comma 776 2 2" xfId="4112" xr:uid="{96234E90-EB49-4E80-B13B-2152EA0A1558}"/>
    <cellStyle name="Comma 776 2 2 2" xfId="9345" xr:uid="{7389BFB1-C15A-4FE3-BEA8-BFFF55284C74}"/>
    <cellStyle name="Comma 776 2 2 2 2" xfId="19697" xr:uid="{E6B62B86-1CF9-41A9-B015-7EFB04494C52}"/>
    <cellStyle name="Comma 776 2 2 3" xfId="14522" xr:uid="{87CD80CD-1A83-47C9-B8CD-111026F94E22}"/>
    <cellStyle name="Comma 776 2 3" xfId="7287" xr:uid="{CBDB1185-0316-47F9-A35A-688438C63679}"/>
    <cellStyle name="Comma 776 2 3 2" xfId="17639" xr:uid="{6A0CB046-0C7D-45BE-B5C8-EDA469F6975D}"/>
    <cellStyle name="Comma 776 2 4" xfId="12464" xr:uid="{DDFA3C79-46A8-400E-97A2-D6543DFDFE62}"/>
    <cellStyle name="Comma 776 3" xfId="3082" xr:uid="{69A447BE-71ED-4D3E-9410-17B47E911F63}"/>
    <cellStyle name="Comma 776 3 2" xfId="8315" xr:uid="{2CC31A81-5413-471B-9833-AEC1CBF77593}"/>
    <cellStyle name="Comma 776 3 2 2" xfId="18667" xr:uid="{77CDE99E-9EE0-4EDB-8E67-4524C7B10786}"/>
    <cellStyle name="Comma 776 3 3" xfId="13492" xr:uid="{6CA5E215-D689-43F9-BF9E-C5FA87AA9744}"/>
    <cellStyle name="Comma 776 4" xfId="5208" xr:uid="{5A1106A3-54ED-4C5A-8D86-0E24CB1C8B6F}"/>
    <cellStyle name="Comma 776 4 2" xfId="10384" xr:uid="{BA7BFC49-B3B9-46D3-9410-CD49EC1B1494}"/>
    <cellStyle name="Comma 776 4 2 2" xfId="20736" xr:uid="{C39A0668-4622-4044-92F9-A195D6B4370B}"/>
    <cellStyle name="Comma 776 4 3" xfId="15560" xr:uid="{28E60080-97C1-449E-BCC8-66D544DB4264}"/>
    <cellStyle name="Comma 776 5" xfId="6256" xr:uid="{2EA07A91-4937-463F-956A-3DD64669E9DE}"/>
    <cellStyle name="Comma 776 5 2" xfId="16608" xr:uid="{9CD43EE5-1F4A-4665-B697-6B4CB42E947D}"/>
    <cellStyle name="Comma 776 6" xfId="11434" xr:uid="{BF3ABF05-B6EE-4604-8EF2-096F4FFC403E}"/>
    <cellStyle name="Comma 777" xfId="1017" xr:uid="{D40BE07A-B4F6-407E-B8C0-E6B57BCC9ED8}"/>
    <cellStyle name="Comma 777 2" xfId="2055" xr:uid="{9ABE9E09-A335-438C-BD9A-6F184575029B}"/>
    <cellStyle name="Comma 777 2 2" xfId="4113" xr:uid="{243ED1F7-79B7-486C-A12F-5A03F02DDF18}"/>
    <cellStyle name="Comma 777 2 2 2" xfId="9346" xr:uid="{875CA91D-CFF8-4FD8-9D98-67654F93E9FC}"/>
    <cellStyle name="Comma 777 2 2 2 2" xfId="19698" xr:uid="{651D7429-AEAD-4F26-98FF-60BB0BA03F81}"/>
    <cellStyle name="Comma 777 2 2 3" xfId="14523" xr:uid="{7670D164-287A-47FC-B91F-6F6FA74138B7}"/>
    <cellStyle name="Comma 777 2 3" xfId="7288" xr:uid="{09441FF8-97B0-4799-99D1-E34EDC908EC6}"/>
    <cellStyle name="Comma 777 2 3 2" xfId="17640" xr:uid="{2DAD3A97-8FCD-4143-B47A-03BAF19207F6}"/>
    <cellStyle name="Comma 777 2 4" xfId="12465" xr:uid="{501F8004-F2CC-4FA8-ABAD-E466C677F23B}"/>
    <cellStyle name="Comma 777 3" xfId="3083" xr:uid="{4DF41D66-CAF7-4771-9E27-C94310724AD5}"/>
    <cellStyle name="Comma 777 3 2" xfId="8316" xr:uid="{755C64F4-FAEC-4226-B206-904A19D2C4C3}"/>
    <cellStyle name="Comma 777 3 2 2" xfId="18668" xr:uid="{7CD97FEC-A6A3-46AD-94B3-C052CD41F9F3}"/>
    <cellStyle name="Comma 777 3 3" xfId="13493" xr:uid="{72DAB9B3-6979-458F-BD95-D2920519FDBE}"/>
    <cellStyle name="Comma 777 4" xfId="5209" xr:uid="{25758337-B1DD-496B-97D1-2EF30587A888}"/>
    <cellStyle name="Comma 777 4 2" xfId="10385" xr:uid="{11FD164C-75E6-4F00-992C-8C2621798CFE}"/>
    <cellStyle name="Comma 777 4 2 2" xfId="20737" xr:uid="{318D3FC5-2469-4457-A50F-6B5F99AD645A}"/>
    <cellStyle name="Comma 777 4 3" xfId="15561" xr:uid="{CFFF9E21-AFCD-4B17-A157-137268F1DF40}"/>
    <cellStyle name="Comma 777 5" xfId="6257" xr:uid="{583B595B-CDE3-45EA-AE13-61A5D2E150E9}"/>
    <cellStyle name="Comma 777 5 2" xfId="16609" xr:uid="{C1DBFCE7-683B-43A1-AF93-2D32142155E3}"/>
    <cellStyle name="Comma 777 6" xfId="11435" xr:uid="{450B1F09-B2A4-4CD0-929B-E7CC13B1C017}"/>
    <cellStyle name="Comma 778" xfId="1018" xr:uid="{356EB9C8-4135-446D-8400-21C3AD993AB6}"/>
    <cellStyle name="Comma 778 2" xfId="2056" xr:uid="{46C67A81-8BBD-449B-A97F-57B2F4BBE44B}"/>
    <cellStyle name="Comma 778 2 2" xfId="4114" xr:uid="{E6CCE4AB-0626-402A-9525-C8BF209493C9}"/>
    <cellStyle name="Comma 778 2 2 2" xfId="9347" xr:uid="{1B9EC40C-DCA9-45CA-8373-BC547A26F86A}"/>
    <cellStyle name="Comma 778 2 2 2 2" xfId="19699" xr:uid="{1108B5B5-71B1-4657-A8E1-E88AEA1A2085}"/>
    <cellStyle name="Comma 778 2 2 3" xfId="14524" xr:uid="{8C8070C9-D83A-462C-B961-FC3E3F873E59}"/>
    <cellStyle name="Comma 778 2 3" xfId="7289" xr:uid="{9D51D5DE-AD35-48C0-ACF0-4A563434611D}"/>
    <cellStyle name="Comma 778 2 3 2" xfId="17641" xr:uid="{4A3DE030-11A7-455C-A0BB-0DFD9402E212}"/>
    <cellStyle name="Comma 778 2 4" xfId="12466" xr:uid="{141FAD90-F304-4E4E-A4C6-F90000A44E23}"/>
    <cellStyle name="Comma 778 3" xfId="3084" xr:uid="{35F2F8F9-4F85-467B-ABA8-9A2E50AF9845}"/>
    <cellStyle name="Comma 778 3 2" xfId="8317" xr:uid="{15B75237-E88F-40FF-8A71-7EB23C076787}"/>
    <cellStyle name="Comma 778 3 2 2" xfId="18669" xr:uid="{72C9C906-4ABB-4FE6-8329-DA730AF676A8}"/>
    <cellStyle name="Comma 778 3 3" xfId="13494" xr:uid="{0D9C3622-4B9E-446F-832C-D20EE2A468A5}"/>
    <cellStyle name="Comma 778 4" xfId="5210" xr:uid="{9E2E5F1C-FFC6-4DD0-8410-299D8BE03939}"/>
    <cellStyle name="Comma 778 4 2" xfId="10386" xr:uid="{3F5B14A5-C2AE-49B5-905D-917AA725492C}"/>
    <cellStyle name="Comma 778 4 2 2" xfId="20738" xr:uid="{F3412FC0-5443-46E1-8C6D-61D472EFC9E8}"/>
    <cellStyle name="Comma 778 4 3" xfId="15562" xr:uid="{EF576821-5A31-42C0-8482-B99A5E531856}"/>
    <cellStyle name="Comma 778 5" xfId="6258" xr:uid="{E5F56054-0A68-4690-A977-CBB2D391FDD7}"/>
    <cellStyle name="Comma 778 5 2" xfId="16610" xr:uid="{EAE63F30-1F81-46FD-9E31-4CD19227F32A}"/>
    <cellStyle name="Comma 778 6" xfId="11436" xr:uid="{1159943E-FDB5-4DB4-AD68-0BF6DEA16F36}"/>
    <cellStyle name="Comma 779" xfId="1019" xr:uid="{E8CED299-F35C-4654-9D2F-E625524E4C7E}"/>
    <cellStyle name="Comma 779 2" xfId="2057" xr:uid="{0EEE7242-E480-4033-A375-B23A2B99FF49}"/>
    <cellStyle name="Comma 779 2 2" xfId="4115" xr:uid="{C43967FA-8322-4ED8-ABA1-EFA24A78CAB7}"/>
    <cellStyle name="Comma 779 2 2 2" xfId="9348" xr:uid="{13D59186-9577-469E-B7B3-C5B72E428CC3}"/>
    <cellStyle name="Comma 779 2 2 2 2" xfId="19700" xr:uid="{F7A311EE-6F09-45A5-B988-71ABE3856E9E}"/>
    <cellStyle name="Comma 779 2 2 3" xfId="14525" xr:uid="{ECFCCF0C-E09F-4E99-B210-074C4EB50626}"/>
    <cellStyle name="Comma 779 2 3" xfId="7290" xr:uid="{D688ECCB-DDED-4F21-9341-F6F3D85CA51C}"/>
    <cellStyle name="Comma 779 2 3 2" xfId="17642" xr:uid="{76AFE566-B259-40A6-9116-CDD1E8329238}"/>
    <cellStyle name="Comma 779 2 4" xfId="12467" xr:uid="{0F2C5E6E-BCDB-40ED-8886-D78CE42AC093}"/>
    <cellStyle name="Comma 779 3" xfId="3085" xr:uid="{53FF1D1E-9FB6-4E95-A9B3-B0722B02D9E9}"/>
    <cellStyle name="Comma 779 3 2" xfId="8318" xr:uid="{E3BACC54-59F3-427E-8E89-DF6472200D28}"/>
    <cellStyle name="Comma 779 3 2 2" xfId="18670" xr:uid="{894F2F48-4C50-4BFF-BBE0-63C303DD5F5A}"/>
    <cellStyle name="Comma 779 3 3" xfId="13495" xr:uid="{E2936CD0-C52F-4B8F-B2B4-3A78F73CF0B9}"/>
    <cellStyle name="Comma 779 4" xfId="5211" xr:uid="{9518A0BF-F801-4152-9BDF-9F5CDF01D14C}"/>
    <cellStyle name="Comma 779 4 2" xfId="10387" xr:uid="{1E36A430-3E2B-4FCA-BCEE-5542510AFCCC}"/>
    <cellStyle name="Comma 779 4 2 2" xfId="20739" xr:uid="{7CADE0F4-4786-4E42-B5ED-0F35ADDCE081}"/>
    <cellStyle name="Comma 779 4 3" xfId="15563" xr:uid="{5C76928D-9E6F-45E2-9563-A8865B331950}"/>
    <cellStyle name="Comma 779 5" xfId="6259" xr:uid="{75E058F8-76FB-46D5-9A98-33B9D821C8D2}"/>
    <cellStyle name="Comma 779 5 2" xfId="16611" xr:uid="{95B2CE5D-3659-49A0-AF24-5685275E4B05}"/>
    <cellStyle name="Comma 779 6" xfId="11437" xr:uid="{4C4E38B8-F993-480A-A21C-11972310968A}"/>
    <cellStyle name="Comma 78" xfId="291" xr:uid="{E9C68E09-92FB-430E-9440-035F48AE2A85}"/>
    <cellStyle name="Comma 78 2" xfId="1356" xr:uid="{935C2436-8A16-4813-A63F-E4D0ED78ED2C}"/>
    <cellStyle name="Comma 78 2 2" xfId="3414" xr:uid="{7CC6817F-0FB9-4A17-8003-52A0FC1A376D}"/>
    <cellStyle name="Comma 78 2 2 2" xfId="8647" xr:uid="{0FA326EB-2D44-4BBA-9592-F0E6AC6F9D65}"/>
    <cellStyle name="Comma 78 2 2 2 2" xfId="18999" xr:uid="{FB7A8398-66CE-4A0B-9765-A82FED33A474}"/>
    <cellStyle name="Comma 78 2 2 3" xfId="13824" xr:uid="{2214CD58-CA73-4043-BEDF-F286D411C62B}"/>
    <cellStyle name="Comma 78 2 3" xfId="6589" xr:uid="{792EFABE-B1F5-424B-BF61-F98019898CCB}"/>
    <cellStyle name="Comma 78 2 3 2" xfId="16941" xr:uid="{5FCB838B-69D2-41D3-8996-36A39C897D3D}"/>
    <cellStyle name="Comma 78 2 4" xfId="11766" xr:uid="{42C85056-FD30-4719-A73F-206DB75DEF26}"/>
    <cellStyle name="Comma 78 3" xfId="2384" xr:uid="{CDD8CEF8-E660-4AD8-81DF-3D242F1312AF}"/>
    <cellStyle name="Comma 78 3 2" xfId="7617" xr:uid="{063E9F60-9B80-40C8-9018-B7F63CB8E1B9}"/>
    <cellStyle name="Comma 78 3 2 2" xfId="17969" xr:uid="{F4C7B6CD-2325-439A-B894-4BDFEAECF847}"/>
    <cellStyle name="Comma 78 3 3" xfId="12794" xr:uid="{53483AEA-AE35-47D5-BCF7-E63FF9F06A13}"/>
    <cellStyle name="Comma 78 4" xfId="4510" xr:uid="{05798106-1EAB-4C0C-BBA4-D59713E439EB}"/>
    <cellStyle name="Comma 78 4 2" xfId="9686" xr:uid="{05AE7229-FB9B-425A-A609-187FB235450C}"/>
    <cellStyle name="Comma 78 4 2 2" xfId="20038" xr:uid="{5D1BDEAD-331B-4F51-804B-CF4441E5BCE9}"/>
    <cellStyle name="Comma 78 4 3" xfId="14862" xr:uid="{676C3035-BE2C-47D1-85DB-EFE8045FA58B}"/>
    <cellStyle name="Comma 78 5" xfId="5558" xr:uid="{4348F3B6-1F0E-44D8-BC52-987C9CF269EE}"/>
    <cellStyle name="Comma 78 5 2" xfId="15910" xr:uid="{D2D7AB8B-C9C8-4351-B218-784D0815B169}"/>
    <cellStyle name="Comma 78 6" xfId="10736" xr:uid="{CDA37848-FA52-4D82-9192-1D39B9BA23B0}"/>
    <cellStyle name="Comma 780" xfId="1020" xr:uid="{1EAB6831-024A-4420-8585-A83EF01E6CE0}"/>
    <cellStyle name="Comma 780 2" xfId="2058" xr:uid="{EFD42A1A-5BAE-4C71-B49A-3BE2962D7C5E}"/>
    <cellStyle name="Comma 780 2 2" xfId="4116" xr:uid="{DFEFAEE9-320E-486D-AA86-F98E70F7E3F1}"/>
    <cellStyle name="Comma 780 2 2 2" xfId="9349" xr:uid="{CDA0F80B-4DE5-4C6C-B4F0-3FDC8E3EF58D}"/>
    <cellStyle name="Comma 780 2 2 2 2" xfId="19701" xr:uid="{4EA372BD-6EEA-45C7-BA0C-4BE320220194}"/>
    <cellStyle name="Comma 780 2 2 3" xfId="14526" xr:uid="{F65F0C2C-83B8-4DE2-B6F2-C08339B76D37}"/>
    <cellStyle name="Comma 780 2 3" xfId="7291" xr:uid="{D0C1FB40-86C6-40E4-B886-117D3C956063}"/>
    <cellStyle name="Comma 780 2 3 2" xfId="17643" xr:uid="{947FB6FE-C7E7-4ABC-B4B3-C3D6D2A20A1B}"/>
    <cellStyle name="Comma 780 2 4" xfId="12468" xr:uid="{53382052-4F1D-462D-8A4A-3DAEC1DB40F1}"/>
    <cellStyle name="Comma 780 3" xfId="3086" xr:uid="{E6A69ACE-87A7-48BC-B50C-EC3C4850AB22}"/>
    <cellStyle name="Comma 780 3 2" xfId="8319" xr:uid="{B128E271-4AAF-47A6-ABEC-26B01D648DA4}"/>
    <cellStyle name="Comma 780 3 2 2" xfId="18671" xr:uid="{B218B800-2FB5-446B-A9C1-4D95FB2D8C66}"/>
    <cellStyle name="Comma 780 3 3" xfId="13496" xr:uid="{D5E8E1E4-6524-43C4-BE15-3765F4530967}"/>
    <cellStyle name="Comma 780 4" xfId="5212" xr:uid="{E8FC2366-E48F-47AD-A541-5DEC3020A748}"/>
    <cellStyle name="Comma 780 4 2" xfId="10388" xr:uid="{A0C27448-25DD-4E61-94F1-6745E93AD1E3}"/>
    <cellStyle name="Comma 780 4 2 2" xfId="20740" xr:uid="{798C6F57-A956-40B4-8C8B-278149B63369}"/>
    <cellStyle name="Comma 780 4 3" xfId="15564" xr:uid="{C8EF5DE4-C5D1-4724-9A23-AD7BC5D9DE22}"/>
    <cellStyle name="Comma 780 5" xfId="6260" xr:uid="{F6EE68E8-ECB6-41E1-8B4A-4CCAA49AD8C7}"/>
    <cellStyle name="Comma 780 5 2" xfId="16612" xr:uid="{AAE58656-6DB1-478B-A551-B84C36694D78}"/>
    <cellStyle name="Comma 780 6" xfId="11438" xr:uid="{4921B3B6-89BC-4A11-AF47-E029C3D6BB89}"/>
    <cellStyle name="Comma 781" xfId="1021" xr:uid="{1F529C4B-0815-493F-8E03-F3AFF64F421B}"/>
    <cellStyle name="Comma 781 2" xfId="2059" xr:uid="{2EE85927-F36C-45E7-BAE0-959F97ACE027}"/>
    <cellStyle name="Comma 781 2 2" xfId="4117" xr:uid="{A4120C44-25B3-4495-9348-5EEBB898C21A}"/>
    <cellStyle name="Comma 781 2 2 2" xfId="9350" xr:uid="{163B74D2-0655-41C7-8C20-9FEA2FBCE993}"/>
    <cellStyle name="Comma 781 2 2 2 2" xfId="19702" xr:uid="{42FF7A1E-CA2F-44DD-B5E3-96342A714CF5}"/>
    <cellStyle name="Comma 781 2 2 3" xfId="14527" xr:uid="{76E1EA75-2A29-4070-95A7-4C37E0F15D63}"/>
    <cellStyle name="Comma 781 2 3" xfId="7292" xr:uid="{05315608-E4F9-40C8-A612-C02C64D1ED35}"/>
    <cellStyle name="Comma 781 2 3 2" xfId="17644" xr:uid="{0A6C1B71-E096-4C63-8111-C2848D6D491F}"/>
    <cellStyle name="Comma 781 2 4" xfId="12469" xr:uid="{E85CD74F-3FC6-46B9-BC03-08E7C65D8522}"/>
    <cellStyle name="Comma 781 3" xfId="3087" xr:uid="{EEA37E1C-ED25-49BE-ACDC-52BB6926B4C7}"/>
    <cellStyle name="Comma 781 3 2" xfId="8320" xr:uid="{E9FC20E9-6125-4B2D-8CA1-8EA0A6E9E2D4}"/>
    <cellStyle name="Comma 781 3 2 2" xfId="18672" xr:uid="{C697E12E-BAEF-4B57-B6E5-8C1FB3101C01}"/>
    <cellStyle name="Comma 781 3 3" xfId="13497" xr:uid="{111D9CDB-A031-4C32-B73B-1C9C7DD4F7B3}"/>
    <cellStyle name="Comma 781 4" xfId="5213" xr:uid="{8C04E074-0128-4F9D-8394-610690E08B56}"/>
    <cellStyle name="Comma 781 4 2" xfId="10389" xr:uid="{1BF00B9C-0EEF-4EBF-8308-4021F001B9E4}"/>
    <cellStyle name="Comma 781 4 2 2" xfId="20741" xr:uid="{2B9EF1F9-75AB-459C-8660-03B752D494A4}"/>
    <cellStyle name="Comma 781 4 3" xfId="15565" xr:uid="{7559D649-945C-4D27-8E0D-50EB55277B23}"/>
    <cellStyle name="Comma 781 5" xfId="6261" xr:uid="{80FB9C6F-1800-4507-B130-097D5A63BBF2}"/>
    <cellStyle name="Comma 781 5 2" xfId="16613" xr:uid="{7C6FF0AA-417C-425E-BAB2-32857FBD260A}"/>
    <cellStyle name="Comma 781 6" xfId="11439" xr:uid="{D4590BFA-CFF0-4C1E-A851-04115C9C4067}"/>
    <cellStyle name="Comma 782" xfId="1022" xr:uid="{D3EB4A7E-5211-48C0-BB88-E4C4D6508DBE}"/>
    <cellStyle name="Comma 782 2" xfId="2060" xr:uid="{BA2EDE29-951C-4327-BD73-3BEEB0F8BB78}"/>
    <cellStyle name="Comma 782 2 2" xfId="4118" xr:uid="{B1518211-7D9B-45CB-8409-063CCE472C1A}"/>
    <cellStyle name="Comma 782 2 2 2" xfId="9351" xr:uid="{28BC696C-BFBF-4699-879F-96F93EEC51ED}"/>
    <cellStyle name="Comma 782 2 2 2 2" xfId="19703" xr:uid="{53AA29B6-EE09-47E7-8993-F5D4DEDCAEEE}"/>
    <cellStyle name="Comma 782 2 2 3" xfId="14528" xr:uid="{128EA649-B0C6-4E0B-B563-3F7792F52CE9}"/>
    <cellStyle name="Comma 782 2 3" xfId="7293" xr:uid="{7492D0FC-83AC-4D8F-A3CD-E9E89A9558DE}"/>
    <cellStyle name="Comma 782 2 3 2" xfId="17645" xr:uid="{75A54EB2-52A4-4431-A43B-33F51B4C09B5}"/>
    <cellStyle name="Comma 782 2 4" xfId="12470" xr:uid="{919040E9-382B-4B78-99A7-E43159DE1D4F}"/>
    <cellStyle name="Comma 782 3" xfId="3088" xr:uid="{709F0052-3150-4381-BACD-6A6096D9078A}"/>
    <cellStyle name="Comma 782 3 2" xfId="8321" xr:uid="{AE6F19D0-7EFF-482D-9159-0803BC5988C3}"/>
    <cellStyle name="Comma 782 3 2 2" xfId="18673" xr:uid="{09625DC5-B7E1-4C8A-8672-C80513875739}"/>
    <cellStyle name="Comma 782 3 3" xfId="13498" xr:uid="{3B841E02-A620-48C1-98F3-067D8DE04D2D}"/>
    <cellStyle name="Comma 782 4" xfId="5214" xr:uid="{8EF53806-58BD-43EE-BD21-77C916FF9130}"/>
    <cellStyle name="Comma 782 4 2" xfId="10390" xr:uid="{02318489-833B-4D65-B33D-009ED68CDAB3}"/>
    <cellStyle name="Comma 782 4 2 2" xfId="20742" xr:uid="{A27BF094-60B5-4349-A5EF-C678C7532B38}"/>
    <cellStyle name="Comma 782 4 3" xfId="15566" xr:uid="{81BB76B2-7679-45B2-BDE4-F4CE2E1434AB}"/>
    <cellStyle name="Comma 782 5" xfId="6262" xr:uid="{090ACC55-6EBE-4CB0-BD9E-979B54379EE4}"/>
    <cellStyle name="Comma 782 5 2" xfId="16614" xr:uid="{51D3CE0E-A894-4C4C-AD9A-302AA9509C30}"/>
    <cellStyle name="Comma 782 6" xfId="11440" xr:uid="{73F194F3-9EC0-4DE1-B889-09EBE9CFC0F3}"/>
    <cellStyle name="Comma 783" xfId="1023" xr:uid="{F7A2DE00-BA80-4E7A-9728-593262AF4284}"/>
    <cellStyle name="Comma 783 2" xfId="2061" xr:uid="{5E9F2E2C-62A9-4C56-BEAC-548138AE54F1}"/>
    <cellStyle name="Comma 783 2 2" xfId="4119" xr:uid="{C18724FA-A2B2-44C1-9A3E-6596F1A3CE5F}"/>
    <cellStyle name="Comma 783 2 2 2" xfId="9352" xr:uid="{A8546CF7-6D63-49A3-8A9D-3E19D7FCC50B}"/>
    <cellStyle name="Comma 783 2 2 2 2" xfId="19704" xr:uid="{B235D23B-E3DD-4B16-A08F-D76389C5C151}"/>
    <cellStyle name="Comma 783 2 2 3" xfId="14529" xr:uid="{63C41EDC-6DD9-4993-B9F2-43AE33C1FDBF}"/>
    <cellStyle name="Comma 783 2 3" xfId="7294" xr:uid="{0855B40F-F8B1-491F-8873-DB77986B12FB}"/>
    <cellStyle name="Comma 783 2 3 2" xfId="17646" xr:uid="{A65E6426-D682-4D9F-A2CB-BD2826CBD690}"/>
    <cellStyle name="Comma 783 2 4" xfId="12471" xr:uid="{6F8E03BC-912C-4408-9489-A97E0A0280C2}"/>
    <cellStyle name="Comma 783 3" xfId="3089" xr:uid="{9DAE7F3A-717C-44E7-8311-B7FFAF1B6F29}"/>
    <cellStyle name="Comma 783 3 2" xfId="8322" xr:uid="{0E9F8A9A-0A50-4D2F-A7D7-9AEAC1C7822A}"/>
    <cellStyle name="Comma 783 3 2 2" xfId="18674" xr:uid="{544C3E0F-A645-4E4F-B838-4B9BEF4D857A}"/>
    <cellStyle name="Comma 783 3 3" xfId="13499" xr:uid="{FE0F7DB6-941A-4A75-90CE-8F6ED3B57E25}"/>
    <cellStyle name="Comma 783 4" xfId="5215" xr:uid="{44B2D97A-0716-4D43-9A83-117E28BF14DA}"/>
    <cellStyle name="Comma 783 4 2" xfId="10391" xr:uid="{BDAB1A50-53E0-4BF4-BA4D-F9C3C7345B0E}"/>
    <cellStyle name="Comma 783 4 2 2" xfId="20743" xr:uid="{66BCF743-8787-4029-AE66-ED01E1264E96}"/>
    <cellStyle name="Comma 783 4 3" xfId="15567" xr:uid="{F31C5E70-CB55-4703-A14C-DBF6BB9B71B7}"/>
    <cellStyle name="Comma 783 5" xfId="6263" xr:uid="{A2ECF172-0E56-438E-AD1E-F5B94FB6AEB2}"/>
    <cellStyle name="Comma 783 5 2" xfId="16615" xr:uid="{3AC23483-6E7E-4BD9-BA70-B4FEAB4ED2FE}"/>
    <cellStyle name="Comma 783 6" xfId="11441" xr:uid="{4F00691D-C87D-4384-8EDC-EE21C52285ED}"/>
    <cellStyle name="Comma 784" xfId="1024" xr:uid="{460C835F-2065-43B6-8FE1-725C2CCA98C5}"/>
    <cellStyle name="Comma 784 2" xfId="2062" xr:uid="{7B566245-8DC8-4F48-99C9-9507FAA42E6F}"/>
    <cellStyle name="Comma 784 2 2" xfId="4120" xr:uid="{340337F4-466B-49B9-9B1C-4789313937A7}"/>
    <cellStyle name="Comma 784 2 2 2" xfId="9353" xr:uid="{0F51808F-2413-443E-80E5-D9F7A4486600}"/>
    <cellStyle name="Comma 784 2 2 2 2" xfId="19705" xr:uid="{007E144A-CE68-4B18-922B-B7016BC1EA91}"/>
    <cellStyle name="Comma 784 2 2 3" xfId="14530" xr:uid="{2754DBE7-B4F7-4EFB-ADBA-F07E3A2AD1B3}"/>
    <cellStyle name="Comma 784 2 3" xfId="7295" xr:uid="{6F91DCA8-54BC-4B04-AE64-251A2B569EFD}"/>
    <cellStyle name="Comma 784 2 3 2" xfId="17647" xr:uid="{5B547274-09C0-456F-B00A-E7A89E2D86E4}"/>
    <cellStyle name="Comma 784 2 4" xfId="12472" xr:uid="{BBA59180-ADAE-4551-B281-C34A6E5A1D37}"/>
    <cellStyle name="Comma 784 3" xfId="3090" xr:uid="{46A560E5-9E61-4B6C-BAFD-BF429B4B5D21}"/>
    <cellStyle name="Comma 784 3 2" xfId="8323" xr:uid="{4DB9A716-0FBE-4FC9-8F3A-5F9548E6CE4D}"/>
    <cellStyle name="Comma 784 3 2 2" xfId="18675" xr:uid="{31479761-36DF-41DA-BAA4-BAC824219553}"/>
    <cellStyle name="Comma 784 3 3" xfId="13500" xr:uid="{C3DE895A-621F-4B52-8A85-E70A14DA35BF}"/>
    <cellStyle name="Comma 784 4" xfId="5216" xr:uid="{2FC404D5-C84F-41A2-A421-5F1A41A449F0}"/>
    <cellStyle name="Comma 784 4 2" xfId="10392" xr:uid="{1335F41B-C42E-4EEB-A387-22B05EF70D20}"/>
    <cellStyle name="Comma 784 4 2 2" xfId="20744" xr:uid="{2B434DF4-F699-4F75-870A-A2E9A3CC10F7}"/>
    <cellStyle name="Comma 784 4 3" xfId="15568" xr:uid="{56FAAF62-D3EB-4FB1-99BC-F5AC66196263}"/>
    <cellStyle name="Comma 784 5" xfId="6264" xr:uid="{B4657B8C-9640-4A6D-8C11-3211E5B95EC9}"/>
    <cellStyle name="Comma 784 5 2" xfId="16616" xr:uid="{33BA38FF-9D29-4563-AB79-DA06689A81B9}"/>
    <cellStyle name="Comma 784 6" xfId="11442" xr:uid="{0F0CBD43-65E1-4BA4-9459-5029469E71D2}"/>
    <cellStyle name="Comma 785" xfId="1025" xr:uid="{B7FF3C6D-B76A-419B-AC63-C912A506EBFB}"/>
    <cellStyle name="Comma 785 2" xfId="2063" xr:uid="{34B5C547-0055-4541-B759-470540DE46B4}"/>
    <cellStyle name="Comma 785 2 2" xfId="4121" xr:uid="{0738446A-70A2-48F0-A129-72196613F70B}"/>
    <cellStyle name="Comma 785 2 2 2" xfId="9354" xr:uid="{50DB69B6-03B7-4045-AC37-D1D8EF2B7F3B}"/>
    <cellStyle name="Comma 785 2 2 2 2" xfId="19706" xr:uid="{797C3019-877F-43D5-AEF6-2450468A2D50}"/>
    <cellStyle name="Comma 785 2 2 3" xfId="14531" xr:uid="{F1D17231-4C3C-4524-8C72-0D318E936289}"/>
    <cellStyle name="Comma 785 2 3" xfId="7296" xr:uid="{EA9D20B0-B880-4C5D-A414-6301A38CBC7F}"/>
    <cellStyle name="Comma 785 2 3 2" xfId="17648" xr:uid="{9E2AC728-E7B9-4A7F-9A9A-FDF5A0402EF2}"/>
    <cellStyle name="Comma 785 2 4" xfId="12473" xr:uid="{10348059-531D-4E1E-989F-71A576A75E77}"/>
    <cellStyle name="Comma 785 3" xfId="3091" xr:uid="{88E1A51D-0998-4CF9-83AB-1C677AAA1DCB}"/>
    <cellStyle name="Comma 785 3 2" xfId="8324" xr:uid="{004EED02-281F-4ACD-9225-DC84DECF873D}"/>
    <cellStyle name="Comma 785 3 2 2" xfId="18676" xr:uid="{1F12240C-FDC8-4599-81AE-3B7F8795649B}"/>
    <cellStyle name="Comma 785 3 3" xfId="13501" xr:uid="{B331AFFF-97FC-4C68-AD3E-C6AF86EA20C0}"/>
    <cellStyle name="Comma 785 4" xfId="5217" xr:uid="{56EDB522-3555-4946-8EC3-9F4CD622B183}"/>
    <cellStyle name="Comma 785 4 2" xfId="10393" xr:uid="{FCE22F92-FB4D-4902-A2D8-FCDB6E67E0C4}"/>
    <cellStyle name="Comma 785 4 2 2" xfId="20745" xr:uid="{78799DCE-7F15-4C73-9273-B4D55E080FF3}"/>
    <cellStyle name="Comma 785 4 3" xfId="15569" xr:uid="{1B754D02-720A-43EE-8438-47852901F64E}"/>
    <cellStyle name="Comma 785 5" xfId="6265" xr:uid="{DDF5FE00-9682-4B24-862B-405B4EAD234C}"/>
    <cellStyle name="Comma 785 5 2" xfId="16617" xr:uid="{793EC870-39A4-410A-91D3-A9AF736189C0}"/>
    <cellStyle name="Comma 785 6" xfId="11443" xr:uid="{C834C097-2461-421F-83B0-0A6833439106}"/>
    <cellStyle name="Comma 786" xfId="1026" xr:uid="{465F0B7F-1A34-49EE-9DCB-8DFCDDF6097B}"/>
    <cellStyle name="Comma 786 2" xfId="2064" xr:uid="{8E8D6BF7-5C8E-4E71-ADA2-F2646AF6C940}"/>
    <cellStyle name="Comma 786 2 2" xfId="4122" xr:uid="{3B0D777B-5825-471A-BAB8-E4FCBCA6B1A8}"/>
    <cellStyle name="Comma 786 2 2 2" xfId="9355" xr:uid="{D0BCC87F-548D-4D5B-851B-C554A26C9884}"/>
    <cellStyle name="Comma 786 2 2 2 2" xfId="19707" xr:uid="{1F20966D-3FC1-47AC-BE4B-6248B9B74ADF}"/>
    <cellStyle name="Comma 786 2 2 3" xfId="14532" xr:uid="{E34AA881-0C03-4C94-828F-4CB31CA9D1A6}"/>
    <cellStyle name="Comma 786 2 3" xfId="7297" xr:uid="{B73A3CA0-DA39-4059-9BBD-054BE30C5AAE}"/>
    <cellStyle name="Comma 786 2 3 2" xfId="17649" xr:uid="{0569016F-799A-460A-AB36-4FBFC5206424}"/>
    <cellStyle name="Comma 786 2 4" xfId="12474" xr:uid="{8E928CC6-35A3-4C2B-ADA5-C3CB274692D9}"/>
    <cellStyle name="Comma 786 3" xfId="3092" xr:uid="{C70BDFEB-1BD8-4B4D-94AE-4B8F6A7CE499}"/>
    <cellStyle name="Comma 786 3 2" xfId="8325" xr:uid="{341AFC14-93A3-4672-8492-45A025649B2D}"/>
    <cellStyle name="Comma 786 3 2 2" xfId="18677" xr:uid="{C1DE3EF1-BB30-4DD7-A851-0475C2264FD0}"/>
    <cellStyle name="Comma 786 3 3" xfId="13502" xr:uid="{2C613110-F021-43E1-9EEB-EF9B09479906}"/>
    <cellStyle name="Comma 786 4" xfId="5218" xr:uid="{FA54157A-2D09-4457-8F25-D2BABFE5FBD7}"/>
    <cellStyle name="Comma 786 4 2" xfId="10394" xr:uid="{732C4A64-A6DA-4913-BECB-3E59F20475FD}"/>
    <cellStyle name="Comma 786 4 2 2" xfId="20746" xr:uid="{02BF09DC-D3AD-4C7B-86AC-03F1A8221EAF}"/>
    <cellStyle name="Comma 786 4 3" xfId="15570" xr:uid="{67976497-E08C-4F07-85E8-96EF8A82894E}"/>
    <cellStyle name="Comma 786 5" xfId="6266" xr:uid="{6C4B5475-D877-419B-8056-0DE9EE5268C6}"/>
    <cellStyle name="Comma 786 5 2" xfId="16618" xr:uid="{CB15A31D-B8E9-48D8-8245-7C49A0030314}"/>
    <cellStyle name="Comma 786 6" xfId="11444" xr:uid="{06F4C466-D790-4366-B71A-39B5BCF8E9CD}"/>
    <cellStyle name="Comma 787" xfId="1027" xr:uid="{58F01476-18DB-49AD-9C63-E28B85709F13}"/>
    <cellStyle name="Comma 787 2" xfId="2065" xr:uid="{AB135E98-0218-43C1-BC89-7DF40C6CEC57}"/>
    <cellStyle name="Comma 787 2 2" xfId="4123" xr:uid="{99496259-B6AD-4F1B-9C09-FB9099CD5296}"/>
    <cellStyle name="Comma 787 2 2 2" xfId="9356" xr:uid="{C46044A2-052A-404B-8498-84036FFEEA26}"/>
    <cellStyle name="Comma 787 2 2 2 2" xfId="19708" xr:uid="{AB8F27E0-B21E-4D7F-8568-FCDC91AF4682}"/>
    <cellStyle name="Comma 787 2 2 3" xfId="14533" xr:uid="{06E428AA-0905-49A6-8FE1-78F5F5536956}"/>
    <cellStyle name="Comma 787 2 3" xfId="7298" xr:uid="{FCFB9A45-963F-499C-A014-D4B1C35842E4}"/>
    <cellStyle name="Comma 787 2 3 2" xfId="17650" xr:uid="{144F9C6A-E365-48AE-96A4-A9A1281C9CE6}"/>
    <cellStyle name="Comma 787 2 4" xfId="12475" xr:uid="{7080B09A-406F-4FF3-9869-DDA6A55F4E30}"/>
    <cellStyle name="Comma 787 3" xfId="3093" xr:uid="{EFDFEB6C-EB31-41A5-A4C9-0A4F87F9CEE0}"/>
    <cellStyle name="Comma 787 3 2" xfId="8326" xr:uid="{A74C2D43-5DE2-4D09-8C72-879CE4E437BA}"/>
    <cellStyle name="Comma 787 3 2 2" xfId="18678" xr:uid="{0F9886BE-9115-4104-9D5A-26CFC7175A5C}"/>
    <cellStyle name="Comma 787 3 3" xfId="13503" xr:uid="{6BC6008D-5099-468A-B921-6B3F9A3A8489}"/>
    <cellStyle name="Comma 787 4" xfId="5219" xr:uid="{47211637-F509-4B60-BBB3-DD68941C69ED}"/>
    <cellStyle name="Comma 787 4 2" xfId="10395" xr:uid="{3B91FC69-CA52-4128-81A1-85C6474E2682}"/>
    <cellStyle name="Comma 787 4 2 2" xfId="20747" xr:uid="{204D4B9B-5C92-4603-B1C1-A9419C61820F}"/>
    <cellStyle name="Comma 787 4 3" xfId="15571" xr:uid="{E6CD69F3-B4D2-4B3A-9864-B5620994F5A7}"/>
    <cellStyle name="Comma 787 5" xfId="6267" xr:uid="{004C1CA6-3055-413F-8E4F-391FCC9A0AB9}"/>
    <cellStyle name="Comma 787 5 2" xfId="16619" xr:uid="{D48E77EA-DA20-4E4E-9798-FCCAB2661992}"/>
    <cellStyle name="Comma 787 6" xfId="11445" xr:uid="{BA3C1328-1681-4C2C-8703-27613C889215}"/>
    <cellStyle name="Comma 788" xfId="1028" xr:uid="{1C026A37-F342-43BF-8D12-F943D1B12FBE}"/>
    <cellStyle name="Comma 788 2" xfId="2066" xr:uid="{A8DD7CE2-0BF6-4EE2-93E9-6D28C92BBE0C}"/>
    <cellStyle name="Comma 788 2 2" xfId="4124" xr:uid="{916DFC0E-1623-4857-BF49-8BB4AA85CCC6}"/>
    <cellStyle name="Comma 788 2 2 2" xfId="9357" xr:uid="{9581B1A6-3F53-4437-A4E6-E078B29CAC62}"/>
    <cellStyle name="Comma 788 2 2 2 2" xfId="19709" xr:uid="{073D2DAD-66CC-460F-BD2A-22BA4174D870}"/>
    <cellStyle name="Comma 788 2 2 3" xfId="14534" xr:uid="{DBE7C7DF-00F7-471D-B1FB-E18A11CCA2C8}"/>
    <cellStyle name="Comma 788 2 3" xfId="7299" xr:uid="{E70FF845-FDC9-499E-9202-F50CAB21BFC8}"/>
    <cellStyle name="Comma 788 2 3 2" xfId="17651" xr:uid="{3CF52A36-6DC5-43C9-A894-C545E19CBF73}"/>
    <cellStyle name="Comma 788 2 4" xfId="12476" xr:uid="{C7C0D1CF-40D6-408A-92B5-F7BC43449271}"/>
    <cellStyle name="Comma 788 3" xfId="3094" xr:uid="{6ECEA4D1-C97A-422C-BD75-0C98483E4FE3}"/>
    <cellStyle name="Comma 788 3 2" xfId="8327" xr:uid="{E4DFE432-6AEE-47D1-B860-061B79BEED49}"/>
    <cellStyle name="Comma 788 3 2 2" xfId="18679" xr:uid="{8A39D73F-688C-4455-BF1D-57FD50CE70A5}"/>
    <cellStyle name="Comma 788 3 3" xfId="13504" xr:uid="{C58B40CD-83AE-4001-9F27-D8EA6DA4FEEB}"/>
    <cellStyle name="Comma 788 4" xfId="5220" xr:uid="{6B12EE37-8836-4818-9ADD-70761655B7F1}"/>
    <cellStyle name="Comma 788 4 2" xfId="10396" xr:uid="{71064591-3DFB-4C33-AFAB-1FA2BFC4391F}"/>
    <cellStyle name="Comma 788 4 2 2" xfId="20748" xr:uid="{8D2506F2-8B6E-431C-9751-EA6026BAD12F}"/>
    <cellStyle name="Comma 788 4 3" xfId="15572" xr:uid="{E68DE387-31B1-48A2-AF26-F78A267EE0A8}"/>
    <cellStyle name="Comma 788 5" xfId="6268" xr:uid="{C9673699-4BB0-4F6C-AA83-AFB300898A42}"/>
    <cellStyle name="Comma 788 5 2" xfId="16620" xr:uid="{518E754A-8D9D-4E83-954B-09793358ED61}"/>
    <cellStyle name="Comma 788 6" xfId="11446" xr:uid="{7568DE93-31CA-42EF-828B-89B0B0E7D6F1}"/>
    <cellStyle name="Comma 789" xfId="1029" xr:uid="{92444CB5-8BDF-4AE2-8A06-99358E72CA1E}"/>
    <cellStyle name="Comma 789 2" xfId="2067" xr:uid="{B354A7A8-3E35-49DD-BE0E-FB340B45EA55}"/>
    <cellStyle name="Comma 789 2 2" xfId="4125" xr:uid="{8FFB6A2C-700B-404E-AC21-5B8B41AD206E}"/>
    <cellStyle name="Comma 789 2 2 2" xfId="9358" xr:uid="{CFCAE892-E8F4-4BC0-AB67-B9E39576580C}"/>
    <cellStyle name="Comma 789 2 2 2 2" xfId="19710" xr:uid="{5ACDC1DA-580A-4498-A5DE-E4E39CD40ECD}"/>
    <cellStyle name="Comma 789 2 2 3" xfId="14535" xr:uid="{D4698A8D-356E-4FFA-8329-A39E2E308B27}"/>
    <cellStyle name="Comma 789 2 3" xfId="7300" xr:uid="{2A9ED3A8-04DB-45F4-A4FE-315D2346677E}"/>
    <cellStyle name="Comma 789 2 3 2" xfId="17652" xr:uid="{37EBD0B5-1CCF-4903-9AEB-074B01C67C86}"/>
    <cellStyle name="Comma 789 2 4" xfId="12477" xr:uid="{8F648241-1B13-42A4-B8BD-C1109543785C}"/>
    <cellStyle name="Comma 789 3" xfId="3095" xr:uid="{99D3353B-444A-40C8-86F9-782394FD741C}"/>
    <cellStyle name="Comma 789 3 2" xfId="8328" xr:uid="{FFFEC750-CA81-4CDE-BD91-7E1F7BFA7F34}"/>
    <cellStyle name="Comma 789 3 2 2" xfId="18680" xr:uid="{527AE878-ADA5-4EF8-AF79-93AAA7F85FA7}"/>
    <cellStyle name="Comma 789 3 3" xfId="13505" xr:uid="{71AA3346-ACB0-4447-B45A-4E51E59D022F}"/>
    <cellStyle name="Comma 789 4" xfId="5221" xr:uid="{2A260AD9-8917-48CB-BA11-A6D1390D3552}"/>
    <cellStyle name="Comma 789 4 2" xfId="10397" xr:uid="{0C25BFDD-469F-4113-A79B-0E13E1448962}"/>
    <cellStyle name="Comma 789 4 2 2" xfId="20749" xr:uid="{59DF5B27-7555-4AB0-A771-D9ADBAA5A0A6}"/>
    <cellStyle name="Comma 789 4 3" xfId="15573" xr:uid="{30FD5346-6D3D-4E24-B798-E75EC287EC42}"/>
    <cellStyle name="Comma 789 5" xfId="6269" xr:uid="{74E93F0D-6FCB-4E75-9E77-B24A20B18D9B}"/>
    <cellStyle name="Comma 789 5 2" xfId="16621" xr:uid="{83E2727D-015D-4216-9B46-2394FF0C74DE}"/>
    <cellStyle name="Comma 789 6" xfId="11447" xr:uid="{6E19B4D3-6F7B-4EA0-8E49-98BAF0E8BDD1}"/>
    <cellStyle name="Comma 79" xfId="292" xr:uid="{93552BE5-7938-432A-B935-FB35D27C656C}"/>
    <cellStyle name="Comma 79 2" xfId="1357" xr:uid="{D5BDC577-ABF2-43C4-841C-76929A298571}"/>
    <cellStyle name="Comma 79 2 2" xfId="3415" xr:uid="{F67AF015-144D-4D0B-8FBC-B395F815F9DF}"/>
    <cellStyle name="Comma 79 2 2 2" xfId="8648" xr:uid="{ECD74CC8-DF72-4A53-BFA6-B14FB397B161}"/>
    <cellStyle name="Comma 79 2 2 2 2" xfId="19000" xr:uid="{70A3FB3B-3EB5-4E06-8109-9E6735AED651}"/>
    <cellStyle name="Comma 79 2 2 3" xfId="13825" xr:uid="{2F49BA7C-550A-4C65-BBD1-8244CA4965E5}"/>
    <cellStyle name="Comma 79 2 3" xfId="6590" xr:uid="{AA907167-3902-4A02-8CBD-0991185E3899}"/>
    <cellStyle name="Comma 79 2 3 2" xfId="16942" xr:uid="{FF9DCB15-ABA9-4A40-A5FC-7883A438682F}"/>
    <cellStyle name="Comma 79 2 4" xfId="11767" xr:uid="{4C527935-EBAF-4ACB-9C0D-7FE5DCD5DA96}"/>
    <cellStyle name="Comma 79 3" xfId="2385" xr:uid="{C3CCAE6E-748A-4517-89F6-D8324B0AC912}"/>
    <cellStyle name="Comma 79 3 2" xfId="7618" xr:uid="{BC106150-8EB9-41F6-AE2E-FAF5EDFF24F8}"/>
    <cellStyle name="Comma 79 3 2 2" xfId="17970" xr:uid="{065EFF2A-CB75-4272-9EE4-EDDF430F2CD2}"/>
    <cellStyle name="Comma 79 3 3" xfId="12795" xr:uid="{34227934-1F40-4583-84A0-1FBAEE89D17C}"/>
    <cellStyle name="Comma 79 4" xfId="4511" xr:uid="{FC4A5A75-ACCA-47C0-A111-79C6FBF05193}"/>
    <cellStyle name="Comma 79 4 2" xfId="9687" xr:uid="{C8783388-74BC-4452-B92F-5E4A3CCFBBF5}"/>
    <cellStyle name="Comma 79 4 2 2" xfId="20039" xr:uid="{4BC5D6B1-AB01-4BA8-AEA7-7CE0B7380701}"/>
    <cellStyle name="Comma 79 4 3" xfId="14863" xr:uid="{7FA99672-62B9-4174-AAE4-F1F6FA3CEAB5}"/>
    <cellStyle name="Comma 79 5" xfId="5559" xr:uid="{158A3CC9-BC9E-4E59-B21C-F23D8261A492}"/>
    <cellStyle name="Comma 79 5 2" xfId="15911" xr:uid="{23C68FB7-BBFC-4AF7-A655-45792864D6A4}"/>
    <cellStyle name="Comma 79 6" xfId="10737" xr:uid="{8D25A108-9B2B-4FA1-AB7E-008E0D111D67}"/>
    <cellStyle name="Comma 790" xfId="1030" xr:uid="{6411665D-68A0-4E0F-8066-511FE083AAF6}"/>
    <cellStyle name="Comma 790 2" xfId="2068" xr:uid="{E0F1AFF8-A0F6-4337-A5E3-2B1F8BD34A7A}"/>
    <cellStyle name="Comma 790 2 2" xfId="4126" xr:uid="{D1D49319-98F8-41F7-83EE-64AE18D7651C}"/>
    <cellStyle name="Comma 790 2 2 2" xfId="9359" xr:uid="{BF143304-C21E-43A0-BA7E-96A7FCFA48FE}"/>
    <cellStyle name="Comma 790 2 2 2 2" xfId="19711" xr:uid="{4AB24CB3-570F-40B1-AF8D-088CD8525F77}"/>
    <cellStyle name="Comma 790 2 2 3" xfId="14536" xr:uid="{B74A7FE5-42E6-4A42-919F-0EC28AB0A6EE}"/>
    <cellStyle name="Comma 790 2 3" xfId="7301" xr:uid="{B24CA6D6-FFB4-42E4-BEA0-4FDB1E37AE0A}"/>
    <cellStyle name="Comma 790 2 3 2" xfId="17653" xr:uid="{214817F9-AC65-4F6B-950B-1EF2E4FB4AA5}"/>
    <cellStyle name="Comma 790 2 4" xfId="12478" xr:uid="{2F9CDE54-92CE-4A57-A013-29D27DC40ABE}"/>
    <cellStyle name="Comma 790 3" xfId="3096" xr:uid="{BD64CDF2-B9EA-4C38-BC98-F63E5C1A51E8}"/>
    <cellStyle name="Comma 790 3 2" xfId="8329" xr:uid="{85E53B58-037A-4292-80D5-3563D882C963}"/>
    <cellStyle name="Comma 790 3 2 2" xfId="18681" xr:uid="{1785F23B-344B-49B7-9D84-8732519A9199}"/>
    <cellStyle name="Comma 790 3 3" xfId="13506" xr:uid="{66C432C6-3917-4DF3-BF90-67D26FE1D134}"/>
    <cellStyle name="Comma 790 4" xfId="5222" xr:uid="{614BAA1D-A7B4-49CA-AB68-DD5BA3444628}"/>
    <cellStyle name="Comma 790 4 2" xfId="10398" xr:uid="{FB2E887F-6BCC-4142-98BD-05A986DB8885}"/>
    <cellStyle name="Comma 790 4 2 2" xfId="20750" xr:uid="{B91C1DDE-4EA2-4315-92A3-F1C745EC4DFD}"/>
    <cellStyle name="Comma 790 4 3" xfId="15574" xr:uid="{884445DE-8F37-40C2-966C-F303A3D8FB49}"/>
    <cellStyle name="Comma 790 5" xfId="6270" xr:uid="{625FD948-5D58-4898-9FEF-4AA07841E673}"/>
    <cellStyle name="Comma 790 5 2" xfId="16622" xr:uid="{705D3930-15D8-4622-863A-0B2E5F588519}"/>
    <cellStyle name="Comma 790 6" xfId="11448" xr:uid="{ADB8EA7B-A810-4F8C-B317-B8703CCF4871}"/>
    <cellStyle name="Comma 791" xfId="1031" xr:uid="{88E8C9BD-F414-496F-8C1C-732DE95DB69B}"/>
    <cellStyle name="Comma 791 2" xfId="2069" xr:uid="{5DC4BB78-EC6D-4807-A811-870D74FBB9FA}"/>
    <cellStyle name="Comma 791 2 2" xfId="4127" xr:uid="{400A1892-5034-4856-ADBA-B31D9DAD7781}"/>
    <cellStyle name="Comma 791 2 2 2" xfId="9360" xr:uid="{AEE4E82A-8850-48D5-95A5-9C22904A8BBF}"/>
    <cellStyle name="Comma 791 2 2 2 2" xfId="19712" xr:uid="{859D3F6E-4743-4AD4-8EF4-658D95531D28}"/>
    <cellStyle name="Comma 791 2 2 3" xfId="14537" xr:uid="{2736F238-EA42-401B-96C5-8CF261C122BC}"/>
    <cellStyle name="Comma 791 2 3" xfId="7302" xr:uid="{D81BF04F-5AD1-4611-839D-53A1455275E8}"/>
    <cellStyle name="Comma 791 2 3 2" xfId="17654" xr:uid="{26F756A5-78F3-41D6-B4F2-D4B7D5B0CFCE}"/>
    <cellStyle name="Comma 791 2 4" xfId="12479" xr:uid="{B0AD2E39-7A9D-443A-BE7F-784B6FF21A2C}"/>
    <cellStyle name="Comma 791 3" xfId="3097" xr:uid="{F35ACAF2-6B7C-44FB-AFB7-53A8D3084708}"/>
    <cellStyle name="Comma 791 3 2" xfId="8330" xr:uid="{9CD9BFDA-D869-482E-83EE-31E2D7F6A709}"/>
    <cellStyle name="Comma 791 3 2 2" xfId="18682" xr:uid="{D1AD498A-0CE7-47DF-BD1F-5668AC514F49}"/>
    <cellStyle name="Comma 791 3 3" xfId="13507" xr:uid="{284908AC-05AE-4586-A987-671ED3F1DF05}"/>
    <cellStyle name="Comma 791 4" xfId="5223" xr:uid="{2A06EF35-585D-4EED-BA0F-98A57CF282AC}"/>
    <cellStyle name="Comma 791 4 2" xfId="10399" xr:uid="{FCE3F0FC-285A-4617-B4B1-CAD55AD3D652}"/>
    <cellStyle name="Comma 791 4 2 2" xfId="20751" xr:uid="{B20E8E46-F6DF-4D59-A6E7-2B84A0C374E7}"/>
    <cellStyle name="Comma 791 4 3" xfId="15575" xr:uid="{4B7B7067-3213-43CF-947E-BC0DFD11DC71}"/>
    <cellStyle name="Comma 791 5" xfId="6271" xr:uid="{CAD77F41-DCC4-4313-80B2-1094702E4C3A}"/>
    <cellStyle name="Comma 791 5 2" xfId="16623" xr:uid="{1AD860DE-BF28-4F54-A334-32FD779ADBC5}"/>
    <cellStyle name="Comma 791 6" xfId="11449" xr:uid="{EE6AED9F-FD5D-4C27-9D7B-908B0C793778}"/>
    <cellStyle name="Comma 792" xfId="1032" xr:uid="{A2B65E50-F84A-401F-827E-103FE95EBF6A}"/>
    <cellStyle name="Comma 792 2" xfId="2070" xr:uid="{C16C2346-0F96-4803-99A5-ABFEBF2255B3}"/>
    <cellStyle name="Comma 792 2 2" xfId="4128" xr:uid="{83A98143-2949-485B-A6AB-7A93F10F2886}"/>
    <cellStyle name="Comma 792 2 2 2" xfId="9361" xr:uid="{695F47E1-B044-404E-BF2B-A6B9AB606761}"/>
    <cellStyle name="Comma 792 2 2 2 2" xfId="19713" xr:uid="{FF35247A-5652-4360-89B2-960A224989BF}"/>
    <cellStyle name="Comma 792 2 2 3" xfId="14538" xr:uid="{DDDC7DE5-3341-41A8-8A3D-6D7B22B97E0B}"/>
    <cellStyle name="Comma 792 2 3" xfId="7303" xr:uid="{57EE8166-6ED1-4CCA-9656-E68E601F861C}"/>
    <cellStyle name="Comma 792 2 3 2" xfId="17655" xr:uid="{B0A87ECB-9E72-4909-A695-B1E3EC250518}"/>
    <cellStyle name="Comma 792 2 4" xfId="12480" xr:uid="{F7287206-41F3-4CB4-811A-73CEC9A5246E}"/>
    <cellStyle name="Comma 792 3" xfId="3098" xr:uid="{31EEC573-55B8-4705-BD05-E389B3C8D721}"/>
    <cellStyle name="Comma 792 3 2" xfId="8331" xr:uid="{946429B5-32E5-42FB-997A-A59A3CACADE2}"/>
    <cellStyle name="Comma 792 3 2 2" xfId="18683" xr:uid="{E0B5C119-D9F9-47E0-99E0-2D1083F72D6B}"/>
    <cellStyle name="Comma 792 3 3" xfId="13508" xr:uid="{3D5E13DC-9197-409B-8277-EF30658E7ED3}"/>
    <cellStyle name="Comma 792 4" xfId="5224" xr:uid="{60F6B647-2371-4D93-9C59-C3FDCD1B0B53}"/>
    <cellStyle name="Comma 792 4 2" xfId="10400" xr:uid="{5375B3D9-546C-4458-85A9-10653B57A4E1}"/>
    <cellStyle name="Comma 792 4 2 2" xfId="20752" xr:uid="{28859522-0F79-42CA-95BD-89F8ACCA8833}"/>
    <cellStyle name="Comma 792 4 3" xfId="15576" xr:uid="{0C0FC44B-B4B7-48C4-80B5-D861B7D8A485}"/>
    <cellStyle name="Comma 792 5" xfId="6272" xr:uid="{2FBBE6C1-F532-42A3-85A0-783E851B04DA}"/>
    <cellStyle name="Comma 792 5 2" xfId="16624" xr:uid="{4245E9DB-2120-4FBD-8858-4140F0075ED3}"/>
    <cellStyle name="Comma 792 6" xfId="11450" xr:uid="{75AC61BA-4C05-4E17-A1F7-F395AC4E3A4E}"/>
    <cellStyle name="Comma 793" xfId="1033" xr:uid="{FDAFAD55-88ED-40B1-BAA6-937A106E0C29}"/>
    <cellStyle name="Comma 793 2" xfId="2071" xr:uid="{84420541-324D-4434-B131-83DC32C8ECB3}"/>
    <cellStyle name="Comma 793 2 2" xfId="4129" xr:uid="{2D78AF2E-5613-4D70-BBD0-03C8945A342F}"/>
    <cellStyle name="Comma 793 2 2 2" xfId="9362" xr:uid="{1BF6643F-0857-4945-8C5B-DD96FB351AB9}"/>
    <cellStyle name="Comma 793 2 2 2 2" xfId="19714" xr:uid="{420B28E3-F9B6-4C62-BB33-0FF65EB8A098}"/>
    <cellStyle name="Comma 793 2 2 3" xfId="14539" xr:uid="{EF1A415C-33B2-4E9D-8B96-215146FA8832}"/>
    <cellStyle name="Comma 793 2 3" xfId="7304" xr:uid="{706A389E-1401-4C9A-9343-DC0696C816B3}"/>
    <cellStyle name="Comma 793 2 3 2" xfId="17656" xr:uid="{804A8CCB-8BA7-4C1E-B884-8FF5560F67FD}"/>
    <cellStyle name="Comma 793 2 4" xfId="12481" xr:uid="{ED0068BF-70FE-448B-9550-C71C6870E606}"/>
    <cellStyle name="Comma 793 3" xfId="3099" xr:uid="{6C5061AA-B117-4166-8E32-60BE0566A1FF}"/>
    <cellStyle name="Comma 793 3 2" xfId="8332" xr:uid="{40F158D5-0C06-4138-B8DF-4365AC007464}"/>
    <cellStyle name="Comma 793 3 2 2" xfId="18684" xr:uid="{03D81E8F-F072-42F9-A3DD-E899A196B453}"/>
    <cellStyle name="Comma 793 3 3" xfId="13509" xr:uid="{89285023-EA17-4882-9D6B-FB0544E9AF5C}"/>
    <cellStyle name="Comma 793 4" xfId="5225" xr:uid="{1C3E5DBB-5BFD-4C31-81A2-38DB81F309A6}"/>
    <cellStyle name="Comma 793 4 2" xfId="10401" xr:uid="{51F49A6F-409C-4E81-BB27-37F23440EF17}"/>
    <cellStyle name="Comma 793 4 2 2" xfId="20753" xr:uid="{916248A6-D91E-4181-B828-60004FFE0268}"/>
    <cellStyle name="Comma 793 4 3" xfId="15577" xr:uid="{E3E42175-40B9-4B7F-A64E-B99F23EA10E2}"/>
    <cellStyle name="Comma 793 5" xfId="6273" xr:uid="{EFC4B9A5-BA3A-4A3E-8A26-D6C308C34DCC}"/>
    <cellStyle name="Comma 793 5 2" xfId="16625" xr:uid="{E389F425-4DE5-4CD2-802B-E37D137DF07E}"/>
    <cellStyle name="Comma 793 6" xfId="11451" xr:uid="{109005F3-E373-452B-9508-A44CCC4A84BA}"/>
    <cellStyle name="Comma 794" xfId="1034" xr:uid="{03A9522C-AC9F-4034-84A7-FECC47C1C5EA}"/>
    <cellStyle name="Comma 794 2" xfId="2072" xr:uid="{7BB3861F-F757-4E5E-94E1-EF806379D89A}"/>
    <cellStyle name="Comma 794 2 2" xfId="4130" xr:uid="{CDCC0BCB-12A8-4470-BCDF-5F82ACA871AE}"/>
    <cellStyle name="Comma 794 2 2 2" xfId="9363" xr:uid="{80AA6CF7-3565-410F-85F6-DFB671545202}"/>
    <cellStyle name="Comma 794 2 2 2 2" xfId="19715" xr:uid="{C32B6578-A04C-4D29-B8F4-AB3B0A895D1E}"/>
    <cellStyle name="Comma 794 2 2 3" xfId="14540" xr:uid="{CFDB93D9-3E7A-4F59-9F88-4880F0448B55}"/>
    <cellStyle name="Comma 794 2 3" xfId="7305" xr:uid="{10A5409E-BD64-4CE8-8310-4322A4634BBA}"/>
    <cellStyle name="Comma 794 2 3 2" xfId="17657" xr:uid="{BE543F78-0218-4316-956B-8B3689326D7D}"/>
    <cellStyle name="Comma 794 2 4" xfId="12482" xr:uid="{9A435EB5-7117-48ED-91C6-A15E7AD4BB92}"/>
    <cellStyle name="Comma 794 3" xfId="3100" xr:uid="{34E3469A-5394-45E2-8E87-F5CC26BB1FE1}"/>
    <cellStyle name="Comma 794 3 2" xfId="8333" xr:uid="{B88D2EDD-D0B3-4DF2-82FE-7060848F2B28}"/>
    <cellStyle name="Comma 794 3 2 2" xfId="18685" xr:uid="{B5F72656-5E61-4CE5-8DF3-4B4C64606AD0}"/>
    <cellStyle name="Comma 794 3 3" xfId="13510" xr:uid="{EDAB510F-A2F0-4098-81BB-A5654D633B0E}"/>
    <cellStyle name="Comma 794 4" xfId="5226" xr:uid="{A0132CB3-323E-4264-8512-7B42A3AFE6F2}"/>
    <cellStyle name="Comma 794 4 2" xfId="10402" xr:uid="{F3C4A9CB-DC0D-46A1-A9B2-757F409A5CBB}"/>
    <cellStyle name="Comma 794 4 2 2" xfId="20754" xr:uid="{0208E59B-AAA6-4B5F-878A-205801F056B9}"/>
    <cellStyle name="Comma 794 4 3" xfId="15578" xr:uid="{936DBA58-ADFE-4513-A0F7-9B28B7BDC00B}"/>
    <cellStyle name="Comma 794 5" xfId="6274" xr:uid="{090A597B-A303-474F-8DED-2B2C00708735}"/>
    <cellStyle name="Comma 794 5 2" xfId="16626" xr:uid="{968E9750-AEFC-4303-AE26-CAB345FE1690}"/>
    <cellStyle name="Comma 794 6" xfId="11452" xr:uid="{5FDD8BED-0693-4B0D-AAA4-9A7BA9006669}"/>
    <cellStyle name="Comma 795" xfId="1035" xr:uid="{A15BDEE9-B6C2-4F57-B48A-1B3CD39CEB30}"/>
    <cellStyle name="Comma 795 2" xfId="2073" xr:uid="{4C76DDD9-C964-4B12-8518-9A92217F8547}"/>
    <cellStyle name="Comma 795 2 2" xfId="4131" xr:uid="{52D173D9-063F-4471-A495-87AF4BE74511}"/>
    <cellStyle name="Comma 795 2 2 2" xfId="9364" xr:uid="{B50DE495-255A-4EAD-B4D4-DA22FAA4A66B}"/>
    <cellStyle name="Comma 795 2 2 2 2" xfId="19716" xr:uid="{65259CBD-4342-44AC-922C-A9CFF35D66D3}"/>
    <cellStyle name="Comma 795 2 2 3" xfId="14541" xr:uid="{E58BE8C0-71E3-4457-887C-CE3CDB40AD3E}"/>
    <cellStyle name="Comma 795 2 3" xfId="7306" xr:uid="{1F87599B-1CFA-4220-B21E-02EB92378BAB}"/>
    <cellStyle name="Comma 795 2 3 2" xfId="17658" xr:uid="{417C03E0-5567-4E0B-A772-0F0EB87DC677}"/>
    <cellStyle name="Comma 795 2 4" xfId="12483" xr:uid="{143C3448-4AE4-45DE-BC93-F45516C8C228}"/>
    <cellStyle name="Comma 795 3" xfId="3101" xr:uid="{3F2491C3-B9A8-4A15-81DA-71F1B86FE198}"/>
    <cellStyle name="Comma 795 3 2" xfId="8334" xr:uid="{69EA9779-47B2-4107-8E84-494364744497}"/>
    <cellStyle name="Comma 795 3 2 2" xfId="18686" xr:uid="{6B2FD2F2-1D1C-4BB5-ABA6-485802D34664}"/>
    <cellStyle name="Comma 795 3 3" xfId="13511" xr:uid="{3CD34CF1-8344-4106-BBEF-05BF2525B06B}"/>
    <cellStyle name="Comma 795 4" xfId="5227" xr:uid="{793A2DE1-64C6-4527-ACA0-5BECAE601B26}"/>
    <cellStyle name="Comma 795 4 2" xfId="10403" xr:uid="{D1C555DD-D883-46DB-BA9C-E231CCF57A50}"/>
    <cellStyle name="Comma 795 4 2 2" xfId="20755" xr:uid="{B3FB1E02-8112-4AE1-AC5D-BE3038C5F1C8}"/>
    <cellStyle name="Comma 795 4 3" xfId="15579" xr:uid="{E43A6F56-257A-4C9F-89BE-FA59AE1B7ED0}"/>
    <cellStyle name="Comma 795 5" xfId="6275" xr:uid="{EB95EB03-D54E-44E9-BA7C-A742686DFEDA}"/>
    <cellStyle name="Comma 795 5 2" xfId="16627" xr:uid="{2FC2F0DD-2572-4112-A221-03C6F68E58B3}"/>
    <cellStyle name="Comma 795 6" xfId="11453" xr:uid="{EDB1D3BA-EBF4-456A-B295-4B5CE5B6F84B}"/>
    <cellStyle name="Comma 796" xfId="1036" xr:uid="{34A61068-EBDC-43F5-B9DE-F51EFEA5B2EA}"/>
    <cellStyle name="Comma 796 2" xfId="2074" xr:uid="{FAD34091-A244-42A2-9A3C-07475BCEC06E}"/>
    <cellStyle name="Comma 796 2 2" xfId="4132" xr:uid="{C7663E09-BCAD-43E3-846B-B9F46D3C15EA}"/>
    <cellStyle name="Comma 796 2 2 2" xfId="9365" xr:uid="{16C84087-DC95-4396-8F7D-780730D32A50}"/>
    <cellStyle name="Comma 796 2 2 2 2" xfId="19717" xr:uid="{1406A95C-7B0F-4AB7-B7F1-0C6222B14EAB}"/>
    <cellStyle name="Comma 796 2 2 3" xfId="14542" xr:uid="{E6D6FB3D-2DEB-477E-B8FF-C5A827336A28}"/>
    <cellStyle name="Comma 796 2 3" xfId="7307" xr:uid="{DAE5A0CC-299D-4256-86AA-6517A52F6411}"/>
    <cellStyle name="Comma 796 2 3 2" xfId="17659" xr:uid="{CF2952CD-2280-4FA4-9846-53AFE8355FC6}"/>
    <cellStyle name="Comma 796 2 4" xfId="12484" xr:uid="{760F2E5D-6AFF-49C1-919A-8B1F87196640}"/>
    <cellStyle name="Comma 796 3" xfId="3102" xr:uid="{648E744E-456B-4889-A940-6BD5A7FC7C96}"/>
    <cellStyle name="Comma 796 3 2" xfId="8335" xr:uid="{1C3FE247-8BC8-42F5-8BE3-CBAF9A5EB840}"/>
    <cellStyle name="Comma 796 3 2 2" xfId="18687" xr:uid="{D8C64B59-ECE3-44D2-BB4B-0FDF832F6EDB}"/>
    <cellStyle name="Comma 796 3 3" xfId="13512" xr:uid="{6C9D4F1F-3F67-439D-928B-0F90E439D5C2}"/>
    <cellStyle name="Comma 796 4" xfId="5228" xr:uid="{58076A51-CF09-4FC5-B63C-DFC132E93165}"/>
    <cellStyle name="Comma 796 4 2" xfId="10404" xr:uid="{DEC83062-9D06-40EA-9AA7-CFB2A6AF02D5}"/>
    <cellStyle name="Comma 796 4 2 2" xfId="20756" xr:uid="{668EE892-C92A-490B-8DBD-FDA4090AB336}"/>
    <cellStyle name="Comma 796 4 3" xfId="15580" xr:uid="{16C84F3F-BD85-4D86-AEE5-698736728D49}"/>
    <cellStyle name="Comma 796 5" xfId="6276" xr:uid="{428BB27A-F52B-462E-968B-7D8B0FA152FA}"/>
    <cellStyle name="Comma 796 5 2" xfId="16628" xr:uid="{A29A4483-8E95-4BE1-A633-0A6CEDB61BB1}"/>
    <cellStyle name="Comma 796 6" xfId="11454" xr:uid="{D9A6B929-977C-42EE-BED4-7191BC3DF030}"/>
    <cellStyle name="Comma 797" xfId="1037" xr:uid="{7C23782C-FCF9-47E3-B709-6CB2181D26AB}"/>
    <cellStyle name="Comma 797 2" xfId="2075" xr:uid="{A990D86E-D819-4D1F-8434-F41D28777E99}"/>
    <cellStyle name="Comma 797 2 2" xfId="4133" xr:uid="{D0EF2A2E-BFC5-495D-ACD3-7F2C2BD1B29E}"/>
    <cellStyle name="Comma 797 2 2 2" xfId="9366" xr:uid="{15942F2B-6714-407C-803F-B3469C910F3A}"/>
    <cellStyle name="Comma 797 2 2 2 2" xfId="19718" xr:uid="{557C818D-1718-4D9A-8A10-A25E8B1A3785}"/>
    <cellStyle name="Comma 797 2 2 3" xfId="14543" xr:uid="{AFFFB87A-DA28-43D9-B942-FDBEB1772FD0}"/>
    <cellStyle name="Comma 797 2 3" xfId="7308" xr:uid="{C657E1E7-1AEA-411A-95A5-319F7877E422}"/>
    <cellStyle name="Comma 797 2 3 2" xfId="17660" xr:uid="{24C2F689-D1DC-4846-888A-F21305C9BCEF}"/>
    <cellStyle name="Comma 797 2 4" xfId="12485" xr:uid="{4E596B45-8C8E-41CA-8D52-E774FAC6EC9D}"/>
    <cellStyle name="Comma 797 3" xfId="3103" xr:uid="{9A4D1F4E-4F31-4090-9ECF-3F24B8A777E6}"/>
    <cellStyle name="Comma 797 3 2" xfId="8336" xr:uid="{9AA85E14-F42C-4409-B7D8-F13A37E3E436}"/>
    <cellStyle name="Comma 797 3 2 2" xfId="18688" xr:uid="{774DB5D6-7AE8-49C7-B42B-7DBC33734B10}"/>
    <cellStyle name="Comma 797 3 3" xfId="13513" xr:uid="{0A4268BD-67A5-4A74-BB8A-698FCB0DC930}"/>
    <cellStyle name="Comma 797 4" xfId="5229" xr:uid="{B0A05BEA-48BD-476C-9E2C-B1EFC4E4685B}"/>
    <cellStyle name="Comma 797 4 2" xfId="10405" xr:uid="{EB6B20E1-2BF4-427B-A05E-95F42EAC2936}"/>
    <cellStyle name="Comma 797 4 2 2" xfId="20757" xr:uid="{E146B56A-9846-4CA6-A540-BD83C94825DD}"/>
    <cellStyle name="Comma 797 4 3" xfId="15581" xr:uid="{E6349505-A26F-4651-9F3E-C83F06328355}"/>
    <cellStyle name="Comma 797 5" xfId="6277" xr:uid="{BC6D1563-3409-433F-81A7-2A3C9CEA1008}"/>
    <cellStyle name="Comma 797 5 2" xfId="16629" xr:uid="{C4B7A764-2C2A-489F-821C-506D23484BA2}"/>
    <cellStyle name="Comma 797 6" xfId="11455" xr:uid="{44C85F80-1CFD-443C-B846-6259BC07E07F}"/>
    <cellStyle name="Comma 798" xfId="1038" xr:uid="{AEE9AC04-8F2A-4D8A-A015-2814FD6BC8EB}"/>
    <cellStyle name="Comma 798 2" xfId="2076" xr:uid="{14DE4B33-FD17-4C0D-8E54-C960A3ED267F}"/>
    <cellStyle name="Comma 798 2 2" xfId="4134" xr:uid="{1F64D639-7FA2-4F1C-BD9D-B24648FD4109}"/>
    <cellStyle name="Comma 798 2 2 2" xfId="9367" xr:uid="{E417C898-712E-4DBC-BE86-F3AA42546842}"/>
    <cellStyle name="Comma 798 2 2 2 2" xfId="19719" xr:uid="{E81FA3B3-F4EF-4C9B-8B62-4B66A6744C81}"/>
    <cellStyle name="Comma 798 2 2 3" xfId="14544" xr:uid="{E8461645-D08C-4FF6-BDD5-D6C53186F95C}"/>
    <cellStyle name="Comma 798 2 3" xfId="7309" xr:uid="{3286EAFE-D53B-4309-A715-CC72C418412D}"/>
    <cellStyle name="Comma 798 2 3 2" xfId="17661" xr:uid="{E2769CAF-DBBB-42CF-A394-23715478B45F}"/>
    <cellStyle name="Comma 798 2 4" xfId="12486" xr:uid="{48519B21-C4EB-49E5-BE37-134A79C30D19}"/>
    <cellStyle name="Comma 798 3" xfId="3104" xr:uid="{55C07345-C662-486D-9B8E-1213F0E9A916}"/>
    <cellStyle name="Comma 798 3 2" xfId="8337" xr:uid="{3C5B40C5-39FA-4EFE-B75E-56CD4D2F3C0E}"/>
    <cellStyle name="Comma 798 3 2 2" xfId="18689" xr:uid="{9B7D0587-30C6-4D3D-AA0F-84D610FB096C}"/>
    <cellStyle name="Comma 798 3 3" xfId="13514" xr:uid="{CF01DD3C-A517-4B1F-AF12-577408CECE3B}"/>
    <cellStyle name="Comma 798 4" xfId="5230" xr:uid="{753F6C2F-7E73-4039-8F49-6DD914CA24C1}"/>
    <cellStyle name="Comma 798 4 2" xfId="10406" xr:uid="{9049B435-5B4D-47C7-B054-FCECB2DC9982}"/>
    <cellStyle name="Comma 798 4 2 2" xfId="20758" xr:uid="{EB09D6C7-EE44-45AB-9217-CE2EBAD511C1}"/>
    <cellStyle name="Comma 798 4 3" xfId="15582" xr:uid="{1A0727B3-C9D2-4FE6-91EB-4A7E98A4569A}"/>
    <cellStyle name="Comma 798 5" xfId="6278" xr:uid="{5D83E2BF-C3FF-46E2-BDF3-E70D6D73F09B}"/>
    <cellStyle name="Comma 798 5 2" xfId="16630" xr:uid="{9A1D0424-EC1C-4CFA-8510-6827FA52E04E}"/>
    <cellStyle name="Comma 798 6" xfId="11456" xr:uid="{06766506-4D2E-40A8-A7DA-02C2902B42C5}"/>
    <cellStyle name="Comma 799" xfId="1039" xr:uid="{2734B111-D638-4CF9-B32E-22CFACFC2537}"/>
    <cellStyle name="Comma 799 2" xfId="2077" xr:uid="{66277512-59F6-4E76-A3E2-B8DD6A426CA5}"/>
    <cellStyle name="Comma 799 2 2" xfId="4135" xr:uid="{953C47B9-1FB1-4B2C-AFF5-79AF2A467B9A}"/>
    <cellStyle name="Comma 799 2 2 2" xfId="9368" xr:uid="{B2D3C039-7732-40D0-B2C5-3D7E3B76F14F}"/>
    <cellStyle name="Comma 799 2 2 2 2" xfId="19720" xr:uid="{399B18F8-B875-44C0-8E56-41E53C02A2F9}"/>
    <cellStyle name="Comma 799 2 2 3" xfId="14545" xr:uid="{072E1D29-72FE-4A43-ADBF-A85B51341CAA}"/>
    <cellStyle name="Comma 799 2 3" xfId="7310" xr:uid="{9FF763C1-6B32-480D-9A14-AA9D93AC0599}"/>
    <cellStyle name="Comma 799 2 3 2" xfId="17662" xr:uid="{C7C89194-063C-4487-956B-633378F1445C}"/>
    <cellStyle name="Comma 799 2 4" xfId="12487" xr:uid="{41C7FFEF-3440-4AA4-B751-55EA15D6D14C}"/>
    <cellStyle name="Comma 799 3" xfId="3105" xr:uid="{9C9BC101-85B4-47BB-8E8E-4D28B8EC2B02}"/>
    <cellStyle name="Comma 799 3 2" xfId="8338" xr:uid="{6C9B5D7F-C9ED-464B-ABBA-BFBFD6BA8B92}"/>
    <cellStyle name="Comma 799 3 2 2" xfId="18690" xr:uid="{C8A61145-3827-42E7-809F-82B1BA6A5025}"/>
    <cellStyle name="Comma 799 3 3" xfId="13515" xr:uid="{1BDD57BF-16D8-4A56-835F-F2392E18D59C}"/>
    <cellStyle name="Comma 799 4" xfId="5231" xr:uid="{3154E421-3C45-4243-B6EF-5641EF627089}"/>
    <cellStyle name="Comma 799 4 2" xfId="10407" xr:uid="{AE38E8AF-25D3-4588-B2AA-17797FEF8032}"/>
    <cellStyle name="Comma 799 4 2 2" xfId="20759" xr:uid="{32D914B7-25C7-446F-BC5C-9B592CBDA838}"/>
    <cellStyle name="Comma 799 4 3" xfId="15583" xr:uid="{9BD79BB4-B526-42C6-8BF6-500B17713F94}"/>
    <cellStyle name="Comma 799 5" xfId="6279" xr:uid="{61B1D8BC-FB44-4592-ADA2-9FA00187E56E}"/>
    <cellStyle name="Comma 799 5 2" xfId="16631" xr:uid="{4D5B032F-CD5B-4108-A7CF-FF1DC468AB75}"/>
    <cellStyle name="Comma 799 6" xfId="11457" xr:uid="{0CB58A33-A53B-4CEA-903A-6492E1181B64}"/>
    <cellStyle name="Comma 8" xfId="200" xr:uid="{2E85E71D-D188-4369-A48D-A467CBB02DD2}"/>
    <cellStyle name="Comma 8 2" xfId="1286" xr:uid="{A58853F2-1EEA-43F8-8C37-7103D6B8F959}"/>
    <cellStyle name="Comma 8 2 2" xfId="3344" xr:uid="{E342173F-0145-475D-9922-D3239BCD51A1}"/>
    <cellStyle name="Comma 8 2 2 2" xfId="8577" xr:uid="{6989B37D-0BDC-40CB-A0C8-494BB7EF5017}"/>
    <cellStyle name="Comma 8 2 2 2 2" xfId="18929" xr:uid="{FCCD2732-E76A-4E5B-9D29-D28EEC39F3A8}"/>
    <cellStyle name="Comma 8 2 2 3" xfId="13754" xr:uid="{5A539A02-E496-4737-AB3F-A6AFB32A7CAF}"/>
    <cellStyle name="Comma 8 2 3" xfId="6519" xr:uid="{3877BEFA-91B2-4272-B835-94551D888083}"/>
    <cellStyle name="Comma 8 2 3 2" xfId="16871" xr:uid="{14C38EEF-AF46-4B7C-8C1C-69F55F12900B}"/>
    <cellStyle name="Comma 8 2 4" xfId="11696" xr:uid="{27945364-0271-4666-B280-8A8FB1CCB63D}"/>
    <cellStyle name="Comma 8 3" xfId="2314" xr:uid="{8F9ACDE6-E127-4029-B7BA-36806ABBD151}"/>
    <cellStyle name="Comma 8 3 2" xfId="7547" xr:uid="{2FC365E0-8B52-4F7C-8921-0D370857AEC3}"/>
    <cellStyle name="Comma 8 3 2 2" xfId="17899" xr:uid="{29D612BA-0A0A-4484-99F6-4AA44091A966}"/>
    <cellStyle name="Comma 8 3 3" xfId="12724" xr:uid="{E10CBEF0-1287-48CD-905B-07F35D0C5C61}"/>
    <cellStyle name="Comma 8 4" xfId="4440" xr:uid="{11726030-3E7E-4C34-9E96-FC2655B74EEB}"/>
    <cellStyle name="Comma 8 4 2" xfId="9616" xr:uid="{2E029FB6-EE41-475D-A12D-B33E92F24EE9}"/>
    <cellStyle name="Comma 8 4 2 2" xfId="19968" xr:uid="{0A2F1650-B8A8-492D-ACD9-EE798BB9531E}"/>
    <cellStyle name="Comma 8 4 3" xfId="14792" xr:uid="{96EED6BB-B432-4DCD-9856-548DFED4A924}"/>
    <cellStyle name="Comma 8 5" xfId="5488" xr:uid="{CE85791D-2A22-42CB-BFDD-EB017C3B9901}"/>
    <cellStyle name="Comma 8 5 2" xfId="15840" xr:uid="{CF583293-E833-4903-8CD1-CCB7B1C2485B}"/>
    <cellStyle name="Comma 8 6" xfId="10666" xr:uid="{1E9A0EF0-4F46-4790-A99D-568059A031AE}"/>
    <cellStyle name="Comma 80" xfId="293" xr:uid="{97D51FCB-FC17-4867-AA51-EB4A6552BF5B}"/>
    <cellStyle name="Comma 80 2" xfId="1358" xr:uid="{574D48DE-2484-4816-99D5-7BEB088AE5E1}"/>
    <cellStyle name="Comma 80 2 2" xfId="3416" xr:uid="{D5534950-DCD1-403C-A2A1-4EBE69D73290}"/>
    <cellStyle name="Comma 80 2 2 2" xfId="8649" xr:uid="{F0C79317-6F3E-4A57-B697-FB2690DC7DF0}"/>
    <cellStyle name="Comma 80 2 2 2 2" xfId="19001" xr:uid="{72CE1497-383A-4303-AFC9-907DA8F3CC4B}"/>
    <cellStyle name="Comma 80 2 2 3" xfId="13826" xr:uid="{E552E075-5CCB-455A-8DBE-563FB91F698E}"/>
    <cellStyle name="Comma 80 2 3" xfId="6591" xr:uid="{B5AC6704-DF6A-44D8-9873-ACED7E533D2D}"/>
    <cellStyle name="Comma 80 2 3 2" xfId="16943" xr:uid="{6594E4F5-D4C2-40D3-8822-A7972C16B77C}"/>
    <cellStyle name="Comma 80 2 4" xfId="11768" xr:uid="{74C650AB-72F7-4120-85A6-126EF061D5FD}"/>
    <cellStyle name="Comma 80 3" xfId="2386" xr:uid="{B8934338-CB3C-4FDC-9BC6-E93F84D22843}"/>
    <cellStyle name="Comma 80 3 2" xfId="7619" xr:uid="{42A5FED3-E944-4AAE-8453-FCF73792C242}"/>
    <cellStyle name="Comma 80 3 2 2" xfId="17971" xr:uid="{4EC53320-20D8-47DE-A088-5B0CDC104948}"/>
    <cellStyle name="Comma 80 3 3" xfId="12796" xr:uid="{DB07BF57-507E-4FF7-BFDE-BBC3449CBC1E}"/>
    <cellStyle name="Comma 80 4" xfId="4512" xr:uid="{9BB8CA93-E0EB-44ED-89BA-CB4BF0351129}"/>
    <cellStyle name="Comma 80 4 2" xfId="9688" xr:uid="{ACB056F3-F6C4-45C8-8105-1F6EF780877D}"/>
    <cellStyle name="Comma 80 4 2 2" xfId="20040" xr:uid="{01852147-28D8-44F6-91AD-1BCC75E379BC}"/>
    <cellStyle name="Comma 80 4 3" xfId="14864" xr:uid="{3614F5CD-A434-4E2C-9E24-DF034F74EF46}"/>
    <cellStyle name="Comma 80 5" xfId="5560" xr:uid="{DD1BCDE7-46F2-440E-A70B-45A27F3A3485}"/>
    <cellStyle name="Comma 80 5 2" xfId="15912" xr:uid="{7401155A-F208-43FB-9D60-6B27A5919476}"/>
    <cellStyle name="Comma 80 6" xfId="10738" xr:uid="{A3BF05D8-9599-4B95-8026-49278218C698}"/>
    <cellStyle name="Comma 800" xfId="1040" xr:uid="{9ADD3BAC-8DBD-4FE5-9EE9-D6E87198CD86}"/>
    <cellStyle name="Comma 800 2" xfId="2078" xr:uid="{0060DE5C-352A-4D81-A688-9ACB97DC6BC6}"/>
    <cellStyle name="Comma 800 2 2" xfId="4136" xr:uid="{6F7E41B0-75CB-4874-864F-5E4FAAE6800E}"/>
    <cellStyle name="Comma 800 2 2 2" xfId="9369" xr:uid="{82932340-DD82-4961-99CE-E8C3CB75DF6B}"/>
    <cellStyle name="Comma 800 2 2 2 2" xfId="19721" xr:uid="{297B9AEC-D13E-4C7D-97F8-ACC21E1163A8}"/>
    <cellStyle name="Comma 800 2 2 3" xfId="14546" xr:uid="{EC891F69-111F-4A13-9A5F-73E24B90E831}"/>
    <cellStyle name="Comma 800 2 3" xfId="7311" xr:uid="{62776B23-CF97-4C34-A85C-D937EE2504AD}"/>
    <cellStyle name="Comma 800 2 3 2" xfId="17663" xr:uid="{1AE26CAA-A010-4C26-92AC-2B3FED0C034B}"/>
    <cellStyle name="Comma 800 2 4" xfId="12488" xr:uid="{E8E6895C-8473-4F26-B0B7-D28D249AA1B0}"/>
    <cellStyle name="Comma 800 3" xfId="3106" xr:uid="{B7300EED-4880-456A-819A-58B1A1D85FF5}"/>
    <cellStyle name="Comma 800 3 2" xfId="8339" xr:uid="{C05410FB-F169-4836-8495-3AB39C1A56D1}"/>
    <cellStyle name="Comma 800 3 2 2" xfId="18691" xr:uid="{7B05A96A-5DAB-454B-A505-2D75E7F0E771}"/>
    <cellStyle name="Comma 800 3 3" xfId="13516" xr:uid="{BE7A7F11-1A83-44DD-AC6F-D1889E251859}"/>
    <cellStyle name="Comma 800 4" xfId="5232" xr:uid="{1232C050-6BCF-446D-B47E-8B4A904ED8BE}"/>
    <cellStyle name="Comma 800 4 2" xfId="10408" xr:uid="{A8153B15-25F5-4768-B6DB-AE2A7F474D15}"/>
    <cellStyle name="Comma 800 4 2 2" xfId="20760" xr:uid="{0936CC8C-DA7C-4C3C-8EA2-377F47DA317F}"/>
    <cellStyle name="Comma 800 4 3" xfId="15584" xr:uid="{341DFB2D-D0F8-473A-BDDE-24C8C155CA87}"/>
    <cellStyle name="Comma 800 5" xfId="6280" xr:uid="{31BBC5FE-35A7-4E5E-9186-E02509C83F39}"/>
    <cellStyle name="Comma 800 5 2" xfId="16632" xr:uid="{B13CB66C-33E9-4E9B-AF9F-C70948102139}"/>
    <cellStyle name="Comma 800 6" xfId="11458" xr:uid="{DA40B2F9-B22D-4236-9D7F-3F73520DE009}"/>
    <cellStyle name="Comma 801" xfId="1041" xr:uid="{4574C181-FC2B-4EF0-A901-498675828137}"/>
    <cellStyle name="Comma 801 2" xfId="2079" xr:uid="{D80E01B2-EC20-4753-98EF-0B27759E49A6}"/>
    <cellStyle name="Comma 801 2 2" xfId="4137" xr:uid="{13FE16D0-EBA7-4021-80CB-20D2589103AE}"/>
    <cellStyle name="Comma 801 2 2 2" xfId="9370" xr:uid="{C9F492C2-2218-431E-8BE1-74D4D4B8BB72}"/>
    <cellStyle name="Comma 801 2 2 2 2" xfId="19722" xr:uid="{7DDF5E42-F326-47B8-B4B1-B8B05E0CA50E}"/>
    <cellStyle name="Comma 801 2 2 3" xfId="14547" xr:uid="{3AE3CB96-A34E-4C3C-B9DD-C189ED87BDD7}"/>
    <cellStyle name="Comma 801 2 3" xfId="7312" xr:uid="{01FFC097-00EA-4560-AF9B-C55E96C2EA7E}"/>
    <cellStyle name="Comma 801 2 3 2" xfId="17664" xr:uid="{985728FB-2BBF-439D-AC74-6EDE1465E724}"/>
    <cellStyle name="Comma 801 2 4" xfId="12489" xr:uid="{7C4E7C31-5BE7-491B-92C8-8B5F0B91B3D3}"/>
    <cellStyle name="Comma 801 3" xfId="3107" xr:uid="{2E4E500E-76D3-4BDC-BF87-E03306B5E25E}"/>
    <cellStyle name="Comma 801 3 2" xfId="8340" xr:uid="{9D7B5979-7252-4C2F-9F23-3378F7907679}"/>
    <cellStyle name="Comma 801 3 2 2" xfId="18692" xr:uid="{C76C6A65-7907-4030-A06A-DD85E47780F4}"/>
    <cellStyle name="Comma 801 3 3" xfId="13517" xr:uid="{EF853F99-5BCB-4461-BF68-BA78B4695844}"/>
    <cellStyle name="Comma 801 4" xfId="5233" xr:uid="{0AA86853-EBF4-4484-8747-0A1759A4DA60}"/>
    <cellStyle name="Comma 801 4 2" xfId="10409" xr:uid="{2CF219CC-DECD-4BB8-8073-989C72F36701}"/>
    <cellStyle name="Comma 801 4 2 2" xfId="20761" xr:uid="{77F1F62B-4AB3-4EF6-8339-2AF1F28D8136}"/>
    <cellStyle name="Comma 801 4 3" xfId="15585" xr:uid="{EB409D30-D7FB-44E2-8D6E-65E1380BEA5A}"/>
    <cellStyle name="Comma 801 5" xfId="6281" xr:uid="{6FF6BC44-72F3-4EB2-BC05-4F23474E4B56}"/>
    <cellStyle name="Comma 801 5 2" xfId="16633" xr:uid="{98DE749F-5004-49E1-9401-B1DE723EA82B}"/>
    <cellStyle name="Comma 801 6" xfId="11459" xr:uid="{5CA5E766-F647-476F-9DD9-556F9B5772CF}"/>
    <cellStyle name="Comma 802" xfId="1042" xr:uid="{56BA4E00-3920-4D97-A235-BB22EF20BC40}"/>
    <cellStyle name="Comma 802 2" xfId="2080" xr:uid="{00D40D04-D7E1-4180-BF9C-68555E90D6DD}"/>
    <cellStyle name="Comma 802 2 2" xfId="4138" xr:uid="{3C51D982-5450-40D4-BCD8-726C5FB98FFD}"/>
    <cellStyle name="Comma 802 2 2 2" xfId="9371" xr:uid="{1DC86498-43F2-4816-8D65-0F0044EADFD5}"/>
    <cellStyle name="Comma 802 2 2 2 2" xfId="19723" xr:uid="{6D48DAD3-326A-4642-ADE0-06D5300BDC64}"/>
    <cellStyle name="Comma 802 2 2 3" xfId="14548" xr:uid="{9DC1B9A5-C2A0-42AC-B7D9-F8FC4E372F43}"/>
    <cellStyle name="Comma 802 2 3" xfId="7313" xr:uid="{A2A49559-86C1-444A-A1DB-3260C189036B}"/>
    <cellStyle name="Comma 802 2 3 2" xfId="17665" xr:uid="{DE83AB82-10CC-478A-981E-9B766DB4010F}"/>
    <cellStyle name="Comma 802 2 4" xfId="12490" xr:uid="{0C7BEEA0-8E10-446D-9E28-5F989110FB6A}"/>
    <cellStyle name="Comma 802 3" xfId="3108" xr:uid="{96658DF1-4D5F-4735-8FB1-8900C42B6CA8}"/>
    <cellStyle name="Comma 802 3 2" xfId="8341" xr:uid="{59BC91CB-2EDC-4883-952B-B3C61175E856}"/>
    <cellStyle name="Comma 802 3 2 2" xfId="18693" xr:uid="{6C38347E-5011-42F3-9037-A5B0CDDC4F7A}"/>
    <cellStyle name="Comma 802 3 3" xfId="13518" xr:uid="{1E7C38E0-3824-4E39-979C-832FD3C62A95}"/>
    <cellStyle name="Comma 802 4" xfId="5234" xr:uid="{A23ECCEF-FB3A-49E7-BB56-1479D59A663A}"/>
    <cellStyle name="Comma 802 4 2" xfId="10410" xr:uid="{C13613D5-7E76-42F5-85FE-BB162E80BC70}"/>
    <cellStyle name="Comma 802 4 2 2" xfId="20762" xr:uid="{5143175F-E80F-46B5-BF77-C8B58575877A}"/>
    <cellStyle name="Comma 802 4 3" xfId="15586" xr:uid="{8E993DB8-A8E3-4A6A-89ED-491EF5F292BC}"/>
    <cellStyle name="Comma 802 5" xfId="6282" xr:uid="{45C40FE2-FD02-48A0-B843-63A0EEC8BEC5}"/>
    <cellStyle name="Comma 802 5 2" xfId="16634" xr:uid="{8496BB30-9E48-4F5E-B2BE-7E209065C5DD}"/>
    <cellStyle name="Comma 802 6" xfId="11460" xr:uid="{7DE4022F-81D3-4EFE-BDE9-A53ED1464976}"/>
    <cellStyle name="Comma 803" xfId="1043" xr:uid="{23559EAB-F89F-4D34-8284-E1AB2079CAEA}"/>
    <cellStyle name="Comma 803 2" xfId="2081" xr:uid="{B2CCD682-B6A2-4A33-8A23-233B910685E5}"/>
    <cellStyle name="Comma 803 2 2" xfId="4139" xr:uid="{A093A633-A41C-4AE1-A3DF-A0A18C86DB57}"/>
    <cellStyle name="Comma 803 2 2 2" xfId="9372" xr:uid="{337E10ED-76EC-4DCA-A1FE-499213276F74}"/>
    <cellStyle name="Comma 803 2 2 2 2" xfId="19724" xr:uid="{10E15147-44ED-4C25-B749-7E1FBC6D42FC}"/>
    <cellStyle name="Comma 803 2 2 3" xfId="14549" xr:uid="{18B611A3-C3FD-4397-9AF5-0147421221C6}"/>
    <cellStyle name="Comma 803 2 3" xfId="7314" xr:uid="{BAF0C838-A4ED-4D50-85C1-064EA37EF051}"/>
    <cellStyle name="Comma 803 2 3 2" xfId="17666" xr:uid="{67C07A46-D2B6-460E-BD1D-1489E51487D1}"/>
    <cellStyle name="Comma 803 2 4" xfId="12491" xr:uid="{0FFC45A0-5462-4F64-94AA-DDCED00FA2FB}"/>
    <cellStyle name="Comma 803 3" xfId="3109" xr:uid="{ECCA72BB-A7DE-4768-87A5-49E1F4E6EA8E}"/>
    <cellStyle name="Comma 803 3 2" xfId="8342" xr:uid="{677D6162-485B-43EA-A92E-7C6E1EB4D061}"/>
    <cellStyle name="Comma 803 3 2 2" xfId="18694" xr:uid="{1824AC21-3AC9-4531-AFDC-DE8618394EB0}"/>
    <cellStyle name="Comma 803 3 3" xfId="13519" xr:uid="{F4818999-9029-409E-BF83-D0D7F3024389}"/>
    <cellStyle name="Comma 803 4" xfId="5235" xr:uid="{0301EBD3-E0E1-4CA6-A28B-6A607C759D05}"/>
    <cellStyle name="Comma 803 4 2" xfId="10411" xr:uid="{94B781B6-55DB-498E-9E90-E6E562AB6B58}"/>
    <cellStyle name="Comma 803 4 2 2" xfId="20763" xr:uid="{A059B06A-7990-4E3F-8741-76C18880A1B9}"/>
    <cellStyle name="Comma 803 4 3" xfId="15587" xr:uid="{636EB9DE-37DC-49AA-9E3C-4C3B90F0FCF6}"/>
    <cellStyle name="Comma 803 5" xfId="6283" xr:uid="{BBD9E7E2-E35C-4C0F-89EC-43A16C976800}"/>
    <cellStyle name="Comma 803 5 2" xfId="16635" xr:uid="{FC1761C8-9581-48DF-A944-E658D5E53FD8}"/>
    <cellStyle name="Comma 803 6" xfId="11461" xr:uid="{A5581D5A-FE13-4CD3-A275-D57ABCEE68E4}"/>
    <cellStyle name="Comma 804" xfId="1044" xr:uid="{66DAF52F-AC38-4D4A-8B97-506FC54809E5}"/>
    <cellStyle name="Comma 804 2" xfId="2082" xr:uid="{0A7FA2B7-E419-4537-8A11-89ECCE288B1F}"/>
    <cellStyle name="Comma 804 2 2" xfId="4140" xr:uid="{331B7D30-5294-43A1-B9FB-043F2826C038}"/>
    <cellStyle name="Comma 804 2 2 2" xfId="9373" xr:uid="{34A3C4A2-F8B6-4448-B11A-7660208B69B5}"/>
    <cellStyle name="Comma 804 2 2 2 2" xfId="19725" xr:uid="{19563232-0140-45FB-B552-60E86470519F}"/>
    <cellStyle name="Comma 804 2 2 3" xfId="14550" xr:uid="{EB580968-6118-471C-8905-B6B1B9D4E456}"/>
    <cellStyle name="Comma 804 2 3" xfId="7315" xr:uid="{0E7F91F5-B9B8-4B15-ADCB-4F8444F7D176}"/>
    <cellStyle name="Comma 804 2 3 2" xfId="17667" xr:uid="{29A8A542-5F70-40F7-A75A-627505173804}"/>
    <cellStyle name="Comma 804 2 4" xfId="12492" xr:uid="{A9FF0173-D1FA-4F93-AD45-50C681AC363C}"/>
    <cellStyle name="Comma 804 3" xfId="3110" xr:uid="{3A13E5EC-4357-4B73-A611-4C909218C8AF}"/>
    <cellStyle name="Comma 804 3 2" xfId="8343" xr:uid="{8F4B21BA-0B88-4F9D-B294-8C0327227C5E}"/>
    <cellStyle name="Comma 804 3 2 2" xfId="18695" xr:uid="{5A9EED80-310B-4344-99C1-88DAF224DD8F}"/>
    <cellStyle name="Comma 804 3 3" xfId="13520" xr:uid="{108286D6-1EC8-4EBB-954A-5063E177B39F}"/>
    <cellStyle name="Comma 804 4" xfId="5236" xr:uid="{40A3A1DC-7B3A-4E73-8FC7-12F1983BE56A}"/>
    <cellStyle name="Comma 804 4 2" xfId="10412" xr:uid="{5F75D5D8-E31C-4EA5-8D7E-219A4E3E88A6}"/>
    <cellStyle name="Comma 804 4 2 2" xfId="20764" xr:uid="{515EECC8-2189-4BF7-8F1D-FE9C42A080C4}"/>
    <cellStyle name="Comma 804 4 3" xfId="15588" xr:uid="{E16EEEB3-244C-4794-81B4-0B19891B7537}"/>
    <cellStyle name="Comma 804 5" xfId="6284" xr:uid="{10131F81-9CE1-4961-B33F-2898667A1D72}"/>
    <cellStyle name="Comma 804 5 2" xfId="16636" xr:uid="{D8D9D34A-9120-4F12-9CEE-5EDD09E5FF6A}"/>
    <cellStyle name="Comma 804 6" xfId="11462" xr:uid="{4030E906-C154-4CC0-BD75-1DE14EF713E2}"/>
    <cellStyle name="Comma 805" xfId="1045" xr:uid="{AE1DC3FC-B7A9-4593-8913-5BC843B9EE91}"/>
    <cellStyle name="Comma 805 2" xfId="2083" xr:uid="{97A91718-A8D0-4A33-BD73-9B09F86B5299}"/>
    <cellStyle name="Comma 805 2 2" xfId="4141" xr:uid="{08EC53B6-D4EA-4635-B056-5C4508C3E569}"/>
    <cellStyle name="Comma 805 2 2 2" xfId="9374" xr:uid="{9C4CC8ED-10BE-4D88-884D-346A0C5EB6B7}"/>
    <cellStyle name="Comma 805 2 2 2 2" xfId="19726" xr:uid="{24501895-B425-4932-BE72-D10D30F317BA}"/>
    <cellStyle name="Comma 805 2 2 3" xfId="14551" xr:uid="{D018539E-342B-43A8-B8DE-936A55F439E6}"/>
    <cellStyle name="Comma 805 2 3" xfId="7316" xr:uid="{13FB5937-FAE4-42E4-A453-8A85EA4A4F84}"/>
    <cellStyle name="Comma 805 2 3 2" xfId="17668" xr:uid="{EB440A50-4D0A-44F3-B296-DD6A68282F04}"/>
    <cellStyle name="Comma 805 2 4" xfId="12493" xr:uid="{DE70C282-30DE-4A0A-8E43-A1DA3112464F}"/>
    <cellStyle name="Comma 805 3" xfId="3111" xr:uid="{FF5AF45B-2FD6-4E5B-8116-2F1A91AF12EB}"/>
    <cellStyle name="Comma 805 3 2" xfId="8344" xr:uid="{E669703B-8728-4159-ACFD-10BCCD53AD0B}"/>
    <cellStyle name="Comma 805 3 2 2" xfId="18696" xr:uid="{F9441B1D-8331-4D7E-A52B-0ECDF54BF0B2}"/>
    <cellStyle name="Comma 805 3 3" xfId="13521" xr:uid="{7017F3CB-9681-4A39-AFCE-704604F5F921}"/>
    <cellStyle name="Comma 805 4" xfId="5237" xr:uid="{456D9FA1-B397-4884-8DF6-3140FFC33C42}"/>
    <cellStyle name="Comma 805 4 2" xfId="10413" xr:uid="{1545C666-08FE-407C-A9E6-7D2BF2458156}"/>
    <cellStyle name="Comma 805 4 2 2" xfId="20765" xr:uid="{55514630-0E6E-4B59-883D-E5DE01A63F4C}"/>
    <cellStyle name="Comma 805 4 3" xfId="15589" xr:uid="{D137F3D3-5104-47C2-8A7B-19EA64BBC29A}"/>
    <cellStyle name="Comma 805 5" xfId="6285" xr:uid="{0ECB8A28-2772-4512-BB59-9B08BFCA2CFF}"/>
    <cellStyle name="Comma 805 5 2" xfId="16637" xr:uid="{089EC57B-CD48-4C75-AFA9-39C656CE5577}"/>
    <cellStyle name="Comma 805 6" xfId="11463" xr:uid="{CBA18ECB-B7DF-4D76-A0FE-88C889CB7EA3}"/>
    <cellStyle name="Comma 806" xfId="1046" xr:uid="{6C22CD9E-B36F-46E1-A974-F63FD9551A84}"/>
    <cellStyle name="Comma 806 2" xfId="2084" xr:uid="{DB0F634F-B85F-4339-880D-BD4E2ED46166}"/>
    <cellStyle name="Comma 806 2 2" xfId="4142" xr:uid="{95D0F90C-82A7-42D2-B462-EC224AB46E9B}"/>
    <cellStyle name="Comma 806 2 2 2" xfId="9375" xr:uid="{8ACEA0FA-8305-43B6-91DF-A914322B1866}"/>
    <cellStyle name="Comma 806 2 2 2 2" xfId="19727" xr:uid="{EE623560-F6BC-473F-AF2E-E3EE192C953A}"/>
    <cellStyle name="Comma 806 2 2 3" xfId="14552" xr:uid="{B373CF95-6FFE-4CBC-83AB-D374F8F81332}"/>
    <cellStyle name="Comma 806 2 3" xfId="7317" xr:uid="{F9B0A544-BBE6-445A-9302-BF4BC9EBA352}"/>
    <cellStyle name="Comma 806 2 3 2" xfId="17669" xr:uid="{3A81BBCA-0A42-403B-B6C2-50466EFDCF17}"/>
    <cellStyle name="Comma 806 2 4" xfId="12494" xr:uid="{635767ED-54CB-47BB-958B-D65A904648FB}"/>
    <cellStyle name="Comma 806 3" xfId="3112" xr:uid="{7D377F3F-1DEF-44B7-8092-5B5863EF3970}"/>
    <cellStyle name="Comma 806 3 2" xfId="8345" xr:uid="{499438DD-8734-4081-B2F4-02D9ED04ABD6}"/>
    <cellStyle name="Comma 806 3 2 2" xfId="18697" xr:uid="{45F4F015-794E-4D5D-B883-CCB96A69D169}"/>
    <cellStyle name="Comma 806 3 3" xfId="13522" xr:uid="{633AE70D-3326-47D6-BF51-3673B01382EA}"/>
    <cellStyle name="Comma 806 4" xfId="5238" xr:uid="{7C900558-4081-483A-A073-440A5B57ED8C}"/>
    <cellStyle name="Comma 806 4 2" xfId="10414" xr:uid="{03A5C2F7-E767-4030-8E20-6CD9348168E3}"/>
    <cellStyle name="Comma 806 4 2 2" xfId="20766" xr:uid="{0E1F3BE4-A63D-4D43-9984-BB0178DDF9F5}"/>
    <cellStyle name="Comma 806 4 3" xfId="15590" xr:uid="{C7FF72AB-B2EC-4A09-ACF2-2CA12B648887}"/>
    <cellStyle name="Comma 806 5" xfId="6286" xr:uid="{D5E93241-B9D1-437B-8E65-CDD68BEC4969}"/>
    <cellStyle name="Comma 806 5 2" xfId="16638" xr:uid="{02F0243A-DA18-47B6-BCB8-6C1C5CC554E4}"/>
    <cellStyle name="Comma 806 6" xfId="11464" xr:uid="{972E7548-D9C2-487A-BBFC-7A9C177D4FCE}"/>
    <cellStyle name="Comma 807" xfId="1047" xr:uid="{4575972F-2161-4DC8-B2F8-B0F4DCCF110B}"/>
    <cellStyle name="Comma 807 2" xfId="2085" xr:uid="{262FF8F9-3FB2-4879-8859-AB1F2A131ED9}"/>
    <cellStyle name="Comma 807 2 2" xfId="4143" xr:uid="{6C5D2C5F-C58E-4B71-81B2-56E036097017}"/>
    <cellStyle name="Comma 807 2 2 2" xfId="9376" xr:uid="{C2FE784F-4131-418A-A445-71D77811DB32}"/>
    <cellStyle name="Comma 807 2 2 2 2" xfId="19728" xr:uid="{1CF875E3-B7C0-4814-87DB-A5B4EDA88C2E}"/>
    <cellStyle name="Comma 807 2 2 3" xfId="14553" xr:uid="{3ABA53CF-1313-488C-8E3E-597A0837360D}"/>
    <cellStyle name="Comma 807 2 3" xfId="7318" xr:uid="{E368EE91-AC00-4266-BFAE-B67FE9EBCA18}"/>
    <cellStyle name="Comma 807 2 3 2" xfId="17670" xr:uid="{D4395406-0798-4526-8D38-194CAC22198D}"/>
    <cellStyle name="Comma 807 2 4" xfId="12495" xr:uid="{67294932-0A67-4E5B-8FF7-47AE6ED589EE}"/>
    <cellStyle name="Comma 807 3" xfId="3113" xr:uid="{062D0F9B-14C8-4350-B67D-FBA9BC2F5591}"/>
    <cellStyle name="Comma 807 3 2" xfId="8346" xr:uid="{FEA5C92A-1028-4EE3-84E8-383B373022E5}"/>
    <cellStyle name="Comma 807 3 2 2" xfId="18698" xr:uid="{9DC8CE4A-7711-4E11-986D-B84B138EBFC2}"/>
    <cellStyle name="Comma 807 3 3" xfId="13523" xr:uid="{9212F35B-F622-4694-8168-0926579323EA}"/>
    <cellStyle name="Comma 807 4" xfId="5239" xr:uid="{ABBD8552-11FA-4F92-97FC-73F7C05F1F57}"/>
    <cellStyle name="Comma 807 4 2" xfId="10415" xr:uid="{3F145A2D-EC34-47E1-BF88-600AF44466D5}"/>
    <cellStyle name="Comma 807 4 2 2" xfId="20767" xr:uid="{78601A8B-2BA7-4D8B-B9B4-BA2E09CBC944}"/>
    <cellStyle name="Comma 807 4 3" xfId="15591" xr:uid="{DFD63AA4-09D0-4792-BD87-6130554A5A6F}"/>
    <cellStyle name="Comma 807 5" xfId="6287" xr:uid="{19211DD4-6190-451E-9F29-F1D6EBC3D179}"/>
    <cellStyle name="Comma 807 5 2" xfId="16639" xr:uid="{5326D51D-E1D9-483C-AA92-13E392AF4675}"/>
    <cellStyle name="Comma 807 6" xfId="11465" xr:uid="{914D024E-885F-4472-897E-4F0013E578D2}"/>
    <cellStyle name="Comma 808" xfId="1048" xr:uid="{B0C24B35-B6DC-47CD-8F28-E188B828C21F}"/>
    <cellStyle name="Comma 808 2" xfId="2086" xr:uid="{089A55C1-8BBA-49BE-9219-2814AFFCD9AC}"/>
    <cellStyle name="Comma 808 2 2" xfId="4144" xr:uid="{66825B7D-71B6-4034-841E-67590EDDD62A}"/>
    <cellStyle name="Comma 808 2 2 2" xfId="9377" xr:uid="{92406B90-CE81-4809-9865-F6A88594968A}"/>
    <cellStyle name="Comma 808 2 2 2 2" xfId="19729" xr:uid="{EBD26A81-A930-40A7-9378-623DEB605E28}"/>
    <cellStyle name="Comma 808 2 2 3" xfId="14554" xr:uid="{77FC4178-3C53-4A1F-833C-F8210029EA43}"/>
    <cellStyle name="Comma 808 2 3" xfId="7319" xr:uid="{9B8635A9-11D5-426B-9296-7E37A9C57A5F}"/>
    <cellStyle name="Comma 808 2 3 2" xfId="17671" xr:uid="{34D029AD-917A-421F-8BFC-B26B47DEEA41}"/>
    <cellStyle name="Comma 808 2 4" xfId="12496" xr:uid="{B40797C8-57BB-4685-A244-8F77B786BA9F}"/>
    <cellStyle name="Comma 808 3" xfId="3114" xr:uid="{DC7F4BC6-B58E-4685-A03E-5FC1C4182A50}"/>
    <cellStyle name="Comma 808 3 2" xfId="8347" xr:uid="{74E2D577-B525-44BA-8C76-60F8FB423CA8}"/>
    <cellStyle name="Comma 808 3 2 2" xfId="18699" xr:uid="{47F3D8EF-7CF2-4532-98E8-1D45083C24AF}"/>
    <cellStyle name="Comma 808 3 3" xfId="13524" xr:uid="{1C1DD4F0-DD51-4169-A8F1-B465B9D36FB8}"/>
    <cellStyle name="Comma 808 4" xfId="5240" xr:uid="{A4BFE882-4752-4065-AC17-4043E70FF81C}"/>
    <cellStyle name="Comma 808 4 2" xfId="10416" xr:uid="{99AA38B1-5F11-40F0-A08D-CE0053968DC0}"/>
    <cellStyle name="Comma 808 4 2 2" xfId="20768" xr:uid="{98EFE1A9-3E5C-4CFC-ADBF-35D8578D3016}"/>
    <cellStyle name="Comma 808 4 3" xfId="15592" xr:uid="{01EC7042-A752-441F-810C-3B324D2D8A5F}"/>
    <cellStyle name="Comma 808 5" xfId="6288" xr:uid="{0DB18797-E600-4B08-8215-BE223316A871}"/>
    <cellStyle name="Comma 808 5 2" xfId="16640" xr:uid="{488901DE-0310-4061-B359-9FBE9F02D909}"/>
    <cellStyle name="Comma 808 6" xfId="11466" xr:uid="{F2A85C96-0462-4FFE-9A9C-87A422C08ACA}"/>
    <cellStyle name="Comma 809" xfId="1049" xr:uid="{27ED6F5F-C767-4897-9C42-B10EE7E1E1A4}"/>
    <cellStyle name="Comma 809 2" xfId="2087" xr:uid="{6BB0A841-9E45-4F1D-8108-12565ABC37F6}"/>
    <cellStyle name="Comma 809 2 2" xfId="4145" xr:uid="{6E79A3F5-18E5-44DD-AD47-97177031C039}"/>
    <cellStyle name="Comma 809 2 2 2" xfId="9378" xr:uid="{420F79CC-8440-4576-B195-22FEC64D2AEF}"/>
    <cellStyle name="Comma 809 2 2 2 2" xfId="19730" xr:uid="{59041A17-8380-4A3A-A02D-327CC94BCFDA}"/>
    <cellStyle name="Comma 809 2 2 3" xfId="14555" xr:uid="{9C4EEF9F-60E2-4234-81D6-8E960D841F6B}"/>
    <cellStyle name="Comma 809 2 3" xfId="7320" xr:uid="{E0A4EC23-70F5-46D6-B746-E3EBF813794C}"/>
    <cellStyle name="Comma 809 2 3 2" xfId="17672" xr:uid="{50B4A366-43E3-4F72-BDDA-E51324695C77}"/>
    <cellStyle name="Comma 809 2 4" xfId="12497" xr:uid="{9F18433B-4383-4118-8211-784BA6608216}"/>
    <cellStyle name="Comma 809 3" xfId="3115" xr:uid="{9CCC5014-AD40-4492-8543-3B77B24B9962}"/>
    <cellStyle name="Comma 809 3 2" xfId="8348" xr:uid="{007CD025-47E9-4921-B813-D031064BC9A2}"/>
    <cellStyle name="Comma 809 3 2 2" xfId="18700" xr:uid="{F83C4AF4-E359-42CC-99D4-5457EA86459A}"/>
    <cellStyle name="Comma 809 3 3" xfId="13525" xr:uid="{5CBAE200-3209-4622-86A4-1F7A64BE0B96}"/>
    <cellStyle name="Comma 809 4" xfId="5241" xr:uid="{C8E7A63B-503F-4EB3-851D-9F37AACAB968}"/>
    <cellStyle name="Comma 809 4 2" xfId="10417" xr:uid="{56181666-470E-4CCE-8830-07065CA92828}"/>
    <cellStyle name="Comma 809 4 2 2" xfId="20769" xr:uid="{0E690ABE-93E4-4F5D-BE58-F08F71BC50BC}"/>
    <cellStyle name="Comma 809 4 3" xfId="15593" xr:uid="{015B96B3-C6C7-46E9-980C-F8A50F40F043}"/>
    <cellStyle name="Comma 809 5" xfId="6289" xr:uid="{9105F7F4-A230-4B49-AE47-3D610D71E4D7}"/>
    <cellStyle name="Comma 809 5 2" xfId="16641" xr:uid="{70B45E41-0D6D-4315-93B5-5D531CCDF171}"/>
    <cellStyle name="Comma 809 6" xfId="11467" xr:uid="{FB2AA3E2-8AD5-4AB8-8AE1-99B3DA456C5B}"/>
    <cellStyle name="Comma 81" xfId="294" xr:uid="{37708F2E-E937-436D-9AFA-6D0B92EAF4B2}"/>
    <cellStyle name="Comma 81 2" xfId="1359" xr:uid="{C381AA6B-81D8-4723-9260-C58CC5295E8C}"/>
    <cellStyle name="Comma 81 2 2" xfId="3417" xr:uid="{DF785619-76AB-4360-A8C0-EAF367B9E17B}"/>
    <cellStyle name="Comma 81 2 2 2" xfId="8650" xr:uid="{9BA536ED-56A5-4525-98BF-61014878848E}"/>
    <cellStyle name="Comma 81 2 2 2 2" xfId="19002" xr:uid="{7C70EA4D-A1EB-441B-80BA-8B14AE60372B}"/>
    <cellStyle name="Comma 81 2 2 3" xfId="13827" xr:uid="{4F01EE8F-D0BE-493A-9509-1595BFFCFD32}"/>
    <cellStyle name="Comma 81 2 3" xfId="6592" xr:uid="{B0AF2827-89B2-4743-A6C2-445F6D542BB5}"/>
    <cellStyle name="Comma 81 2 3 2" xfId="16944" xr:uid="{7C2E628D-AE94-41EF-8B42-5A19F40CF26A}"/>
    <cellStyle name="Comma 81 2 4" xfId="11769" xr:uid="{E47D656C-740A-44C2-AF66-838A307C93BE}"/>
    <cellStyle name="Comma 81 3" xfId="2387" xr:uid="{1F277AAB-F2A8-4C12-B15E-543E50276193}"/>
    <cellStyle name="Comma 81 3 2" xfId="7620" xr:uid="{F308F6F4-48A7-42E2-96B8-0F8A1CFBDC5D}"/>
    <cellStyle name="Comma 81 3 2 2" xfId="17972" xr:uid="{DA598E09-DED6-4E5E-A86D-F1E848AC43C3}"/>
    <cellStyle name="Comma 81 3 3" xfId="12797" xr:uid="{F9CBBB40-E8AF-40AB-9E93-9F5D0F4B55A4}"/>
    <cellStyle name="Comma 81 4" xfId="4513" xr:uid="{4EA37830-F62E-4BBD-9C29-DABF2A45BA49}"/>
    <cellStyle name="Comma 81 4 2" xfId="9689" xr:uid="{A1FF19F5-DE19-4333-9EF0-DB9F0C007B6B}"/>
    <cellStyle name="Comma 81 4 2 2" xfId="20041" xr:uid="{30098C33-4935-44D8-A721-FF501E19DE05}"/>
    <cellStyle name="Comma 81 4 3" xfId="14865" xr:uid="{58CA4051-52CA-45BD-8E3D-9A7F2E7921EB}"/>
    <cellStyle name="Comma 81 5" xfId="5561" xr:uid="{5D462A90-B566-4565-A407-22141C3FE278}"/>
    <cellStyle name="Comma 81 5 2" xfId="15913" xr:uid="{93F797AE-D9AF-40F2-A41D-899D694E0293}"/>
    <cellStyle name="Comma 81 6" xfId="10739" xr:uid="{06E2CB89-30A4-425F-8EAE-C0BB60631F23}"/>
    <cellStyle name="Comma 810" xfId="1050" xr:uid="{14F380B4-AD16-4FB3-B4E4-9178FF053082}"/>
    <cellStyle name="Comma 810 2" xfId="2088" xr:uid="{B779B991-2CAF-4DF0-80E4-08B05154ADB8}"/>
    <cellStyle name="Comma 810 2 2" xfId="4146" xr:uid="{508E5259-CDF3-4777-977A-06734CBB4545}"/>
    <cellStyle name="Comma 810 2 2 2" xfId="9379" xr:uid="{2252DAE9-815D-404D-B88A-F67A24830570}"/>
    <cellStyle name="Comma 810 2 2 2 2" xfId="19731" xr:uid="{44FACBBC-33AA-46CF-9B14-DE8862F83472}"/>
    <cellStyle name="Comma 810 2 2 3" xfId="14556" xr:uid="{8D31348D-B44E-416F-BCDE-A01BA1FB96FF}"/>
    <cellStyle name="Comma 810 2 3" xfId="7321" xr:uid="{7B540DF3-AC29-49C2-BBA0-684ED28DD173}"/>
    <cellStyle name="Comma 810 2 3 2" xfId="17673" xr:uid="{EF9C6007-AFBA-4952-8EC9-A49076A1B0B6}"/>
    <cellStyle name="Comma 810 2 4" xfId="12498" xr:uid="{4739BD99-2BB1-43F6-9C97-093C12D9321A}"/>
    <cellStyle name="Comma 810 3" xfId="3116" xr:uid="{0664581E-56FE-40A0-BF3C-A62424D3505E}"/>
    <cellStyle name="Comma 810 3 2" xfId="8349" xr:uid="{4CD93B84-6803-4DBF-BF51-EF7A6E0F67CD}"/>
    <cellStyle name="Comma 810 3 2 2" xfId="18701" xr:uid="{E33A12A9-03FB-4971-A365-75C23CFFA4C3}"/>
    <cellStyle name="Comma 810 3 3" xfId="13526" xr:uid="{B4A6A274-9696-4A88-8FE5-EE9623C2146A}"/>
    <cellStyle name="Comma 810 4" xfId="5242" xr:uid="{5151B7FA-8013-46DB-A8D9-4D196F2BB326}"/>
    <cellStyle name="Comma 810 4 2" xfId="10418" xr:uid="{4D625606-9164-4BD0-96EC-BCA06563EE78}"/>
    <cellStyle name="Comma 810 4 2 2" xfId="20770" xr:uid="{B4E657DE-355F-4E41-A992-590FE9DBBCC5}"/>
    <cellStyle name="Comma 810 4 3" xfId="15594" xr:uid="{F2195790-6710-4FF0-B3A9-28444773E3D6}"/>
    <cellStyle name="Comma 810 5" xfId="6290" xr:uid="{4CE4F060-618B-4499-9711-3C6242BE6931}"/>
    <cellStyle name="Comma 810 5 2" xfId="16642" xr:uid="{46EEDB05-2E39-4B6C-87C9-61B27EE35C90}"/>
    <cellStyle name="Comma 810 6" xfId="11468" xr:uid="{4AF18C11-0BDD-4C91-93B7-99325467FCF1}"/>
    <cellStyle name="Comma 811" xfId="1051" xr:uid="{71C735C6-47A2-4E41-A880-4708CAA558FE}"/>
    <cellStyle name="Comma 811 2" xfId="2089" xr:uid="{126B5E00-2E5D-4D4A-9F4E-47BD8B67B773}"/>
    <cellStyle name="Comma 811 2 2" xfId="4147" xr:uid="{268B0A2F-0654-4DB0-B2E2-8B8FD3D4E6A1}"/>
    <cellStyle name="Comma 811 2 2 2" xfId="9380" xr:uid="{2DBF79E2-D713-404F-A1CA-D7582B74C7A6}"/>
    <cellStyle name="Comma 811 2 2 2 2" xfId="19732" xr:uid="{72844C1D-1E8B-4F26-97FD-3556F014E3C1}"/>
    <cellStyle name="Comma 811 2 2 3" xfId="14557" xr:uid="{8C7E30D8-38A9-4797-AF36-100A4472F4EC}"/>
    <cellStyle name="Comma 811 2 3" xfId="7322" xr:uid="{719D6D4B-993B-445F-8350-9AD095D51C26}"/>
    <cellStyle name="Comma 811 2 3 2" xfId="17674" xr:uid="{0C9CE3CF-B520-4440-BF45-E6CCE2DF9C60}"/>
    <cellStyle name="Comma 811 2 4" xfId="12499" xr:uid="{BEF4EC0A-3B0C-4631-985D-F150BCB7CA91}"/>
    <cellStyle name="Comma 811 3" xfId="3117" xr:uid="{856B8182-8107-4B39-942E-CE4C66329A35}"/>
    <cellStyle name="Comma 811 3 2" xfId="8350" xr:uid="{F3F0827C-9352-4DAA-88A6-5F534F122FDC}"/>
    <cellStyle name="Comma 811 3 2 2" xfId="18702" xr:uid="{1CF3235F-546D-40C8-B01D-700FB68BEB14}"/>
    <cellStyle name="Comma 811 3 3" xfId="13527" xr:uid="{D0409A15-4DA9-4CE5-B39E-29B75D321FBC}"/>
    <cellStyle name="Comma 811 4" xfId="5243" xr:uid="{2B717F1E-956E-411E-A1D0-4544B98A3FB5}"/>
    <cellStyle name="Comma 811 4 2" xfId="10419" xr:uid="{95D6072E-A1A7-4123-86C6-80F93F117EB7}"/>
    <cellStyle name="Comma 811 4 2 2" xfId="20771" xr:uid="{D12917F9-EBB5-453E-91FB-1E0772F88475}"/>
    <cellStyle name="Comma 811 4 3" xfId="15595" xr:uid="{EB4FD40E-2C9F-4C08-9FE7-25F82695CAAF}"/>
    <cellStyle name="Comma 811 5" xfId="6291" xr:uid="{59C62193-DB99-49D9-B71B-2CF0A48FFE8F}"/>
    <cellStyle name="Comma 811 5 2" xfId="16643" xr:uid="{12CBBA31-CB43-44C4-9F85-3998FCA3F10A}"/>
    <cellStyle name="Comma 811 6" xfId="11469" xr:uid="{6EABC580-1D04-42AE-8F67-FD6ED08ED34A}"/>
    <cellStyle name="Comma 812" xfId="1052" xr:uid="{6BFE55F3-2A55-4E19-88B4-C11A90433CE6}"/>
    <cellStyle name="Comma 812 2" xfId="2090" xr:uid="{8176A611-E5F5-496F-B8A6-001B37B26B41}"/>
    <cellStyle name="Comma 812 2 2" xfId="4148" xr:uid="{5F5B4EFF-8016-446F-92CC-137A7D28513D}"/>
    <cellStyle name="Comma 812 2 2 2" xfId="9381" xr:uid="{24683A42-9F8C-4D7D-881F-EC61DD4553CE}"/>
    <cellStyle name="Comma 812 2 2 2 2" xfId="19733" xr:uid="{CF929252-4102-47D8-B58E-1A7684D94501}"/>
    <cellStyle name="Comma 812 2 2 3" xfId="14558" xr:uid="{77586ED9-C6C3-4372-8BCF-A3A3D30177C8}"/>
    <cellStyle name="Comma 812 2 3" xfId="7323" xr:uid="{E5F41B48-BB40-48FD-9199-B5B61E882554}"/>
    <cellStyle name="Comma 812 2 3 2" xfId="17675" xr:uid="{2600E4C1-DBD7-476B-9A39-C20C59288619}"/>
    <cellStyle name="Comma 812 2 4" xfId="12500" xr:uid="{EAA06881-FD0D-49A9-BD07-F98EF5E51CCB}"/>
    <cellStyle name="Comma 812 3" xfId="3118" xr:uid="{504E1EB2-01F9-4511-8203-D3525C32AF23}"/>
    <cellStyle name="Comma 812 3 2" xfId="8351" xr:uid="{A2034ED2-DABC-4F91-9F11-D66F8BF4D872}"/>
    <cellStyle name="Comma 812 3 2 2" xfId="18703" xr:uid="{4FF4C5B6-BF2E-44DA-B044-B0D73F5FB6EB}"/>
    <cellStyle name="Comma 812 3 3" xfId="13528" xr:uid="{00A22271-6518-48B5-A9DC-637A645FF205}"/>
    <cellStyle name="Comma 812 4" xfId="5244" xr:uid="{74DE26C3-CDF6-4781-881F-E8AD80BF021F}"/>
    <cellStyle name="Comma 812 4 2" xfId="10420" xr:uid="{581AF05D-524A-4FFB-874A-E5119D4A6679}"/>
    <cellStyle name="Comma 812 4 2 2" xfId="20772" xr:uid="{FF004F2E-1064-4DB4-858F-27466FF3CE7A}"/>
    <cellStyle name="Comma 812 4 3" xfId="15596" xr:uid="{76B004F6-1804-4A6C-B356-CD72A825CED1}"/>
    <cellStyle name="Comma 812 5" xfId="6292" xr:uid="{E27BB79A-011A-489B-9326-F182A881888C}"/>
    <cellStyle name="Comma 812 5 2" xfId="16644" xr:uid="{CF3EAEF1-7237-48D2-88C8-ED6F32000D87}"/>
    <cellStyle name="Comma 812 6" xfId="11470" xr:uid="{00A7F6AD-0F09-4B66-8335-5B1FE9DCB4BE}"/>
    <cellStyle name="Comma 813" xfId="1053" xr:uid="{4CD781A1-499F-46EB-B2B1-8A09070155C9}"/>
    <cellStyle name="Comma 813 2" xfId="2091" xr:uid="{0ACBD2B9-5E45-4575-B590-24385B2B0424}"/>
    <cellStyle name="Comma 813 2 2" xfId="4149" xr:uid="{A826CF43-0F01-4337-81F6-FEE72F1F084F}"/>
    <cellStyle name="Comma 813 2 2 2" xfId="9382" xr:uid="{4F8E9D38-732B-43FA-A3F9-F6EDB2FA71E4}"/>
    <cellStyle name="Comma 813 2 2 2 2" xfId="19734" xr:uid="{4B3C5EC2-F063-44E1-A4C0-9E0DD426F3E8}"/>
    <cellStyle name="Comma 813 2 2 3" xfId="14559" xr:uid="{F89A963B-79C3-4B9D-ADCF-B4CB8892B160}"/>
    <cellStyle name="Comma 813 2 3" xfId="7324" xr:uid="{51FDBE63-E167-4463-A1AE-4F1380496F57}"/>
    <cellStyle name="Comma 813 2 3 2" xfId="17676" xr:uid="{4794E1CE-F08D-459A-842F-62EDED5F3677}"/>
    <cellStyle name="Comma 813 2 4" xfId="12501" xr:uid="{09F49A00-D1FC-4A79-B0C8-11699EDD8222}"/>
    <cellStyle name="Comma 813 3" xfId="3119" xr:uid="{FE3D7C42-099E-4EDA-8FDA-E553A26C9DED}"/>
    <cellStyle name="Comma 813 3 2" xfId="8352" xr:uid="{27233705-6DB1-48D7-8A6A-0AE15D167992}"/>
    <cellStyle name="Comma 813 3 2 2" xfId="18704" xr:uid="{7000BF25-3AF4-4E8D-8E5D-FD405960B714}"/>
    <cellStyle name="Comma 813 3 3" xfId="13529" xr:uid="{DF0956A9-4919-4CEB-8BDC-2132F530A0E3}"/>
    <cellStyle name="Comma 813 4" xfId="5245" xr:uid="{4C269993-B7C0-4AC8-91B8-E3323EE984A5}"/>
    <cellStyle name="Comma 813 4 2" xfId="10421" xr:uid="{A6ADCAC7-501F-4305-9F65-F6DC38549CEF}"/>
    <cellStyle name="Comma 813 4 2 2" xfId="20773" xr:uid="{A125BBCC-AE8A-41BD-B031-A4E992DB097B}"/>
    <cellStyle name="Comma 813 4 3" xfId="15597" xr:uid="{8E52CB5E-B5AB-43D5-A613-299A9EAB8DE9}"/>
    <cellStyle name="Comma 813 5" xfId="6293" xr:uid="{8A6C4309-2A46-473A-9B7F-88A6C538AF0B}"/>
    <cellStyle name="Comma 813 5 2" xfId="16645" xr:uid="{B43FC6CB-0550-4DBD-ACB7-2289806AE51A}"/>
    <cellStyle name="Comma 813 6" xfId="11471" xr:uid="{93571E52-1346-45A6-9E76-D038F4F637B1}"/>
    <cellStyle name="Comma 814" xfId="1054" xr:uid="{C9E8C5C2-943C-47AF-8C37-116B1313B660}"/>
    <cellStyle name="Comma 814 2" xfId="2092" xr:uid="{75FAF034-3413-44C5-B31A-FACB26345246}"/>
    <cellStyle name="Comma 814 2 2" xfId="4150" xr:uid="{1F0E31C1-2319-4AEC-9B3A-416310713982}"/>
    <cellStyle name="Comma 814 2 2 2" xfId="9383" xr:uid="{9301BFA8-4CCC-44C8-8331-6601F034901D}"/>
    <cellStyle name="Comma 814 2 2 2 2" xfId="19735" xr:uid="{D7DADE3F-24AE-4D5C-8055-8FD73F6EDDEB}"/>
    <cellStyle name="Comma 814 2 2 3" xfId="14560" xr:uid="{2D6692E7-0DE4-44A5-AAA2-F9CDB3D8F1BB}"/>
    <cellStyle name="Comma 814 2 3" xfId="7325" xr:uid="{0ECE949B-3B29-40F9-8B0A-74A310D539AC}"/>
    <cellStyle name="Comma 814 2 3 2" xfId="17677" xr:uid="{F845FD0F-83AD-4B88-B213-2853C19A687D}"/>
    <cellStyle name="Comma 814 2 4" xfId="12502" xr:uid="{C90E8CD1-8F88-475E-A7F8-915A7D94252D}"/>
    <cellStyle name="Comma 814 3" xfId="3120" xr:uid="{61607C36-D807-484B-A51A-5CF745A73420}"/>
    <cellStyle name="Comma 814 3 2" xfId="8353" xr:uid="{E906C128-F300-4709-9228-63A1CE1AFE5C}"/>
    <cellStyle name="Comma 814 3 2 2" xfId="18705" xr:uid="{FA94F1FD-0EB5-415F-BD34-202C9DDB264F}"/>
    <cellStyle name="Comma 814 3 3" xfId="13530" xr:uid="{7A9078C1-BEE9-410D-B67D-0245A7183672}"/>
    <cellStyle name="Comma 814 4" xfId="5246" xr:uid="{28C082BD-F7FD-45B0-9E81-79A574E13233}"/>
    <cellStyle name="Comma 814 4 2" xfId="10422" xr:uid="{E7E1A639-155C-4182-9E5B-D310C4C9BDAB}"/>
    <cellStyle name="Comma 814 4 2 2" xfId="20774" xr:uid="{3794E187-BF33-4397-80B3-E081EB6F32DB}"/>
    <cellStyle name="Comma 814 4 3" xfId="15598" xr:uid="{CDA48AB3-3E15-4D2D-ABEC-823ECA4977E9}"/>
    <cellStyle name="Comma 814 5" xfId="6294" xr:uid="{FB6A1CFB-2FD8-45EA-802C-E9CC4B8D151A}"/>
    <cellStyle name="Comma 814 5 2" xfId="16646" xr:uid="{BE9F945C-6D67-48AD-979A-E0FDEF253390}"/>
    <cellStyle name="Comma 814 6" xfId="11472" xr:uid="{867830E2-7773-491A-A8C7-CD9C64837F9B}"/>
    <cellStyle name="Comma 815" xfId="1055" xr:uid="{E766ED0C-0C26-43D2-90EC-6004D4A5643C}"/>
    <cellStyle name="Comma 815 2" xfId="2093" xr:uid="{EABC3BDB-C8D6-4E28-9B47-B772073DF21F}"/>
    <cellStyle name="Comma 815 2 2" xfId="4151" xr:uid="{7C9545BB-45DE-4575-885E-B906A8ECA42F}"/>
    <cellStyle name="Comma 815 2 2 2" xfId="9384" xr:uid="{0A2A3218-FD30-413D-BE26-DF8481A49994}"/>
    <cellStyle name="Comma 815 2 2 2 2" xfId="19736" xr:uid="{6C57336D-CE19-4159-9ABB-B9DE0465C2BC}"/>
    <cellStyle name="Comma 815 2 2 3" xfId="14561" xr:uid="{3CF08EA1-C92B-44BB-9EC5-F9207184B5EC}"/>
    <cellStyle name="Comma 815 2 3" xfId="7326" xr:uid="{E634CC4F-113E-4487-A61A-2E3688BC3679}"/>
    <cellStyle name="Comma 815 2 3 2" xfId="17678" xr:uid="{E8B8837E-76E2-4CC6-96D4-2675B4D0835A}"/>
    <cellStyle name="Comma 815 2 4" xfId="12503" xr:uid="{357B2C86-7284-4175-A32C-9ADA99E249AE}"/>
    <cellStyle name="Comma 815 3" xfId="3121" xr:uid="{D2188B3C-16B0-4559-9739-743394CD8D15}"/>
    <cellStyle name="Comma 815 3 2" xfId="8354" xr:uid="{3DCFB5BE-B363-4E23-87B6-2FE8BAEF8F40}"/>
    <cellStyle name="Comma 815 3 2 2" xfId="18706" xr:uid="{0B655CBC-4295-4346-BD7B-CC6985103041}"/>
    <cellStyle name="Comma 815 3 3" xfId="13531" xr:uid="{5C81DC8A-CB6C-4E2F-A7E7-CB689E1A917B}"/>
    <cellStyle name="Comma 815 4" xfId="5247" xr:uid="{D36F8D71-17CC-4036-8472-B4123EB3B6CA}"/>
    <cellStyle name="Comma 815 4 2" xfId="10423" xr:uid="{F8CF914D-AE1A-497A-8577-4A1F8E16CAC6}"/>
    <cellStyle name="Comma 815 4 2 2" xfId="20775" xr:uid="{DFD68F1B-FEE1-48E3-AA10-D2B1188C3EA6}"/>
    <cellStyle name="Comma 815 4 3" xfId="15599" xr:uid="{FA7A5D48-0F69-4F0A-99D8-B5A390E69D3E}"/>
    <cellStyle name="Comma 815 5" xfId="6295" xr:uid="{0914C0AE-1895-4BD8-B6F4-2401DCFC054F}"/>
    <cellStyle name="Comma 815 5 2" xfId="16647" xr:uid="{45C8D401-6051-4CB4-8880-0E0926D6EECE}"/>
    <cellStyle name="Comma 815 6" xfId="11473" xr:uid="{C7E49A08-5885-4CB9-9EBB-E1E651C4DD45}"/>
    <cellStyle name="Comma 816" xfId="1056" xr:uid="{BFCC9EFD-6EF6-4295-B3E8-802968F9A469}"/>
    <cellStyle name="Comma 816 2" xfId="2094" xr:uid="{D135DA06-DBEE-40F6-BB30-5D5571A33C35}"/>
    <cellStyle name="Comma 816 2 2" xfId="4152" xr:uid="{05059CF4-6BE9-4126-B4BA-C0E148F7D6C9}"/>
    <cellStyle name="Comma 816 2 2 2" xfId="9385" xr:uid="{6566FA1D-2CEC-4030-BE8E-6973D717C97B}"/>
    <cellStyle name="Comma 816 2 2 2 2" xfId="19737" xr:uid="{C76661C5-2024-4F38-9FC7-B23864423195}"/>
    <cellStyle name="Comma 816 2 2 3" xfId="14562" xr:uid="{932B6FCF-4106-4ACF-BCC1-834F04FF3D89}"/>
    <cellStyle name="Comma 816 2 3" xfId="7327" xr:uid="{F2682B57-FDED-4140-9831-7A0E64AAD317}"/>
    <cellStyle name="Comma 816 2 3 2" xfId="17679" xr:uid="{F51A7D69-A178-474A-9D94-173E8E257348}"/>
    <cellStyle name="Comma 816 2 4" xfId="12504" xr:uid="{CAC475CB-5458-4055-8096-1DE602B7842E}"/>
    <cellStyle name="Comma 816 3" xfId="3122" xr:uid="{7EA6D62C-B744-4B92-B238-0EAB66E8E277}"/>
    <cellStyle name="Comma 816 3 2" xfId="8355" xr:uid="{3EA7A350-B3AD-413B-8D65-0A061CDCAA6B}"/>
    <cellStyle name="Comma 816 3 2 2" xfId="18707" xr:uid="{F02CEB2E-C5F5-417E-B395-46A832BB25F5}"/>
    <cellStyle name="Comma 816 3 3" xfId="13532" xr:uid="{3E7BD11A-3DD8-4D40-830C-BA24CCC0614C}"/>
    <cellStyle name="Comma 816 4" xfId="5248" xr:uid="{77CCDE26-9622-4AC4-BDB7-294362532C9C}"/>
    <cellStyle name="Comma 816 4 2" xfId="10424" xr:uid="{F3D4C998-8001-4D82-9CD0-3B5CC43BE8B0}"/>
    <cellStyle name="Comma 816 4 2 2" xfId="20776" xr:uid="{A77515EB-3975-40F6-81EE-F8B087540447}"/>
    <cellStyle name="Comma 816 4 3" xfId="15600" xr:uid="{7D1DB95D-FD63-4BD0-B3E9-FFFED35F1E9D}"/>
    <cellStyle name="Comma 816 5" xfId="6296" xr:uid="{B07472C4-A881-47BD-9D47-76C6CE6E6501}"/>
    <cellStyle name="Comma 816 5 2" xfId="16648" xr:uid="{28576CAC-9E08-4EFC-92C9-0EF4A717E9B5}"/>
    <cellStyle name="Comma 816 6" xfId="11474" xr:uid="{025D8F1C-D0C5-4253-9297-9522ED9061B9}"/>
    <cellStyle name="Comma 817" xfId="1057" xr:uid="{5428D0BB-625E-4E3F-946A-9D1E1B0D3A3E}"/>
    <cellStyle name="Comma 817 2" xfId="2095" xr:uid="{C366F4E8-19EB-4CEF-ABA6-C14386E307AB}"/>
    <cellStyle name="Comma 817 2 2" xfId="4153" xr:uid="{D218BE4F-5E63-47B6-82B1-D10B7AA0842C}"/>
    <cellStyle name="Comma 817 2 2 2" xfId="9386" xr:uid="{DFD22F38-85FC-4DB1-98DC-EDF721FDB64B}"/>
    <cellStyle name="Comma 817 2 2 2 2" xfId="19738" xr:uid="{EE7A7EF1-F5CE-45F3-BBC8-CA72E0B09B8F}"/>
    <cellStyle name="Comma 817 2 2 3" xfId="14563" xr:uid="{971B1A04-A549-41A1-98E8-CDF585EA90A2}"/>
    <cellStyle name="Comma 817 2 3" xfId="7328" xr:uid="{FF495E9B-A354-471A-ABB0-DCB5F15A71A0}"/>
    <cellStyle name="Comma 817 2 3 2" xfId="17680" xr:uid="{C42F47B2-15C7-426E-9C48-977EE45E7CA2}"/>
    <cellStyle name="Comma 817 2 4" xfId="12505" xr:uid="{993036F6-26BB-420F-B343-F3D024197960}"/>
    <cellStyle name="Comma 817 3" xfId="3123" xr:uid="{A08D0222-B0AA-4E24-B7B6-F5CE76633B30}"/>
    <cellStyle name="Comma 817 3 2" xfId="8356" xr:uid="{EF0F737E-D0C5-4297-A8EB-E21DA46DBB97}"/>
    <cellStyle name="Comma 817 3 2 2" xfId="18708" xr:uid="{149D766F-AF8D-4691-8A7D-5D9299628A54}"/>
    <cellStyle name="Comma 817 3 3" xfId="13533" xr:uid="{BD2741CE-FB41-4995-ADA9-0754DB32EDE0}"/>
    <cellStyle name="Comma 817 4" xfId="5249" xr:uid="{70767BCC-BC78-4EB6-8F75-3915D7851D46}"/>
    <cellStyle name="Comma 817 4 2" xfId="10425" xr:uid="{A4DAD181-0836-4088-8202-34471C5E7E53}"/>
    <cellStyle name="Comma 817 4 2 2" xfId="20777" xr:uid="{F17FF647-A715-43ED-93F6-E5D515F6CDE1}"/>
    <cellStyle name="Comma 817 4 3" xfId="15601" xr:uid="{B5E8C15C-9C7D-46AB-B640-63AD0D8D9B39}"/>
    <cellStyle name="Comma 817 5" xfId="6297" xr:uid="{29F17AC1-3738-4C8B-9210-3EC82542780E}"/>
    <cellStyle name="Comma 817 5 2" xfId="16649" xr:uid="{21A254F9-325A-47E4-B382-026A0BC960D4}"/>
    <cellStyle name="Comma 817 6" xfId="11475" xr:uid="{38576FAC-0894-436C-80BC-62CD3F1DF9CC}"/>
    <cellStyle name="Comma 818" xfId="1058" xr:uid="{31D7EE79-D057-4627-A2B4-3BE1C279BA0F}"/>
    <cellStyle name="Comma 818 2" xfId="2096" xr:uid="{91AFDF2B-E213-42B6-82F0-FE3BCB9A1234}"/>
    <cellStyle name="Comma 818 2 2" xfId="4154" xr:uid="{FD0451BA-89C6-4A49-A17A-F9B3054936D9}"/>
    <cellStyle name="Comma 818 2 2 2" xfId="9387" xr:uid="{C1CD9C2C-8095-470A-AD48-E44DB7CC98E5}"/>
    <cellStyle name="Comma 818 2 2 2 2" xfId="19739" xr:uid="{62FB255E-4FB9-4507-AB4F-B15A2408D9E3}"/>
    <cellStyle name="Comma 818 2 2 3" xfId="14564" xr:uid="{E8D9D0E5-F22B-4731-B742-FBA6F0B1EAAE}"/>
    <cellStyle name="Comma 818 2 3" xfId="7329" xr:uid="{4911975A-77AE-4670-A6B4-4634AA85A13C}"/>
    <cellStyle name="Comma 818 2 3 2" xfId="17681" xr:uid="{D2AE6494-78CB-4A88-B764-BB7665FE2010}"/>
    <cellStyle name="Comma 818 2 4" xfId="12506" xr:uid="{AB723282-C21F-4A4B-8525-463BFF1B5C36}"/>
    <cellStyle name="Comma 818 3" xfId="3124" xr:uid="{90114DDE-285A-4491-9BA8-DF7CF2CE4B57}"/>
    <cellStyle name="Comma 818 3 2" xfId="8357" xr:uid="{E90221C5-9A99-4AA4-9FF4-BA792AD90701}"/>
    <cellStyle name="Comma 818 3 2 2" xfId="18709" xr:uid="{41ED7BE8-104D-40C4-B3CD-A00A4A6B5074}"/>
    <cellStyle name="Comma 818 3 3" xfId="13534" xr:uid="{F9164C0B-4AB0-435F-A956-54A8D91B6539}"/>
    <cellStyle name="Comma 818 4" xfId="5250" xr:uid="{5DBB2057-EF10-4556-A306-78DC95F5964C}"/>
    <cellStyle name="Comma 818 4 2" xfId="10426" xr:uid="{CC796C99-DDE8-414D-A9FD-A66EEA2BD9AA}"/>
    <cellStyle name="Comma 818 4 2 2" xfId="20778" xr:uid="{909F8507-8E11-455F-8AFB-C846345D2510}"/>
    <cellStyle name="Comma 818 4 3" xfId="15602" xr:uid="{63490BC0-FE69-45B3-A2E6-0F4F96349429}"/>
    <cellStyle name="Comma 818 5" xfId="6298" xr:uid="{C3A2D1E7-0A05-46E4-92EE-F6631292A8CE}"/>
    <cellStyle name="Comma 818 5 2" xfId="16650" xr:uid="{0B348876-0910-4292-BC64-D03ECF95B95A}"/>
    <cellStyle name="Comma 818 6" xfId="11476" xr:uid="{3AF7C481-49A6-4E0E-B95A-DA92EADE09F5}"/>
    <cellStyle name="Comma 819" xfId="1059" xr:uid="{419B9300-E162-40A2-B2C1-E87AF4F677E0}"/>
    <cellStyle name="Comma 819 2" xfId="2097" xr:uid="{BA2A804B-0C26-42CE-84B4-5F554C444BD4}"/>
    <cellStyle name="Comma 819 2 2" xfId="4155" xr:uid="{402AA7DE-9AC9-44A8-A1ED-89B626496CF8}"/>
    <cellStyle name="Comma 819 2 2 2" xfId="9388" xr:uid="{6F230ED6-1A2D-4A50-8A33-AD2B86430A56}"/>
    <cellStyle name="Comma 819 2 2 2 2" xfId="19740" xr:uid="{F4950C92-A5ED-45CA-98C7-B0817B3858AF}"/>
    <cellStyle name="Comma 819 2 2 3" xfId="14565" xr:uid="{DB05566B-BBFB-47BC-98CC-76EE6E2DBF5B}"/>
    <cellStyle name="Comma 819 2 3" xfId="7330" xr:uid="{1E559E4F-8B69-445D-BF5E-9FCDB048346E}"/>
    <cellStyle name="Comma 819 2 3 2" xfId="17682" xr:uid="{10AA55CE-7F57-4DD6-8004-A3130E2454FE}"/>
    <cellStyle name="Comma 819 2 4" xfId="12507" xr:uid="{E69C93D5-97A4-46E5-BBED-B7C886456051}"/>
    <cellStyle name="Comma 819 3" xfId="3125" xr:uid="{2F749518-769B-428A-BF00-8E753C567834}"/>
    <cellStyle name="Comma 819 3 2" xfId="8358" xr:uid="{5E3040F9-F7BB-4D72-9BF2-E8F902937F4F}"/>
    <cellStyle name="Comma 819 3 2 2" xfId="18710" xr:uid="{4449CCD4-7305-4E11-85C1-F3E37407B0BF}"/>
    <cellStyle name="Comma 819 3 3" xfId="13535" xr:uid="{46A770EC-501A-457A-AAAC-5291F98019E4}"/>
    <cellStyle name="Comma 819 4" xfId="5251" xr:uid="{EFF71DDD-A6A9-4488-8DB3-92D6A7871778}"/>
    <cellStyle name="Comma 819 4 2" xfId="10427" xr:uid="{CE10D4FB-13AF-484A-9012-7303733F8D0F}"/>
    <cellStyle name="Comma 819 4 2 2" xfId="20779" xr:uid="{731AB83A-E8F2-484E-9E5E-AEE7A14358A5}"/>
    <cellStyle name="Comma 819 4 3" xfId="15603" xr:uid="{625CAE2B-1EBA-499F-AD2F-FBE1BB328A2C}"/>
    <cellStyle name="Comma 819 5" xfId="6299" xr:uid="{5613B607-B428-43E1-A211-4EE10AC407F5}"/>
    <cellStyle name="Comma 819 5 2" xfId="16651" xr:uid="{245F9F9B-B4DD-4EC0-B686-CF25A02F8E75}"/>
    <cellStyle name="Comma 819 6" xfId="11477" xr:uid="{B2A26250-F4E2-457C-A39C-31DD6135BB93}"/>
    <cellStyle name="Comma 82" xfId="295" xr:uid="{F4C59E57-A74D-46FB-BCEA-A30DFF280E99}"/>
    <cellStyle name="Comma 82 2" xfId="1360" xr:uid="{BFAEBEDD-E1F5-4FB2-94E9-C098817E9B1B}"/>
    <cellStyle name="Comma 82 2 2" xfId="3418" xr:uid="{8FAFB9DA-D31C-406B-9B7C-CAF83AEEC4A6}"/>
    <cellStyle name="Comma 82 2 2 2" xfId="8651" xr:uid="{51C923CC-DF07-4059-BACE-E0AFD705E196}"/>
    <cellStyle name="Comma 82 2 2 2 2" xfId="19003" xr:uid="{1B634D45-B355-456F-A3FE-CEDAC0563BA2}"/>
    <cellStyle name="Comma 82 2 2 3" xfId="13828" xr:uid="{AD1E9077-81C9-4723-8F83-4527CEFC6E8D}"/>
    <cellStyle name="Comma 82 2 3" xfId="6593" xr:uid="{08F15282-E81B-4430-B72C-8221E5668AE6}"/>
    <cellStyle name="Comma 82 2 3 2" xfId="16945" xr:uid="{2FF204CF-A19E-4338-A266-28E9B8CD147A}"/>
    <cellStyle name="Comma 82 2 4" xfId="11770" xr:uid="{24DD02AA-C01C-4234-A146-E992F86DE574}"/>
    <cellStyle name="Comma 82 3" xfId="2388" xr:uid="{9AB8E0A6-A4AC-45F0-90C4-06CC9A4677BF}"/>
    <cellStyle name="Comma 82 3 2" xfId="7621" xr:uid="{552AF319-B893-412B-8E43-B57ACDBDAA52}"/>
    <cellStyle name="Comma 82 3 2 2" xfId="17973" xr:uid="{E8BC9CC1-2FEC-44F5-9D66-B1ED5B7D327E}"/>
    <cellStyle name="Comma 82 3 3" xfId="12798" xr:uid="{C83D29ED-3247-469E-81D7-A18EF5ABE893}"/>
    <cellStyle name="Comma 82 4" xfId="4514" xr:uid="{E3C43FCD-2B6F-49B7-B232-F153D2BED6ED}"/>
    <cellStyle name="Comma 82 4 2" xfId="9690" xr:uid="{7F5363F1-6295-46EE-9E17-9ED9204863A5}"/>
    <cellStyle name="Comma 82 4 2 2" xfId="20042" xr:uid="{9636FC30-170F-488F-A5AD-0C7DA700C100}"/>
    <cellStyle name="Comma 82 4 3" xfId="14866" xr:uid="{F0B23345-C6B3-4C6D-A808-CB74EC563A97}"/>
    <cellStyle name="Comma 82 5" xfId="5562" xr:uid="{BA2BF417-C918-4226-BC03-B060B53577F1}"/>
    <cellStyle name="Comma 82 5 2" xfId="15914" xr:uid="{1E9EBCFD-AEDB-4B2A-9024-CAA710B32857}"/>
    <cellStyle name="Comma 82 6" xfId="10740" xr:uid="{691E21DC-3529-49C2-8C41-9FFAD04C6E58}"/>
    <cellStyle name="Comma 820" xfId="1060" xr:uid="{EB3F1B21-F092-4725-AD67-F12A2B166B08}"/>
    <cellStyle name="Comma 820 2" xfId="2098" xr:uid="{CBE1282F-AB29-4952-932C-063B5857B04B}"/>
    <cellStyle name="Comma 820 2 2" xfId="4156" xr:uid="{DC457309-D231-4AAF-93FD-6C714C230A0F}"/>
    <cellStyle name="Comma 820 2 2 2" xfId="9389" xr:uid="{500CC540-6FCE-4FEB-90E5-7A25454C9B49}"/>
    <cellStyle name="Comma 820 2 2 2 2" xfId="19741" xr:uid="{ED2EBFED-C2B7-4669-8714-F817C27F4796}"/>
    <cellStyle name="Comma 820 2 2 3" xfId="14566" xr:uid="{3C4C9DBA-BEE3-420C-8F32-59946CF054DA}"/>
    <cellStyle name="Comma 820 2 3" xfId="7331" xr:uid="{8328E30D-13C4-4837-9131-E6F22B045275}"/>
    <cellStyle name="Comma 820 2 3 2" xfId="17683" xr:uid="{273667B0-D1BC-40C7-A197-986A48197F5D}"/>
    <cellStyle name="Comma 820 2 4" xfId="12508" xr:uid="{5EA6E317-EEE3-443C-B602-AD1829B63035}"/>
    <cellStyle name="Comma 820 3" xfId="3126" xr:uid="{97C1E444-C06E-4A8F-8AFC-6EF8A13A4B2D}"/>
    <cellStyle name="Comma 820 3 2" xfId="8359" xr:uid="{C3137F35-037B-4047-8A3A-C90F7382069D}"/>
    <cellStyle name="Comma 820 3 2 2" xfId="18711" xr:uid="{9647E87D-994E-41B6-9906-4F455AED3308}"/>
    <cellStyle name="Comma 820 3 3" xfId="13536" xr:uid="{850F2332-0057-4E26-858A-7C59E59BEA42}"/>
    <cellStyle name="Comma 820 4" xfId="5252" xr:uid="{3EE3FE59-D0CA-4707-85BB-2E2A9CBAB584}"/>
    <cellStyle name="Comma 820 4 2" xfId="10428" xr:uid="{CE99356E-6C87-47F6-8178-83E55D6D8637}"/>
    <cellStyle name="Comma 820 4 2 2" xfId="20780" xr:uid="{A59A2897-E62C-4649-B518-57E730761627}"/>
    <cellStyle name="Comma 820 4 3" xfId="15604" xr:uid="{103E5925-8A0F-4F83-B3A0-6D9B733A40E1}"/>
    <cellStyle name="Comma 820 5" xfId="6300" xr:uid="{1BABD3F5-02BB-4D40-87E4-7413EE5E4041}"/>
    <cellStyle name="Comma 820 5 2" xfId="16652" xr:uid="{A186CB2C-172A-41FA-8F6D-B36E9DAD51CA}"/>
    <cellStyle name="Comma 820 6" xfId="11478" xr:uid="{26474683-3370-4D3B-AF2E-9F0398FE8D4B}"/>
    <cellStyle name="Comma 821" xfId="1061" xr:uid="{97ABBE3B-730B-4FFE-BF70-5DC869F7CDAA}"/>
    <cellStyle name="Comma 821 2" xfId="2099" xr:uid="{0C22853F-A455-43CF-8696-DBF3645A75FC}"/>
    <cellStyle name="Comma 821 2 2" xfId="4157" xr:uid="{06F8577C-54FC-4353-9F7D-ED086605FCB3}"/>
    <cellStyle name="Comma 821 2 2 2" xfId="9390" xr:uid="{3D98C005-7A9F-41F3-A34E-CC5464335C57}"/>
    <cellStyle name="Comma 821 2 2 2 2" xfId="19742" xr:uid="{B0DFE4B5-E8C8-470B-BA51-BCCD9D5A5640}"/>
    <cellStyle name="Comma 821 2 2 3" xfId="14567" xr:uid="{6E83698D-62DE-4390-A8BC-7C099CBB2096}"/>
    <cellStyle name="Comma 821 2 3" xfId="7332" xr:uid="{C7F73092-E770-4726-8B52-3BC83BD0D1BF}"/>
    <cellStyle name="Comma 821 2 3 2" xfId="17684" xr:uid="{25DEC9F4-E520-4C3D-9A22-F9F94DB0566F}"/>
    <cellStyle name="Comma 821 2 4" xfId="12509" xr:uid="{F5CAA1B0-211B-4F78-8AB8-381B365AC573}"/>
    <cellStyle name="Comma 821 3" xfId="3127" xr:uid="{5B4B537F-C755-4CF8-9F3C-3FA8C48C4A36}"/>
    <cellStyle name="Comma 821 3 2" xfId="8360" xr:uid="{093F605F-C736-4C30-AFA1-AC43F4B7D164}"/>
    <cellStyle name="Comma 821 3 2 2" xfId="18712" xr:uid="{0E7EBAAB-1CBA-4009-B2ED-5DE9FE5702D2}"/>
    <cellStyle name="Comma 821 3 3" xfId="13537" xr:uid="{C91289C5-A1FC-4DC7-B1C3-A05F90A3FA2F}"/>
    <cellStyle name="Comma 821 4" xfId="5253" xr:uid="{BF76A280-B223-48AC-91A3-9F6051C370D2}"/>
    <cellStyle name="Comma 821 4 2" xfId="10429" xr:uid="{E03DC9E6-B4B2-4679-9480-2694BA7B96CE}"/>
    <cellStyle name="Comma 821 4 2 2" xfId="20781" xr:uid="{6D8CA32C-9370-4DE1-B0A5-BFCDFA46AC49}"/>
    <cellStyle name="Comma 821 4 3" xfId="15605" xr:uid="{210BCA50-CC70-4CA1-AEA0-15A64672B1CC}"/>
    <cellStyle name="Comma 821 5" xfId="6301" xr:uid="{E206C058-3417-434B-9D17-8B2A9D9F3623}"/>
    <cellStyle name="Comma 821 5 2" xfId="16653" xr:uid="{16C88C37-B2FD-4F49-BB4C-6CAB67F48C15}"/>
    <cellStyle name="Comma 821 6" xfId="11479" xr:uid="{E2CF3638-585F-4FCE-9D4A-C001A7B6BA68}"/>
    <cellStyle name="Comma 822" xfId="1062" xr:uid="{20D9876B-3677-4592-B53C-5AB4DE56474A}"/>
    <cellStyle name="Comma 822 2" xfId="2100" xr:uid="{E8B143F3-54CF-4F48-B1CE-A775A32CF590}"/>
    <cellStyle name="Comma 822 2 2" xfId="4158" xr:uid="{B19D09F9-1961-43B6-AD41-C1AA0C360B51}"/>
    <cellStyle name="Comma 822 2 2 2" xfId="9391" xr:uid="{D2AE8D0A-6B02-4F0E-94EB-0261F8E316C8}"/>
    <cellStyle name="Comma 822 2 2 2 2" xfId="19743" xr:uid="{53549CB9-C685-4F06-94CA-8D63F05223DA}"/>
    <cellStyle name="Comma 822 2 2 3" xfId="14568" xr:uid="{8C0F3A11-246B-49FD-95D7-B2533765FEE3}"/>
    <cellStyle name="Comma 822 2 3" xfId="7333" xr:uid="{1E43EE7C-607A-4195-ACFD-40E912409CAE}"/>
    <cellStyle name="Comma 822 2 3 2" xfId="17685" xr:uid="{C0F849C2-4824-49AA-B51C-137D4191AA2D}"/>
    <cellStyle name="Comma 822 2 4" xfId="12510" xr:uid="{9131F985-EB36-4023-9189-CFEF95805BD3}"/>
    <cellStyle name="Comma 822 3" xfId="3128" xr:uid="{0FA30A06-DF94-4315-B954-536DF344AD57}"/>
    <cellStyle name="Comma 822 3 2" xfId="8361" xr:uid="{0096FF7F-47E3-4FBE-86EC-8BF3555DD99D}"/>
    <cellStyle name="Comma 822 3 2 2" xfId="18713" xr:uid="{A289884F-6A3E-469E-A6F0-6DEB98251BCA}"/>
    <cellStyle name="Comma 822 3 3" xfId="13538" xr:uid="{847CB408-76D1-46E4-B2A3-AA0231AAA13F}"/>
    <cellStyle name="Comma 822 4" xfId="5254" xr:uid="{EC047169-24A2-4B21-B2E0-7A1E76E10962}"/>
    <cellStyle name="Comma 822 4 2" xfId="10430" xr:uid="{677B6EA8-6B99-4058-B554-DA7A10665419}"/>
    <cellStyle name="Comma 822 4 2 2" xfId="20782" xr:uid="{60374EF6-9820-4055-981E-7AD9B629BAAD}"/>
    <cellStyle name="Comma 822 4 3" xfId="15606" xr:uid="{19CB1072-D1AD-43B3-B92A-1CBCD9848585}"/>
    <cellStyle name="Comma 822 5" xfId="6302" xr:uid="{DE01B738-3B89-4504-B47F-4009F386490E}"/>
    <cellStyle name="Comma 822 5 2" xfId="16654" xr:uid="{79F4660B-A134-47EF-A123-90B0CA11F032}"/>
    <cellStyle name="Comma 822 6" xfId="11480" xr:uid="{4DEE809D-FD2C-4B89-B5A6-22B596D8B53C}"/>
    <cellStyle name="Comma 823" xfId="1063" xr:uid="{E62C9301-018D-4A9A-8CA3-751FA25A0E69}"/>
    <cellStyle name="Comma 823 2" xfId="2101" xr:uid="{32DE0C8D-062B-48CA-88BD-BE58CE4F660F}"/>
    <cellStyle name="Comma 823 2 2" xfId="4159" xr:uid="{B9EB69B6-1D3E-438D-A143-1B2F7679A277}"/>
    <cellStyle name="Comma 823 2 2 2" xfId="9392" xr:uid="{4B45BE78-A94E-4EEE-BE7F-69B6B7792BAC}"/>
    <cellStyle name="Comma 823 2 2 2 2" xfId="19744" xr:uid="{B92EF4FB-8F56-4D9C-93A5-A293E7B3960F}"/>
    <cellStyle name="Comma 823 2 2 3" xfId="14569" xr:uid="{A3FC1CAE-4F68-4C50-8BF8-E322D90E7C1A}"/>
    <cellStyle name="Comma 823 2 3" xfId="7334" xr:uid="{C68D5B54-373D-49BE-A01E-6F375CF95EE9}"/>
    <cellStyle name="Comma 823 2 3 2" xfId="17686" xr:uid="{D54DF80D-28DC-4C7E-9F22-DDF2A81C222F}"/>
    <cellStyle name="Comma 823 2 4" xfId="12511" xr:uid="{A52DCC91-2D1C-4ECD-AA1E-DCD769628A38}"/>
    <cellStyle name="Comma 823 3" xfId="3129" xr:uid="{C4CA63E5-FB7D-42F8-AB66-0052BB3E4AA6}"/>
    <cellStyle name="Comma 823 3 2" xfId="8362" xr:uid="{6237B6A8-F0DF-4C56-9267-2566100CF3BE}"/>
    <cellStyle name="Comma 823 3 2 2" xfId="18714" xr:uid="{C32B0BF0-1F28-4903-9B83-633E3E85E49A}"/>
    <cellStyle name="Comma 823 3 3" xfId="13539" xr:uid="{5D4391B5-EFC1-4B8C-812B-9BD630806547}"/>
    <cellStyle name="Comma 823 4" xfId="5255" xr:uid="{A69342F1-77E8-4B00-8C33-14F31B6046A7}"/>
    <cellStyle name="Comma 823 4 2" xfId="10431" xr:uid="{0567EB61-23A8-4DC2-B844-D4FE3A45A90A}"/>
    <cellStyle name="Comma 823 4 2 2" xfId="20783" xr:uid="{D0E39BAC-ED01-49E9-9612-48811927DD04}"/>
    <cellStyle name="Comma 823 4 3" xfId="15607" xr:uid="{0347BE27-0936-44E6-9615-BBA19CD140C2}"/>
    <cellStyle name="Comma 823 5" xfId="6303" xr:uid="{33B2514A-CC04-43D0-98C0-0532E48BBBBB}"/>
    <cellStyle name="Comma 823 5 2" xfId="16655" xr:uid="{FAAF79D7-1C2F-441C-9CDF-E0933F00EBA6}"/>
    <cellStyle name="Comma 823 6" xfId="11481" xr:uid="{5EE4195C-D1DC-45CA-AE98-4F0C2446EF56}"/>
    <cellStyle name="Comma 824" xfId="1064" xr:uid="{907C2836-5A6D-4269-8179-8C7BAE988C56}"/>
    <cellStyle name="Comma 824 2" xfId="2102" xr:uid="{80A4157A-5376-4791-945F-D33B5ECD1F86}"/>
    <cellStyle name="Comma 824 2 2" xfId="4160" xr:uid="{820222F5-5AF1-4018-9946-8E6B3609F68C}"/>
    <cellStyle name="Comma 824 2 2 2" xfId="9393" xr:uid="{B265B63D-F667-4811-AE4A-0BF4C0B7C6FB}"/>
    <cellStyle name="Comma 824 2 2 2 2" xfId="19745" xr:uid="{8E39F129-A6FF-4709-84D0-6FA7141E7BAE}"/>
    <cellStyle name="Comma 824 2 2 3" xfId="14570" xr:uid="{3ED5236C-9C1F-43AE-810F-45FF294E3649}"/>
    <cellStyle name="Comma 824 2 3" xfId="7335" xr:uid="{0FB92AF1-CAEF-4E73-95BD-7684676C7042}"/>
    <cellStyle name="Comma 824 2 3 2" xfId="17687" xr:uid="{F9B09EF4-F9B6-4BB5-BC5D-4429B63657B0}"/>
    <cellStyle name="Comma 824 2 4" xfId="12512" xr:uid="{A7C5BBFE-16C7-4E29-B190-59A41D2E4271}"/>
    <cellStyle name="Comma 824 3" xfId="3130" xr:uid="{1364E6E6-3AD7-4140-9A61-216327FF6C0D}"/>
    <cellStyle name="Comma 824 3 2" xfId="8363" xr:uid="{67AB89D1-C129-4CB9-8166-0515A69A5F3F}"/>
    <cellStyle name="Comma 824 3 2 2" xfId="18715" xr:uid="{DE394B67-683A-426D-A94E-95844A9A49AC}"/>
    <cellStyle name="Comma 824 3 3" xfId="13540" xr:uid="{C643DF2E-0239-4834-8CE4-28EFF3B4157D}"/>
    <cellStyle name="Comma 824 4" xfId="5256" xr:uid="{188D7D49-0F50-4D9E-ABCC-72E5541991A1}"/>
    <cellStyle name="Comma 824 4 2" xfId="10432" xr:uid="{7B6FA293-F73F-43B2-B93B-4851BCA7510E}"/>
    <cellStyle name="Comma 824 4 2 2" xfId="20784" xr:uid="{B1DCDEE0-8AD0-48CA-85F6-9DF44834F39C}"/>
    <cellStyle name="Comma 824 4 3" xfId="15608" xr:uid="{7971CF14-F7E9-4064-87FC-518786DF9189}"/>
    <cellStyle name="Comma 824 5" xfId="6304" xr:uid="{2C83F4F4-29AF-4C85-8126-BAA3F35E719F}"/>
    <cellStyle name="Comma 824 5 2" xfId="16656" xr:uid="{D20583E4-257F-4A03-BDDD-984A98AB3F6B}"/>
    <cellStyle name="Comma 824 6" xfId="11482" xr:uid="{788CA4B7-9AB4-455B-B76B-3C48A05493C7}"/>
    <cellStyle name="Comma 825" xfId="1065" xr:uid="{540D3E1F-2DFF-4161-9ECD-0482D949F30C}"/>
    <cellStyle name="Comma 825 2" xfId="2103" xr:uid="{C2726A50-06B1-47A6-8A8D-CAD3C8124472}"/>
    <cellStyle name="Comma 825 2 2" xfId="4161" xr:uid="{30181A6B-A1F9-4C46-9290-9078DADE0628}"/>
    <cellStyle name="Comma 825 2 2 2" xfId="9394" xr:uid="{9F8E2FD0-BF8D-4D07-9C52-612765CD0016}"/>
    <cellStyle name="Comma 825 2 2 2 2" xfId="19746" xr:uid="{6E91BD85-7788-484B-9F5D-E4CA73B9D87E}"/>
    <cellStyle name="Comma 825 2 2 3" xfId="14571" xr:uid="{A5262618-CC62-4291-831B-21E974B7E4A4}"/>
    <cellStyle name="Comma 825 2 3" xfId="7336" xr:uid="{8794C206-34CB-43F7-B454-6321CFD6B015}"/>
    <cellStyle name="Comma 825 2 3 2" xfId="17688" xr:uid="{3CD9A302-8F98-4366-B9B1-A7D298F6FF22}"/>
    <cellStyle name="Comma 825 2 4" xfId="12513" xr:uid="{BFAE17B8-BDA7-4359-A74E-B6556764D73D}"/>
    <cellStyle name="Comma 825 3" xfId="3131" xr:uid="{13314471-B350-48E5-9947-05CCE4CBE6B8}"/>
    <cellStyle name="Comma 825 3 2" xfId="8364" xr:uid="{832622E2-B315-4037-A4A1-043B419C0D0E}"/>
    <cellStyle name="Comma 825 3 2 2" xfId="18716" xr:uid="{8744B497-2C41-480A-9E1E-A0E3F639AF42}"/>
    <cellStyle name="Comma 825 3 3" xfId="13541" xr:uid="{51294A1B-0848-43F2-A23A-08A7BFAFB19E}"/>
    <cellStyle name="Comma 825 4" xfId="5257" xr:uid="{E08E9FF6-2600-45C8-9135-2EF6B2A33D66}"/>
    <cellStyle name="Comma 825 4 2" xfId="10433" xr:uid="{C847129A-A618-49B8-AB67-D03821ED335B}"/>
    <cellStyle name="Comma 825 4 2 2" xfId="20785" xr:uid="{F6BE3F3D-129E-4EE5-8263-90435DBBD885}"/>
    <cellStyle name="Comma 825 4 3" xfId="15609" xr:uid="{9D022853-63B6-4E06-BA09-A32381E08724}"/>
    <cellStyle name="Comma 825 5" xfId="6305" xr:uid="{D6BE4BC1-3522-4C60-BB11-2E78F0F8F099}"/>
    <cellStyle name="Comma 825 5 2" xfId="16657" xr:uid="{BC81D660-D6DC-4619-86B3-C19B0119F26E}"/>
    <cellStyle name="Comma 825 6" xfId="11483" xr:uid="{5684DCC3-9BAB-48E6-B989-5FA402B1E57C}"/>
    <cellStyle name="Comma 826" xfId="1066" xr:uid="{CF6993B2-B525-441D-B3CE-1EB5F96F6A0A}"/>
    <cellStyle name="Comma 826 2" xfId="2104" xr:uid="{F7787E93-5E03-406E-9E2D-8BA630AD00E5}"/>
    <cellStyle name="Comma 826 2 2" xfId="4162" xr:uid="{4E5AA89D-6F2C-461E-A690-079F37A5FAD5}"/>
    <cellStyle name="Comma 826 2 2 2" xfId="9395" xr:uid="{8E93F742-B944-4760-9390-063BD0969FC6}"/>
    <cellStyle name="Comma 826 2 2 2 2" xfId="19747" xr:uid="{5BD3C70C-BC4B-4D68-BF86-69B3EBC6D2EC}"/>
    <cellStyle name="Comma 826 2 2 3" xfId="14572" xr:uid="{71AF32E0-0395-4D7B-851D-C339562F0192}"/>
    <cellStyle name="Comma 826 2 3" xfId="7337" xr:uid="{69D90A75-3A45-4C0E-99F1-4CA9BF7D99CB}"/>
    <cellStyle name="Comma 826 2 3 2" xfId="17689" xr:uid="{F6A238E9-FF71-49BC-B8F8-21BD20D211E0}"/>
    <cellStyle name="Comma 826 2 4" xfId="12514" xr:uid="{B19D3809-F4FC-4A86-A76E-D0AB0D9E2E7F}"/>
    <cellStyle name="Comma 826 3" xfId="3132" xr:uid="{BD8DC815-BAC3-44BE-9454-4E686E60D918}"/>
    <cellStyle name="Comma 826 3 2" xfId="8365" xr:uid="{1342AE24-9A58-48A7-90D4-042062BAB6FB}"/>
    <cellStyle name="Comma 826 3 2 2" xfId="18717" xr:uid="{3E77ABD2-64A2-4D4A-A2D1-0FCEE8F25CE8}"/>
    <cellStyle name="Comma 826 3 3" xfId="13542" xr:uid="{AE120943-B3D7-435D-9269-9F6DF487D825}"/>
    <cellStyle name="Comma 826 4" xfId="5258" xr:uid="{BF04AA42-C9A5-4B1B-A62F-742B00CA2F66}"/>
    <cellStyle name="Comma 826 4 2" xfId="10434" xr:uid="{CB57A4CB-C6E8-46A8-B9C6-73D49717B464}"/>
    <cellStyle name="Comma 826 4 2 2" xfId="20786" xr:uid="{62392D11-FD87-4C78-88F3-E83B03AA048B}"/>
    <cellStyle name="Comma 826 4 3" xfId="15610" xr:uid="{B5EC842B-E700-4FCC-951C-718BAE4BBE1A}"/>
    <cellStyle name="Comma 826 5" xfId="6306" xr:uid="{D6D050EC-7825-4DFA-BD8A-E1A92D29AC6D}"/>
    <cellStyle name="Comma 826 5 2" xfId="16658" xr:uid="{B80CDA3C-36AB-48F6-9692-2A1695A1C400}"/>
    <cellStyle name="Comma 826 6" xfId="11484" xr:uid="{55D14620-BCB1-4ECB-BB19-E0B3E98E6A06}"/>
    <cellStyle name="Comma 827" xfId="1067" xr:uid="{FEBB5FF4-3C00-4C7E-888B-C63FD56EB99F}"/>
    <cellStyle name="Comma 827 2" xfId="2105" xr:uid="{644D886A-D781-431F-8896-05043BB5C0A4}"/>
    <cellStyle name="Comma 827 2 2" xfId="4163" xr:uid="{ADB1CE2C-9679-466B-822C-6C41B679E2D5}"/>
    <cellStyle name="Comma 827 2 2 2" xfId="9396" xr:uid="{60C92CC7-3AC9-418F-AF1C-649D0302CCF7}"/>
    <cellStyle name="Comma 827 2 2 2 2" xfId="19748" xr:uid="{DF6773F8-5766-41F4-806C-7FACF5A1E649}"/>
    <cellStyle name="Comma 827 2 2 3" xfId="14573" xr:uid="{9282E7F5-FE57-406C-9F21-44335C2996C0}"/>
    <cellStyle name="Comma 827 2 3" xfId="7338" xr:uid="{9E9D66FE-CFE5-4A1E-AD3A-BFCADB2A9467}"/>
    <cellStyle name="Comma 827 2 3 2" xfId="17690" xr:uid="{5A4C5AF7-FA04-4555-85EA-361AF5A9DAF7}"/>
    <cellStyle name="Comma 827 2 4" xfId="12515" xr:uid="{B247577C-9C9F-47EB-99B4-E0B1015111BB}"/>
    <cellStyle name="Comma 827 3" xfId="3133" xr:uid="{BCF8A643-8D6A-40F6-BD6D-50B040F79A1A}"/>
    <cellStyle name="Comma 827 3 2" xfId="8366" xr:uid="{9692842C-6F05-4610-808F-64296E5485C2}"/>
    <cellStyle name="Comma 827 3 2 2" xfId="18718" xr:uid="{DF6B81ED-4D45-4782-ACCC-06339067CDEE}"/>
    <cellStyle name="Comma 827 3 3" xfId="13543" xr:uid="{8A130D89-9447-4360-9944-B160E12F1AF1}"/>
    <cellStyle name="Comma 827 4" xfId="5259" xr:uid="{9134FABF-8ED5-4DDF-86E8-8C7B3669553C}"/>
    <cellStyle name="Comma 827 4 2" xfId="10435" xr:uid="{3BFB9324-4F2C-4EBE-BF2D-3C3CB69F11B6}"/>
    <cellStyle name="Comma 827 4 2 2" xfId="20787" xr:uid="{A23F5C3E-6200-435C-B278-9CE5B8E23BD8}"/>
    <cellStyle name="Comma 827 4 3" xfId="15611" xr:uid="{735DF2F2-2CD8-4722-B155-3EE1BBD2181E}"/>
    <cellStyle name="Comma 827 5" xfId="6307" xr:uid="{A6DAB688-6197-4041-B1BE-F8298D1F5582}"/>
    <cellStyle name="Comma 827 5 2" xfId="16659" xr:uid="{65F006BA-8F6C-4510-8776-81D9E6BCFE1B}"/>
    <cellStyle name="Comma 827 6" xfId="11485" xr:uid="{D46A7B32-2EAC-40F7-BAC9-135947A3CDFF}"/>
    <cellStyle name="Comma 828" xfId="1068" xr:uid="{88CF6DA5-C007-4142-B6A3-2361837235B4}"/>
    <cellStyle name="Comma 828 2" xfId="2106" xr:uid="{D2E4D831-ECFE-4A92-AD7B-C51BE1A81B51}"/>
    <cellStyle name="Comma 828 2 2" xfId="4164" xr:uid="{4D849EE9-CAC7-463B-86DC-882797106E73}"/>
    <cellStyle name="Comma 828 2 2 2" xfId="9397" xr:uid="{AD07D9F3-D8BC-4A98-B237-DD81B2890ED8}"/>
    <cellStyle name="Comma 828 2 2 2 2" xfId="19749" xr:uid="{1258FC65-6A52-4666-8511-109B05C5F46F}"/>
    <cellStyle name="Comma 828 2 2 3" xfId="14574" xr:uid="{841A3433-C2B7-40E9-AE3F-A7B88F7B4EFB}"/>
    <cellStyle name="Comma 828 2 3" xfId="7339" xr:uid="{C6829D24-3C4F-4752-AAC2-D3E7DB1FCA81}"/>
    <cellStyle name="Comma 828 2 3 2" xfId="17691" xr:uid="{7FF41C44-B805-4223-B054-D8470CB3E46B}"/>
    <cellStyle name="Comma 828 2 4" xfId="12516" xr:uid="{CE3602E7-EB1A-4385-A9CB-CAA1539A977A}"/>
    <cellStyle name="Comma 828 3" xfId="3134" xr:uid="{3CB4191D-C6A4-495F-9DB0-2F8943AB9404}"/>
    <cellStyle name="Comma 828 3 2" xfId="8367" xr:uid="{C3000034-40FD-492E-9D91-054654393C35}"/>
    <cellStyle name="Comma 828 3 2 2" xfId="18719" xr:uid="{729C5464-F4FA-46B1-9016-A4C895DD8E79}"/>
    <cellStyle name="Comma 828 3 3" xfId="13544" xr:uid="{15117AED-8582-4892-95A5-46E51ED3C6D0}"/>
    <cellStyle name="Comma 828 4" xfId="5260" xr:uid="{53697C4D-E42A-45A5-8F67-906AE1CFAC30}"/>
    <cellStyle name="Comma 828 4 2" xfId="10436" xr:uid="{77B9505A-5F70-42A1-BEF5-F69AC5A0536E}"/>
    <cellStyle name="Comma 828 4 2 2" xfId="20788" xr:uid="{FE946DD3-C06C-4304-80A6-5737A290E933}"/>
    <cellStyle name="Comma 828 4 3" xfId="15612" xr:uid="{FCAF80C5-A22B-47A5-BF6B-AB1055C571DB}"/>
    <cellStyle name="Comma 828 5" xfId="6308" xr:uid="{9394D7B2-2245-4E1D-A39F-E1AD904D8363}"/>
    <cellStyle name="Comma 828 5 2" xfId="16660" xr:uid="{779E374A-2B93-42CF-8794-A6737BD059B2}"/>
    <cellStyle name="Comma 828 6" xfId="11486" xr:uid="{49E717E7-20F4-4407-B45A-E28E4D1F32DE}"/>
    <cellStyle name="Comma 829" xfId="1069" xr:uid="{E905AF52-CEA7-4069-98AA-C90804470A07}"/>
    <cellStyle name="Comma 829 2" xfId="2107" xr:uid="{A67EBF62-7647-45E4-A319-DA87E2D6A6AA}"/>
    <cellStyle name="Comma 829 2 2" xfId="4165" xr:uid="{6153E9A8-2FCD-432B-BC55-59C3880855FA}"/>
    <cellStyle name="Comma 829 2 2 2" xfId="9398" xr:uid="{187C745E-FF53-40E7-B728-13919610740D}"/>
    <cellStyle name="Comma 829 2 2 2 2" xfId="19750" xr:uid="{0F4D19C9-F5F0-406E-BC51-F99CA4A2CD43}"/>
    <cellStyle name="Comma 829 2 2 3" xfId="14575" xr:uid="{1BB42D8B-3F1A-438E-94DD-6A9F16DB574C}"/>
    <cellStyle name="Comma 829 2 3" xfId="7340" xr:uid="{46AF4F83-3618-47FD-9EB2-D6F67E499B9B}"/>
    <cellStyle name="Comma 829 2 3 2" xfId="17692" xr:uid="{701E9FA2-EEFE-4591-9368-8805E6015F7F}"/>
    <cellStyle name="Comma 829 2 4" xfId="12517" xr:uid="{0DDFEB3C-70B8-4D79-BFFE-636C0D080234}"/>
    <cellStyle name="Comma 829 3" xfId="3135" xr:uid="{0248195A-57F9-4F11-AA88-BE61B2DC15D0}"/>
    <cellStyle name="Comma 829 3 2" xfId="8368" xr:uid="{1B043804-2CB6-477A-B477-EFA776DC72E2}"/>
    <cellStyle name="Comma 829 3 2 2" xfId="18720" xr:uid="{48444B7A-20FF-4A8C-B6FB-5AE84B98534B}"/>
    <cellStyle name="Comma 829 3 3" xfId="13545" xr:uid="{C9AFD578-B74D-4CCA-BF5E-6C2BB7A05C06}"/>
    <cellStyle name="Comma 829 4" xfId="5261" xr:uid="{3F248A83-E10F-475B-BDD0-C70A27B95E03}"/>
    <cellStyle name="Comma 829 4 2" xfId="10437" xr:uid="{547B06A4-1FE0-4A37-8243-3D9D0CFBA3E7}"/>
    <cellStyle name="Comma 829 4 2 2" xfId="20789" xr:uid="{D48F4C7B-A387-4F8B-BF5A-1A60AD85749A}"/>
    <cellStyle name="Comma 829 4 3" xfId="15613" xr:uid="{B299FE88-C7E8-4981-B060-DA54439D026A}"/>
    <cellStyle name="Comma 829 5" xfId="6309" xr:uid="{F098930B-8748-4C81-8A96-22043CD1FA98}"/>
    <cellStyle name="Comma 829 5 2" xfId="16661" xr:uid="{5C199482-35B6-4442-9CEE-2D39375E0240}"/>
    <cellStyle name="Comma 829 6" xfId="11487" xr:uid="{43A501B7-BC7D-4830-9CE3-27FA3D58D650}"/>
    <cellStyle name="Comma 83" xfId="296" xr:uid="{39629F91-5246-412B-B383-D3DF6F987DF2}"/>
    <cellStyle name="Comma 83 2" xfId="1361" xr:uid="{8FD9C544-9654-4D73-8443-1094A26C9946}"/>
    <cellStyle name="Comma 83 2 2" xfId="3419" xr:uid="{AE90CE25-BC25-4B66-B024-D61FFBDD6AD9}"/>
    <cellStyle name="Comma 83 2 2 2" xfId="8652" xr:uid="{8D64B42B-20C1-46BF-A785-9C7CFCC83C7B}"/>
    <cellStyle name="Comma 83 2 2 2 2" xfId="19004" xr:uid="{4F0E36C1-6EC4-4713-AF67-E5F757E22525}"/>
    <cellStyle name="Comma 83 2 2 3" xfId="13829" xr:uid="{51696873-F4A3-4F36-B42F-952FA36CA8A1}"/>
    <cellStyle name="Comma 83 2 3" xfId="6594" xr:uid="{BEC2588E-3428-4799-830C-C2909FFED070}"/>
    <cellStyle name="Comma 83 2 3 2" xfId="16946" xr:uid="{11E52412-5191-440B-B34D-F98F33DB9A96}"/>
    <cellStyle name="Comma 83 2 4" xfId="11771" xr:uid="{A647BD79-2644-4A3C-AA0F-E380B9F2A59A}"/>
    <cellStyle name="Comma 83 3" xfId="2389" xr:uid="{620AC12B-1475-48D8-B5EC-F910C08A90CE}"/>
    <cellStyle name="Comma 83 3 2" xfId="7622" xr:uid="{B4775019-B2A6-4657-9967-F8A385CE4F3D}"/>
    <cellStyle name="Comma 83 3 2 2" xfId="17974" xr:uid="{A96A43C0-1F68-4BDE-A52A-57F4E46D592B}"/>
    <cellStyle name="Comma 83 3 3" xfId="12799" xr:uid="{DFEE9004-1BA8-44A1-9A21-0CB446B5DB8D}"/>
    <cellStyle name="Comma 83 4" xfId="4515" xr:uid="{4949529C-06CB-43BB-8461-CC68F69023B9}"/>
    <cellStyle name="Comma 83 4 2" xfId="9691" xr:uid="{EB580DD6-0885-40A6-AED2-E1A88C04941A}"/>
    <cellStyle name="Comma 83 4 2 2" xfId="20043" xr:uid="{602B5C56-6450-4AD9-8488-CFBC2008EBBE}"/>
    <cellStyle name="Comma 83 4 3" xfId="14867" xr:uid="{7A90580A-8D26-4886-AAA4-3B7CC5AFAF37}"/>
    <cellStyle name="Comma 83 5" xfId="5563" xr:uid="{F3F12AFB-1881-46B6-B86F-8654D187CDEE}"/>
    <cellStyle name="Comma 83 5 2" xfId="15915" xr:uid="{B9030956-C841-4CA4-8735-B49DFD751014}"/>
    <cellStyle name="Comma 83 6" xfId="10741" xr:uid="{950ECF15-C797-4DF7-89A6-B30A567536CD}"/>
    <cellStyle name="Comma 830" xfId="1070" xr:uid="{19DE3F97-BED2-4AB3-9047-15BC8AFF8B84}"/>
    <cellStyle name="Comma 830 2" xfId="2108" xr:uid="{09FAEA16-E25E-4A0E-A041-0809C175B4EC}"/>
    <cellStyle name="Comma 830 2 2" xfId="4166" xr:uid="{46098499-6114-4005-A13F-BBACFB0F7585}"/>
    <cellStyle name="Comma 830 2 2 2" xfId="9399" xr:uid="{40ADDF45-FAA6-4597-8E57-49E8F06B1763}"/>
    <cellStyle name="Comma 830 2 2 2 2" xfId="19751" xr:uid="{0EADC880-E566-4C77-BEEC-DAB26AD89B4E}"/>
    <cellStyle name="Comma 830 2 2 3" xfId="14576" xr:uid="{1695DC29-90B2-4563-BA0B-39371B8995F3}"/>
    <cellStyle name="Comma 830 2 3" xfId="7341" xr:uid="{0CB7D8E5-F036-4F61-B23D-22FFDBF08043}"/>
    <cellStyle name="Comma 830 2 3 2" xfId="17693" xr:uid="{12A30F75-B222-4D30-8176-9A80FA9BA52B}"/>
    <cellStyle name="Comma 830 2 4" xfId="12518" xr:uid="{13FA7C6B-6580-46A6-A71D-844EFBDC5DC5}"/>
    <cellStyle name="Comma 830 3" xfId="3136" xr:uid="{10704ECD-DA5D-4897-BBB4-E5DDE7249EB7}"/>
    <cellStyle name="Comma 830 3 2" xfId="8369" xr:uid="{5DF05252-568D-40DF-A8DD-156F2C8E2399}"/>
    <cellStyle name="Comma 830 3 2 2" xfId="18721" xr:uid="{E1A89D32-407F-414F-88AD-DFD305E63470}"/>
    <cellStyle name="Comma 830 3 3" xfId="13546" xr:uid="{D185D9F3-99B6-40F9-8FEF-2010CAE116CC}"/>
    <cellStyle name="Comma 830 4" xfId="5262" xr:uid="{D585E2CA-3475-4AED-841D-4817618A0FE2}"/>
    <cellStyle name="Comma 830 4 2" xfId="10438" xr:uid="{D49E5B12-923C-4B6F-9A9C-BCBE0C2A6CA2}"/>
    <cellStyle name="Comma 830 4 2 2" xfId="20790" xr:uid="{D7156B30-37BC-40D9-9000-1E1AB503978B}"/>
    <cellStyle name="Comma 830 4 3" xfId="15614" xr:uid="{1C86831D-6A83-47B0-AB26-CF12100F0185}"/>
    <cellStyle name="Comma 830 5" xfId="6310" xr:uid="{6B313101-12B4-4E66-9471-535AFE628A6A}"/>
    <cellStyle name="Comma 830 5 2" xfId="16662" xr:uid="{02AB56DE-558D-4B58-AD9D-E8B82E93766C}"/>
    <cellStyle name="Comma 830 6" xfId="11488" xr:uid="{AEA70B72-E675-4826-A072-86091BFFE882}"/>
    <cellStyle name="Comma 831" xfId="1071" xr:uid="{04EF9EBA-83AD-43DC-BEE3-B866931BBCB6}"/>
    <cellStyle name="Comma 831 2" xfId="2109" xr:uid="{71824F94-9A03-42B9-BFA7-3A3C2CBEFCEB}"/>
    <cellStyle name="Comma 831 2 2" xfId="4167" xr:uid="{52CA26D2-8CE0-4177-BBF7-9610C86B6A5A}"/>
    <cellStyle name="Comma 831 2 2 2" xfId="9400" xr:uid="{37B54880-010A-478E-B36C-28357D0D7693}"/>
    <cellStyle name="Comma 831 2 2 2 2" xfId="19752" xr:uid="{DB56E7E8-E517-4E20-989F-101D81F70D31}"/>
    <cellStyle name="Comma 831 2 2 3" xfId="14577" xr:uid="{FB25BB47-08B2-4C8F-9D59-7E87D61DCCEC}"/>
    <cellStyle name="Comma 831 2 3" xfId="7342" xr:uid="{6CA7AE39-C007-4F2F-9D96-7172BF93AB23}"/>
    <cellStyle name="Comma 831 2 3 2" xfId="17694" xr:uid="{31627A78-A8BA-4CB1-8AA7-7668A09A1780}"/>
    <cellStyle name="Comma 831 2 4" xfId="12519" xr:uid="{88DE6561-EAAF-4278-BD5B-7B92153FABC6}"/>
    <cellStyle name="Comma 831 3" xfId="3137" xr:uid="{A39579FF-B4BD-4E0E-BDB0-14D59FDBE73F}"/>
    <cellStyle name="Comma 831 3 2" xfId="8370" xr:uid="{763535F8-DB39-42DA-B016-65C42F52029D}"/>
    <cellStyle name="Comma 831 3 2 2" xfId="18722" xr:uid="{2CDFC9A4-87D8-452F-A56B-9F254094A527}"/>
    <cellStyle name="Comma 831 3 3" xfId="13547" xr:uid="{227242B3-FD0D-42AC-8DBA-A2CD41366D08}"/>
    <cellStyle name="Comma 831 4" xfId="5263" xr:uid="{EB228899-8C81-4149-AF87-3E833F5EE4D4}"/>
    <cellStyle name="Comma 831 4 2" xfId="10439" xr:uid="{6F290539-56F5-4FB2-96EC-98BE5616F0A9}"/>
    <cellStyle name="Comma 831 4 2 2" xfId="20791" xr:uid="{87F1C761-9D1B-4154-9C77-D4EC84A759A1}"/>
    <cellStyle name="Comma 831 4 3" xfId="15615" xr:uid="{369B8E68-2E26-4CD6-91CD-F62DBCC885F4}"/>
    <cellStyle name="Comma 831 5" xfId="6311" xr:uid="{6732AE85-ED94-4DFC-B8B2-6AE54C18C87C}"/>
    <cellStyle name="Comma 831 5 2" xfId="16663" xr:uid="{A52D0F34-0D1F-4C23-8C93-F8C7610D3466}"/>
    <cellStyle name="Comma 831 6" xfId="11489" xr:uid="{BADD98AE-BF0B-423B-8989-2BB9156EFFFA}"/>
    <cellStyle name="Comma 832" xfId="1072" xr:uid="{CE9C30BA-E5AA-4B82-9EFE-FD8D4D31366F}"/>
    <cellStyle name="Comma 832 2" xfId="2110" xr:uid="{C8145140-E0D8-4D8A-AECF-56F6559B284B}"/>
    <cellStyle name="Comma 832 2 2" xfId="4168" xr:uid="{446A2E6B-2303-4288-A5A9-7D8CE924497D}"/>
    <cellStyle name="Comma 832 2 2 2" xfId="9401" xr:uid="{76A8DA63-68AA-4AD1-BC6C-789E0B4793A7}"/>
    <cellStyle name="Comma 832 2 2 2 2" xfId="19753" xr:uid="{7BE3D345-7F53-4C5E-B494-0EA62D7AB1CE}"/>
    <cellStyle name="Comma 832 2 2 3" xfId="14578" xr:uid="{809C0493-8A12-4976-8797-5092AD662F3B}"/>
    <cellStyle name="Comma 832 2 3" xfId="7343" xr:uid="{F4BA4BAE-177B-4C73-B7E1-6BB3B27F1D7B}"/>
    <cellStyle name="Comma 832 2 3 2" xfId="17695" xr:uid="{84AD66C9-A4D4-404D-A03A-9F1DC92DFB8E}"/>
    <cellStyle name="Comma 832 2 4" xfId="12520" xr:uid="{792D075C-74FF-4B21-B233-F2E76C07F452}"/>
    <cellStyle name="Comma 832 3" xfId="3138" xr:uid="{942CF8F8-D6C9-4A22-B8AD-5621CDBC5916}"/>
    <cellStyle name="Comma 832 3 2" xfId="8371" xr:uid="{037C2AC4-F91B-4326-9B05-167599A088AD}"/>
    <cellStyle name="Comma 832 3 2 2" xfId="18723" xr:uid="{67C7EE2C-50A1-465F-A38E-FE339C088936}"/>
    <cellStyle name="Comma 832 3 3" xfId="13548" xr:uid="{4E204F80-DC18-4C98-A48E-2A388908328E}"/>
    <cellStyle name="Comma 832 4" xfId="5264" xr:uid="{5E934839-95F0-4996-A39E-763A7274D02F}"/>
    <cellStyle name="Comma 832 4 2" xfId="10440" xr:uid="{C129F5C6-154A-456E-A4E0-CE2AC44C6754}"/>
    <cellStyle name="Comma 832 4 2 2" xfId="20792" xr:uid="{3887F7E7-D65F-447C-A747-C502F963C1F5}"/>
    <cellStyle name="Comma 832 4 3" xfId="15616" xr:uid="{3432E715-2E21-4D40-B033-33ED8D821DCA}"/>
    <cellStyle name="Comma 832 5" xfId="6312" xr:uid="{0686D8D7-B1D4-48A1-806B-ED5EDC789534}"/>
    <cellStyle name="Comma 832 5 2" xfId="16664" xr:uid="{DF10196D-1269-4F56-8EC0-8E4E78C281CC}"/>
    <cellStyle name="Comma 832 6" xfId="11490" xr:uid="{46FFE277-4043-45D0-8467-48491AC1BE9F}"/>
    <cellStyle name="Comma 833" xfId="1073" xr:uid="{12A96A7F-3A07-46E1-AD3A-43CEE0E83C10}"/>
    <cellStyle name="Comma 833 2" xfId="2111" xr:uid="{998CA8FD-B99B-4D31-B1C4-AF217D04AFC3}"/>
    <cellStyle name="Comma 833 2 2" xfId="4169" xr:uid="{F2DFFBD3-06A6-4F52-8E21-F358901E2725}"/>
    <cellStyle name="Comma 833 2 2 2" xfId="9402" xr:uid="{2C76EA17-2FDD-44B4-8D51-B160F8D9FF19}"/>
    <cellStyle name="Comma 833 2 2 2 2" xfId="19754" xr:uid="{C4BD7114-FCEB-40DB-89BB-11FE64CBD767}"/>
    <cellStyle name="Comma 833 2 2 3" xfId="14579" xr:uid="{5A262A1C-7E24-4586-8F9E-36B3E9778046}"/>
    <cellStyle name="Comma 833 2 3" xfId="7344" xr:uid="{5B1B9DE9-EDD1-4A70-8DE4-AD1543AC53DD}"/>
    <cellStyle name="Comma 833 2 3 2" xfId="17696" xr:uid="{EAC74654-874F-4BA8-B250-F53735DAFBC3}"/>
    <cellStyle name="Comma 833 2 4" xfId="12521" xr:uid="{33182A95-8146-47C9-838A-B8698A9ECA25}"/>
    <cellStyle name="Comma 833 3" xfId="3139" xr:uid="{D78E5127-9378-47BE-8F51-2CCEDE274D46}"/>
    <cellStyle name="Comma 833 3 2" xfId="8372" xr:uid="{6B8751A2-4B79-4D25-ADE5-01D1138A86B6}"/>
    <cellStyle name="Comma 833 3 2 2" xfId="18724" xr:uid="{7DEB152F-1B74-44E7-B69A-4CCAE9D32A5A}"/>
    <cellStyle name="Comma 833 3 3" xfId="13549" xr:uid="{788DF708-1A7B-4BB4-822F-B90469CCFF37}"/>
    <cellStyle name="Comma 833 4" xfId="5265" xr:uid="{B8600CE1-1931-4AE9-B6BC-3C2EA6CEABE0}"/>
    <cellStyle name="Comma 833 4 2" xfId="10441" xr:uid="{1EE13F1F-06BB-45AD-9CFD-4C56064E2CA0}"/>
    <cellStyle name="Comma 833 4 2 2" xfId="20793" xr:uid="{57F4033A-CD6E-4830-9E7B-E2B4A18D2767}"/>
    <cellStyle name="Comma 833 4 3" xfId="15617" xr:uid="{4ED1BD1C-BF40-49F6-9C41-0DB4FD2F6DCC}"/>
    <cellStyle name="Comma 833 5" xfId="6313" xr:uid="{1299EF77-4AED-40F7-A8F7-89BA1481FE23}"/>
    <cellStyle name="Comma 833 5 2" xfId="16665" xr:uid="{3FA7ACA2-C322-48C4-BEE4-3B1B3A28E68A}"/>
    <cellStyle name="Comma 833 6" xfId="11491" xr:uid="{AF170317-868D-4E51-BAB5-97E16A0A62A8}"/>
    <cellStyle name="Comma 834" xfId="1074" xr:uid="{D90889E6-DB49-4041-A848-13C51BD294EA}"/>
    <cellStyle name="Comma 834 2" xfId="2112" xr:uid="{E1F87DC5-996A-4BAD-A9D6-E9F049EC413B}"/>
    <cellStyle name="Comma 834 2 2" xfId="4170" xr:uid="{5EDCE5BE-D2E4-4810-B907-410BF5F0392C}"/>
    <cellStyle name="Comma 834 2 2 2" xfId="9403" xr:uid="{BD2C8477-29C1-4ECD-A390-8EBF7ED55E90}"/>
    <cellStyle name="Comma 834 2 2 2 2" xfId="19755" xr:uid="{40D8C90E-3253-4E27-B5B5-89B2986E939C}"/>
    <cellStyle name="Comma 834 2 2 3" xfId="14580" xr:uid="{0ED6B147-41FC-41FC-890F-A5E3CFDB17EE}"/>
    <cellStyle name="Comma 834 2 3" xfId="7345" xr:uid="{183BC6C3-ADF3-4BED-BD81-B37B28B2F1E6}"/>
    <cellStyle name="Comma 834 2 3 2" xfId="17697" xr:uid="{971FA141-AF3E-46B0-AB8C-6388BB76819D}"/>
    <cellStyle name="Comma 834 2 4" xfId="12522" xr:uid="{CF840469-1DD3-4FC3-9C07-9290E73EF7EE}"/>
    <cellStyle name="Comma 834 3" xfId="3140" xr:uid="{E6F3672C-CB8E-4AE3-BF7A-B0187862017D}"/>
    <cellStyle name="Comma 834 3 2" xfId="8373" xr:uid="{BD43385B-75C3-4DDC-BF8D-437B98DB1ECE}"/>
    <cellStyle name="Comma 834 3 2 2" xfId="18725" xr:uid="{DA9ABC77-BEF7-44D1-86C5-BD683D51C6DC}"/>
    <cellStyle name="Comma 834 3 3" xfId="13550" xr:uid="{61318FEC-CF90-4C39-BE94-C0E9D2ECD355}"/>
    <cellStyle name="Comma 834 4" xfId="5266" xr:uid="{B66BD2C8-2968-464D-A25A-841B2535000C}"/>
    <cellStyle name="Comma 834 4 2" xfId="10442" xr:uid="{251C864E-7D22-46B4-9F69-7C6464379662}"/>
    <cellStyle name="Comma 834 4 2 2" xfId="20794" xr:uid="{82E7B3FA-85F9-4D71-8643-DAC6AB601D23}"/>
    <cellStyle name="Comma 834 4 3" xfId="15618" xr:uid="{D1EB3A2E-4498-4326-A177-C179EEAEFF3A}"/>
    <cellStyle name="Comma 834 5" xfId="6314" xr:uid="{2D950870-9D27-4B82-A5DF-14A68B7E678E}"/>
    <cellStyle name="Comma 834 5 2" xfId="16666" xr:uid="{148B8A8E-96AA-46B4-9801-09EA42350B50}"/>
    <cellStyle name="Comma 834 6" xfId="11492" xr:uid="{ABFFB913-3C29-4D7C-A50E-B0F1E6100EE6}"/>
    <cellStyle name="Comma 835" xfId="1075" xr:uid="{5815FA27-36D0-484A-869D-60306690CB86}"/>
    <cellStyle name="Comma 835 2" xfId="2113" xr:uid="{5C05AFCA-F738-43C3-B0A8-100D33E60318}"/>
    <cellStyle name="Comma 835 2 2" xfId="4171" xr:uid="{01863099-F556-464A-961E-6C235C5483E1}"/>
    <cellStyle name="Comma 835 2 2 2" xfId="9404" xr:uid="{93BD241D-02DA-40B8-B701-5D21F6BACFCF}"/>
    <cellStyle name="Comma 835 2 2 2 2" xfId="19756" xr:uid="{812CE6FF-6925-457B-AFA6-258FBCD6032C}"/>
    <cellStyle name="Comma 835 2 2 3" xfId="14581" xr:uid="{E8FF34A6-3D07-40B8-92DF-6EC94061C27B}"/>
    <cellStyle name="Comma 835 2 3" xfId="7346" xr:uid="{D13F5CE4-3A2A-40A7-83A7-7BA392D52791}"/>
    <cellStyle name="Comma 835 2 3 2" xfId="17698" xr:uid="{108023E1-561B-4A93-B834-3915091CB9B1}"/>
    <cellStyle name="Comma 835 2 4" xfId="12523" xr:uid="{D80B075B-1AD7-4035-BF36-F7697873BFED}"/>
    <cellStyle name="Comma 835 3" xfId="3141" xr:uid="{736E9B22-A46D-489E-9814-5233C715A267}"/>
    <cellStyle name="Comma 835 3 2" xfId="8374" xr:uid="{CE6CA913-6C65-43B0-B9AA-DB1C6C608406}"/>
    <cellStyle name="Comma 835 3 2 2" xfId="18726" xr:uid="{AFCA6E3F-C794-4070-9B94-000DBAB84B58}"/>
    <cellStyle name="Comma 835 3 3" xfId="13551" xr:uid="{5773ACDE-28B8-465A-A4E8-75BF8B39A40C}"/>
    <cellStyle name="Comma 835 4" xfId="5267" xr:uid="{F24F5AED-D9A4-4C6F-90BA-A2712FEAD9BE}"/>
    <cellStyle name="Comma 835 4 2" xfId="10443" xr:uid="{B75D1E41-6F9D-444B-8822-E9983E53A0EE}"/>
    <cellStyle name="Comma 835 4 2 2" xfId="20795" xr:uid="{F43FDF24-D51C-4450-A8DD-AB668A62DAF0}"/>
    <cellStyle name="Comma 835 4 3" xfId="15619" xr:uid="{36946581-84CB-4ECA-B1DA-01766C042ADE}"/>
    <cellStyle name="Comma 835 5" xfId="6315" xr:uid="{3077ABFF-8BAD-4958-A917-C856A2674DEB}"/>
    <cellStyle name="Comma 835 5 2" xfId="16667" xr:uid="{7CA44B51-CF5B-48C2-8951-57B3FCEF97E9}"/>
    <cellStyle name="Comma 835 6" xfId="11493" xr:uid="{00A4C807-D216-4831-8771-307157413D83}"/>
    <cellStyle name="Comma 836" xfId="1076" xr:uid="{4C95F3E4-F042-4B75-B9C4-E90011C6FCE3}"/>
    <cellStyle name="Comma 836 2" xfId="2114" xr:uid="{8C4E34C9-ADBA-4D4A-ACDB-9AC0D9B30455}"/>
    <cellStyle name="Comma 836 2 2" xfId="4172" xr:uid="{8C14F122-05AC-4D56-AE32-8C51559564BE}"/>
    <cellStyle name="Comma 836 2 2 2" xfId="9405" xr:uid="{524B9EE2-647C-4E03-A82F-3CF65FA10E77}"/>
    <cellStyle name="Comma 836 2 2 2 2" xfId="19757" xr:uid="{35997D2E-A7AA-41F5-81A2-A75683DB55A6}"/>
    <cellStyle name="Comma 836 2 2 3" xfId="14582" xr:uid="{BB61484E-5600-4388-A9E3-CD1C25C961B0}"/>
    <cellStyle name="Comma 836 2 3" xfId="7347" xr:uid="{7F9C8390-E9BC-41BE-B4A0-5B666324338B}"/>
    <cellStyle name="Comma 836 2 3 2" xfId="17699" xr:uid="{54136213-E08E-4259-BF92-0B154C57DB25}"/>
    <cellStyle name="Comma 836 2 4" xfId="12524" xr:uid="{1EE783AE-133F-434F-803B-1D617D4FAABE}"/>
    <cellStyle name="Comma 836 3" xfId="3142" xr:uid="{69621652-EC2E-4DDD-8453-526F8254DDD8}"/>
    <cellStyle name="Comma 836 3 2" xfId="8375" xr:uid="{F06B412C-C5BD-4E48-9370-7B982DC292C5}"/>
    <cellStyle name="Comma 836 3 2 2" xfId="18727" xr:uid="{9FB4ED70-798F-4D8C-9788-A6FDB6A6D810}"/>
    <cellStyle name="Comma 836 3 3" xfId="13552" xr:uid="{8E383BAA-8BAC-4081-9750-59C221463160}"/>
    <cellStyle name="Comma 836 4" xfId="5268" xr:uid="{9B6DF371-8D71-4119-8A8D-C1B841E922DA}"/>
    <cellStyle name="Comma 836 4 2" xfId="10444" xr:uid="{AC2DEE4B-FD16-4805-B291-F3C4758BD0FC}"/>
    <cellStyle name="Comma 836 4 2 2" xfId="20796" xr:uid="{4E440BB3-1EE5-4A92-B7A1-B2CAB68C1673}"/>
    <cellStyle name="Comma 836 4 3" xfId="15620" xr:uid="{5B28425C-F51B-4DD2-A1CA-B065BAEFE39B}"/>
    <cellStyle name="Comma 836 5" xfId="6316" xr:uid="{7C9D0DD2-6765-4A3A-AF7D-B8C07FE6A1D6}"/>
    <cellStyle name="Comma 836 5 2" xfId="16668" xr:uid="{3CEC1175-6B32-472E-94D1-78E03E5A6A86}"/>
    <cellStyle name="Comma 836 6" xfId="11494" xr:uid="{8DD9435C-FEB8-4192-A188-AAB88082A5EA}"/>
    <cellStyle name="Comma 837" xfId="1077" xr:uid="{15164E8E-112F-45A4-9F7D-6E592F8BC04E}"/>
    <cellStyle name="Comma 837 2" xfId="2115" xr:uid="{3A611BEA-B192-49E1-97F2-C4AA144B7019}"/>
    <cellStyle name="Comma 837 2 2" xfId="4173" xr:uid="{27D1A1AC-F254-499F-94E9-A1FD6D18C522}"/>
    <cellStyle name="Comma 837 2 2 2" xfId="9406" xr:uid="{2F9974E4-6D02-467C-ACFA-A6D2AFAF4F1A}"/>
    <cellStyle name="Comma 837 2 2 2 2" xfId="19758" xr:uid="{E7D0FAEB-E6AC-42D8-A9D1-F15C3461F34A}"/>
    <cellStyle name="Comma 837 2 2 3" xfId="14583" xr:uid="{277942AC-15D9-423A-AE3B-C7AF2A22ACBF}"/>
    <cellStyle name="Comma 837 2 3" xfId="7348" xr:uid="{48E67F01-4220-4D35-B8BE-9A837C54BDAD}"/>
    <cellStyle name="Comma 837 2 3 2" xfId="17700" xr:uid="{DA3E0A19-95F1-4339-8E7D-1D2C5D7DFF87}"/>
    <cellStyle name="Comma 837 2 4" xfId="12525" xr:uid="{B24FF6E4-E892-45B6-B9C9-79A7FA395F2B}"/>
    <cellStyle name="Comma 837 3" xfId="3143" xr:uid="{C63E2F2F-F8F2-4097-BA21-349F65D292BA}"/>
    <cellStyle name="Comma 837 3 2" xfId="8376" xr:uid="{C51CA9DB-DEDC-46DD-BC4E-D5637A1B5E84}"/>
    <cellStyle name="Comma 837 3 2 2" xfId="18728" xr:uid="{91C5FD93-20C4-4764-966B-E855C0540E8B}"/>
    <cellStyle name="Comma 837 3 3" xfId="13553" xr:uid="{28BF8727-6C3A-43A2-9E07-0E5BE4760BAA}"/>
    <cellStyle name="Comma 837 4" xfId="5269" xr:uid="{BA849861-E907-4832-B7BA-DB291FE7A256}"/>
    <cellStyle name="Comma 837 4 2" xfId="10445" xr:uid="{D0A19640-F6A0-407A-8583-7140DB38164D}"/>
    <cellStyle name="Comma 837 4 2 2" xfId="20797" xr:uid="{0B18AE93-BF4E-4693-B7C1-18F4C89F07FC}"/>
    <cellStyle name="Comma 837 4 3" xfId="15621" xr:uid="{0AB07D1F-2812-47A3-9552-A5C21F45405A}"/>
    <cellStyle name="Comma 837 5" xfId="6317" xr:uid="{94C301F9-D1A3-450B-A295-D598A98D6EA5}"/>
    <cellStyle name="Comma 837 5 2" xfId="16669" xr:uid="{8855D06D-EE1F-4D81-81BD-40A10C6197CA}"/>
    <cellStyle name="Comma 837 6" xfId="11495" xr:uid="{2717D370-7F29-45A7-918E-78BD4B0F9FD6}"/>
    <cellStyle name="Comma 838" xfId="1078" xr:uid="{CB867EB8-5DF5-47D1-BF82-D17BDA4DC583}"/>
    <cellStyle name="Comma 838 2" xfId="2116" xr:uid="{CE87DA06-90D8-41BF-A76B-29A0D47ABC02}"/>
    <cellStyle name="Comma 838 2 2" xfId="4174" xr:uid="{9BBF9314-B4A2-4EAC-B6CA-BF42E951BA17}"/>
    <cellStyle name="Comma 838 2 2 2" xfId="9407" xr:uid="{E9FC8FB5-29A3-48F0-8CEA-A7FDA4D1AA7D}"/>
    <cellStyle name="Comma 838 2 2 2 2" xfId="19759" xr:uid="{2205623A-BD0A-4029-A5AC-3C52C2882D18}"/>
    <cellStyle name="Comma 838 2 2 3" xfId="14584" xr:uid="{273131FE-FBA1-43A8-99DA-C621195E3C14}"/>
    <cellStyle name="Comma 838 2 3" xfId="7349" xr:uid="{521D7F40-9D46-4874-B781-1AB917B4FBA8}"/>
    <cellStyle name="Comma 838 2 3 2" xfId="17701" xr:uid="{D0DA85A0-2AE1-4CB4-95DA-C40244A341D2}"/>
    <cellStyle name="Comma 838 2 4" xfId="12526" xr:uid="{A4FAD0C1-9A06-4470-B155-8FE22510ACCC}"/>
    <cellStyle name="Comma 838 3" xfId="3144" xr:uid="{36F7E94C-1047-4BB2-99C3-2A1AA27A41FA}"/>
    <cellStyle name="Comma 838 3 2" xfId="8377" xr:uid="{5B3DC40C-1FB2-474D-91AF-DBD0D4BBF7FE}"/>
    <cellStyle name="Comma 838 3 2 2" xfId="18729" xr:uid="{897A1C75-3776-49B6-82F1-08EF10FEE1E0}"/>
    <cellStyle name="Comma 838 3 3" xfId="13554" xr:uid="{67BEE41A-3FF6-4171-8C67-931439D20093}"/>
    <cellStyle name="Comma 838 4" xfId="5270" xr:uid="{44AB980A-2D5C-4E1E-A86C-47A8CCB542FE}"/>
    <cellStyle name="Comma 838 4 2" xfId="10446" xr:uid="{4C48C9B0-BC10-4DDB-B853-9236E52208D6}"/>
    <cellStyle name="Comma 838 4 2 2" xfId="20798" xr:uid="{ABFCA5A5-67CB-4A6C-B389-78D074B2FF8A}"/>
    <cellStyle name="Comma 838 4 3" xfId="15622" xr:uid="{B612C28E-AB66-49BC-9D49-10C047D5E91E}"/>
    <cellStyle name="Comma 838 5" xfId="6318" xr:uid="{637C1747-9A91-468E-835F-33AC4A676D55}"/>
    <cellStyle name="Comma 838 5 2" xfId="16670" xr:uid="{D68D0DCB-0E09-4158-BF85-012DD7571001}"/>
    <cellStyle name="Comma 838 6" xfId="11496" xr:uid="{30EA3C06-0436-476D-97DA-ECCFF3EA231D}"/>
    <cellStyle name="Comma 839" xfId="1079" xr:uid="{ACCC7286-5647-4139-A561-6D602B9C663A}"/>
    <cellStyle name="Comma 839 2" xfId="2117" xr:uid="{7BA636A6-FDE1-4ED6-B32B-427607C3B508}"/>
    <cellStyle name="Comma 839 2 2" xfId="4175" xr:uid="{3CBFB131-00B5-4776-9A7F-3648D5403983}"/>
    <cellStyle name="Comma 839 2 2 2" xfId="9408" xr:uid="{B5CA40BF-E21C-4BFA-9E10-28F6305E2F36}"/>
    <cellStyle name="Comma 839 2 2 2 2" xfId="19760" xr:uid="{5A770D43-CDA8-48AA-8E66-960165868EE5}"/>
    <cellStyle name="Comma 839 2 2 3" xfId="14585" xr:uid="{3E1B7F81-4A14-4A14-A4B0-2FE7D4945AC3}"/>
    <cellStyle name="Comma 839 2 3" xfId="7350" xr:uid="{1DD8B489-00DB-451E-A4ED-DF85FA887A2F}"/>
    <cellStyle name="Comma 839 2 3 2" xfId="17702" xr:uid="{EF47AC3B-F0FE-4796-971C-396ED36255A8}"/>
    <cellStyle name="Comma 839 2 4" xfId="12527" xr:uid="{43EA1689-CEA4-411F-B118-6541541651DD}"/>
    <cellStyle name="Comma 839 3" xfId="3145" xr:uid="{532F8A74-BD97-4825-8F12-6C1E764B3861}"/>
    <cellStyle name="Comma 839 3 2" xfId="8378" xr:uid="{E68DBE04-BE49-4454-AEF8-018CBC153C0F}"/>
    <cellStyle name="Comma 839 3 2 2" xfId="18730" xr:uid="{20C1F15E-0E37-43A5-80A3-1932706FF10A}"/>
    <cellStyle name="Comma 839 3 3" xfId="13555" xr:uid="{059F84DD-9F8E-4914-8B32-4A1263024819}"/>
    <cellStyle name="Comma 839 4" xfId="5271" xr:uid="{3106FF66-9DFC-4980-9850-FFD175EC875C}"/>
    <cellStyle name="Comma 839 4 2" xfId="10447" xr:uid="{20DF2891-E464-4CD8-89E0-C1059BBEDB54}"/>
    <cellStyle name="Comma 839 4 2 2" xfId="20799" xr:uid="{85FDC04B-67B5-4F30-8046-BBE8445F3243}"/>
    <cellStyle name="Comma 839 4 3" xfId="15623" xr:uid="{28E98E1A-BF90-41CD-AE71-2698C65697A2}"/>
    <cellStyle name="Comma 839 5" xfId="6319" xr:uid="{55481090-8122-481D-BF21-7B0091CA591D}"/>
    <cellStyle name="Comma 839 5 2" xfId="16671" xr:uid="{DB091139-AD57-47B0-AE9B-3813561DCF3F}"/>
    <cellStyle name="Comma 839 6" xfId="11497" xr:uid="{E71BD943-AE99-4BC3-83FE-959AB19D4481}"/>
    <cellStyle name="Comma 84" xfId="297" xr:uid="{C27D2E24-5278-4306-8EDB-3500271F88FD}"/>
    <cellStyle name="Comma 84 2" xfId="1362" xr:uid="{FA953DAF-9FEA-4789-89DA-1D384180B439}"/>
    <cellStyle name="Comma 84 2 2" xfId="3420" xr:uid="{F23F740B-F1D6-42B7-8E2A-1735C6CE3E69}"/>
    <cellStyle name="Comma 84 2 2 2" xfId="8653" xr:uid="{B62F1B7F-0AB4-45B1-83B9-D55E7A2C8A14}"/>
    <cellStyle name="Comma 84 2 2 2 2" xfId="19005" xr:uid="{B768791F-BE03-4DDD-998D-9629F14FFD17}"/>
    <cellStyle name="Comma 84 2 2 3" xfId="13830" xr:uid="{C907719B-CFEB-4190-A838-39DBBDDD2997}"/>
    <cellStyle name="Comma 84 2 3" xfId="6595" xr:uid="{E3AEA6A1-4950-404B-BACE-31BE91AC5FA4}"/>
    <cellStyle name="Comma 84 2 3 2" xfId="16947" xr:uid="{68CBE099-68C8-44BD-9C04-D2DA7FBC0059}"/>
    <cellStyle name="Comma 84 2 4" xfId="11772" xr:uid="{8291E403-28A8-4397-84F4-0279C95E4209}"/>
    <cellStyle name="Comma 84 3" xfId="2390" xr:uid="{8F711E0C-6255-4030-90DF-8BEA677F6253}"/>
    <cellStyle name="Comma 84 3 2" xfId="7623" xr:uid="{099FE8E9-C30D-41F9-BEEA-5DC9F5B3A180}"/>
    <cellStyle name="Comma 84 3 2 2" xfId="17975" xr:uid="{71222AD9-5413-4DFB-BA42-D9DF2997EC75}"/>
    <cellStyle name="Comma 84 3 3" xfId="12800" xr:uid="{864751C6-E689-478D-BA29-5D631054D189}"/>
    <cellStyle name="Comma 84 4" xfId="4516" xr:uid="{946B99E2-089E-479C-B69A-4459181621A7}"/>
    <cellStyle name="Comma 84 4 2" xfId="9692" xr:uid="{3CB77196-4996-4F9A-A988-5B4A2AD2B966}"/>
    <cellStyle name="Comma 84 4 2 2" xfId="20044" xr:uid="{4BBD36EB-3C9A-4283-9EFA-326720CF8DBC}"/>
    <cellStyle name="Comma 84 4 3" xfId="14868" xr:uid="{87F92FF9-5FED-4873-8F29-748E94187099}"/>
    <cellStyle name="Comma 84 5" xfId="5564" xr:uid="{AD930796-1ABA-4195-8E93-9F5AC416D892}"/>
    <cellStyle name="Comma 84 5 2" xfId="15916" xr:uid="{C3671FE7-6800-4C01-9451-7AF2C6862B40}"/>
    <cellStyle name="Comma 84 6" xfId="10742" xr:uid="{4737A828-3CC6-4F22-A617-7F66975BBB5A}"/>
    <cellStyle name="Comma 840" xfId="1080" xr:uid="{74C5DF27-ADBA-4482-B39A-79230DA3B430}"/>
    <cellStyle name="Comma 840 2" xfId="2118" xr:uid="{0F58E634-59E0-4E64-8359-F21BDD01C401}"/>
    <cellStyle name="Comma 840 2 2" xfId="4176" xr:uid="{531F0615-E33E-4751-A7DF-97A116286DCB}"/>
    <cellStyle name="Comma 840 2 2 2" xfId="9409" xr:uid="{B727E4DD-58E0-42ED-9C18-790304C76582}"/>
    <cellStyle name="Comma 840 2 2 2 2" xfId="19761" xr:uid="{D84EF0CD-82BC-49EB-91FD-1B5299FCDA8F}"/>
    <cellStyle name="Comma 840 2 2 3" xfId="14586" xr:uid="{1D0C8B3A-D196-4F44-9A50-19C7032BA41B}"/>
    <cellStyle name="Comma 840 2 3" xfId="7351" xr:uid="{944D3044-CD07-4732-AC3D-890AA05B31A9}"/>
    <cellStyle name="Comma 840 2 3 2" xfId="17703" xr:uid="{BF8D2569-BF4F-4A8F-8A05-5BB0E32D6261}"/>
    <cellStyle name="Comma 840 2 4" xfId="12528" xr:uid="{091D8C87-27D5-44C1-B44E-6AD396B9FA9C}"/>
    <cellStyle name="Comma 840 3" xfId="3146" xr:uid="{D4911CAA-F074-4E52-9909-B6FD15F9ACB2}"/>
    <cellStyle name="Comma 840 3 2" xfId="8379" xr:uid="{0DFDF6B8-F49A-4AA6-ABEB-9E78FF35AFF6}"/>
    <cellStyle name="Comma 840 3 2 2" xfId="18731" xr:uid="{BF4A81D6-B686-4A68-8343-292E9526AD89}"/>
    <cellStyle name="Comma 840 3 3" xfId="13556" xr:uid="{FC6E3248-BAC1-4697-9AF1-3A9A9C2557BF}"/>
    <cellStyle name="Comma 840 4" xfId="5272" xr:uid="{EC26A740-1FFA-4C78-83A5-F954B7349A89}"/>
    <cellStyle name="Comma 840 4 2" xfId="10448" xr:uid="{D9B7A91E-784D-4891-B07F-D8C11478430F}"/>
    <cellStyle name="Comma 840 4 2 2" xfId="20800" xr:uid="{F15258AB-0DE9-4DDA-91F2-F22EACBAA475}"/>
    <cellStyle name="Comma 840 4 3" xfId="15624" xr:uid="{A8FB22EE-DEFE-428E-B26D-F098BB59183F}"/>
    <cellStyle name="Comma 840 5" xfId="6320" xr:uid="{815D34E7-589F-4AFA-B09A-18DF1C037915}"/>
    <cellStyle name="Comma 840 5 2" xfId="16672" xr:uid="{69CB5DE7-B13D-47C6-B1A9-6D0FC2CAADF8}"/>
    <cellStyle name="Comma 840 6" xfId="11498" xr:uid="{66407326-A6B7-4D68-B060-930F1A3D008F}"/>
    <cellStyle name="Comma 841" xfId="1081" xr:uid="{C9999700-0ABE-44A0-B700-4D71C79F10AF}"/>
    <cellStyle name="Comma 841 2" xfId="2119" xr:uid="{4CD21FB1-8D6E-4E51-B3CD-50185861F546}"/>
    <cellStyle name="Comma 841 2 2" xfId="4177" xr:uid="{D8946A41-D89F-4FF0-B56B-942498595193}"/>
    <cellStyle name="Comma 841 2 2 2" xfId="9410" xr:uid="{681A5436-9DC8-4B24-987E-11E9E4B4D75B}"/>
    <cellStyle name="Comma 841 2 2 2 2" xfId="19762" xr:uid="{7B44DFB9-90DE-4C6B-ACA6-B055A558CF72}"/>
    <cellStyle name="Comma 841 2 2 3" xfId="14587" xr:uid="{2A7D76D4-5B54-4C1F-9887-FF7142D624B3}"/>
    <cellStyle name="Comma 841 2 3" xfId="7352" xr:uid="{F705F365-57AD-4A37-B30F-2F9DA471DEB9}"/>
    <cellStyle name="Comma 841 2 3 2" xfId="17704" xr:uid="{B031388A-D807-4C5B-8DF5-900A0A825273}"/>
    <cellStyle name="Comma 841 2 4" xfId="12529" xr:uid="{F5D0D000-7CDB-4E10-BE94-D8C783122B39}"/>
    <cellStyle name="Comma 841 3" xfId="3147" xr:uid="{2C1BD0FB-D637-43F7-9176-8428286A4F3C}"/>
    <cellStyle name="Comma 841 3 2" xfId="8380" xr:uid="{B53C7A2E-0B69-4A39-9100-FDF17CAE3D38}"/>
    <cellStyle name="Comma 841 3 2 2" xfId="18732" xr:uid="{8CA9AFD1-FE7C-44A8-AA2D-B4C6A37F7C1C}"/>
    <cellStyle name="Comma 841 3 3" xfId="13557" xr:uid="{53C96382-FEA6-4011-86B7-D5A429521176}"/>
    <cellStyle name="Comma 841 4" xfId="5273" xr:uid="{75F7ECA3-D824-43B5-B185-AB0AB34F2B39}"/>
    <cellStyle name="Comma 841 4 2" xfId="10449" xr:uid="{57A2058A-FBF9-420E-880F-1250AC30E493}"/>
    <cellStyle name="Comma 841 4 2 2" xfId="20801" xr:uid="{B8F82562-D9D2-4BF5-A5CC-189CFB92D5AB}"/>
    <cellStyle name="Comma 841 4 3" xfId="15625" xr:uid="{44BCEF73-2249-43BA-AB97-61E70DC6F75F}"/>
    <cellStyle name="Comma 841 5" xfId="6321" xr:uid="{E2635A98-D37F-468C-95E8-074C3387CC67}"/>
    <cellStyle name="Comma 841 5 2" xfId="16673" xr:uid="{38EF5EF8-5E54-42DB-A360-FD104C005767}"/>
    <cellStyle name="Comma 841 6" xfId="11499" xr:uid="{ECE580F8-602E-4EAB-BA27-91E64D9899B5}"/>
    <cellStyle name="Comma 842" xfId="1082" xr:uid="{E0BB9836-9045-4328-9CB3-E0C5E414E8BC}"/>
    <cellStyle name="Comma 842 2" xfId="2120" xr:uid="{35896DAB-FEF1-4918-AB42-9504B79654CB}"/>
    <cellStyle name="Comma 842 2 2" xfId="4178" xr:uid="{FDD59540-6E73-4E45-827F-3A1B9D43CB3F}"/>
    <cellStyle name="Comma 842 2 2 2" xfId="9411" xr:uid="{C48A94A4-09CE-4CAD-813B-B6DD197CCDE0}"/>
    <cellStyle name="Comma 842 2 2 2 2" xfId="19763" xr:uid="{F54C26FF-63A9-4D3E-8743-4481C41CC43A}"/>
    <cellStyle name="Comma 842 2 2 3" xfId="14588" xr:uid="{8ED53C88-600C-4883-B300-C1B653823242}"/>
    <cellStyle name="Comma 842 2 3" xfId="7353" xr:uid="{B76D8C35-8FDA-4444-BC56-F74C81473EDE}"/>
    <cellStyle name="Comma 842 2 3 2" xfId="17705" xr:uid="{3D71562B-8E27-4413-9A12-748A61E57730}"/>
    <cellStyle name="Comma 842 2 4" xfId="12530" xr:uid="{A9D9D895-4874-4FBB-81D0-3BCA890D6BC0}"/>
    <cellStyle name="Comma 842 3" xfId="3148" xr:uid="{C8A64825-0624-424D-95A6-4BD86C91E73B}"/>
    <cellStyle name="Comma 842 3 2" xfId="8381" xr:uid="{BB655B1C-700D-4B00-8DC2-97649AEB937B}"/>
    <cellStyle name="Comma 842 3 2 2" xfId="18733" xr:uid="{8115B61A-9460-49F6-929E-6B86C72E51DB}"/>
    <cellStyle name="Comma 842 3 3" xfId="13558" xr:uid="{3C709407-5422-4B5E-A483-5A05E3EAA16C}"/>
    <cellStyle name="Comma 842 4" xfId="5274" xr:uid="{AA57FBEF-358D-4EA3-B7B7-210F32474970}"/>
    <cellStyle name="Comma 842 4 2" xfId="10450" xr:uid="{1D216EBA-3F0C-4D63-9C0E-1638E47BE33A}"/>
    <cellStyle name="Comma 842 4 2 2" xfId="20802" xr:uid="{8BD8402F-C56E-41B5-9E18-E63621B2FEBD}"/>
    <cellStyle name="Comma 842 4 3" xfId="15626" xr:uid="{02C7C58A-E65A-4874-AA30-F17BD649E573}"/>
    <cellStyle name="Comma 842 5" xfId="6322" xr:uid="{B899E1BD-B310-4BFB-A4B1-83E5F3B8886D}"/>
    <cellStyle name="Comma 842 5 2" xfId="16674" xr:uid="{76D030BB-5FD9-4C9F-96D2-39ABE57C33FB}"/>
    <cellStyle name="Comma 842 6" xfId="11500" xr:uid="{5DC4F68A-D85D-449B-A4C8-515BAF6DF180}"/>
    <cellStyle name="Comma 843" xfId="1083" xr:uid="{12AB5A7E-653D-49D7-B2DF-F6CB766E7B53}"/>
    <cellStyle name="Comma 843 2" xfId="2121" xr:uid="{F3A7531E-34D5-4C3C-8790-C2C25FB1994F}"/>
    <cellStyle name="Comma 843 2 2" xfId="4179" xr:uid="{3E5F9D46-A312-4547-9381-A491FECE021A}"/>
    <cellStyle name="Comma 843 2 2 2" xfId="9412" xr:uid="{49257C8B-0512-491B-8746-1D9956B4E20E}"/>
    <cellStyle name="Comma 843 2 2 2 2" xfId="19764" xr:uid="{C05F059E-3321-44AB-97D1-3BEFD13487FC}"/>
    <cellStyle name="Comma 843 2 2 3" xfId="14589" xr:uid="{6C8DB881-F97A-4CCD-956F-673A29A9D315}"/>
    <cellStyle name="Comma 843 2 3" xfId="7354" xr:uid="{B033F043-B11A-4F04-AE6F-A06B3E5A5296}"/>
    <cellStyle name="Comma 843 2 3 2" xfId="17706" xr:uid="{34022E86-DA8A-40D1-B329-B340ACEE3FDD}"/>
    <cellStyle name="Comma 843 2 4" xfId="12531" xr:uid="{55B7C15D-3F85-4F4E-9714-AC861E765F6D}"/>
    <cellStyle name="Comma 843 3" xfId="3149" xr:uid="{2D330D70-823C-480F-B2E2-57B819880621}"/>
    <cellStyle name="Comma 843 3 2" xfId="8382" xr:uid="{6CACA57B-788C-47CD-B0E5-BC1290F44FBB}"/>
    <cellStyle name="Comma 843 3 2 2" xfId="18734" xr:uid="{C4AE151E-12D9-4A3B-A436-308B382A93EB}"/>
    <cellStyle name="Comma 843 3 3" xfId="13559" xr:uid="{A20B92A0-2B91-43E1-8F34-6A2F77FAE97F}"/>
    <cellStyle name="Comma 843 4" xfId="5275" xr:uid="{CF629D65-21E8-4C2D-AD1B-9F2F4B895AFA}"/>
    <cellStyle name="Comma 843 4 2" xfId="10451" xr:uid="{FD983DEC-432F-4A83-B3EB-1C2322D71143}"/>
    <cellStyle name="Comma 843 4 2 2" xfId="20803" xr:uid="{FB3BB0E5-FEFC-4F3C-ABE8-F6C723633081}"/>
    <cellStyle name="Comma 843 4 3" xfId="15627" xr:uid="{BAEE81A0-BF98-486B-89DA-67D25AE361B9}"/>
    <cellStyle name="Comma 843 5" xfId="6323" xr:uid="{3B124DBE-7FBA-4DAE-B2F5-1F689537A0C3}"/>
    <cellStyle name="Comma 843 5 2" xfId="16675" xr:uid="{8A5ECDD2-45D9-40D8-8D41-65FF46EE9F28}"/>
    <cellStyle name="Comma 843 6" xfId="11501" xr:uid="{1C3B7D99-0229-44B3-A097-340A61927511}"/>
    <cellStyle name="Comma 844" xfId="1084" xr:uid="{1766B157-515C-4011-B31B-69541F91761D}"/>
    <cellStyle name="Comma 844 2" xfId="2122" xr:uid="{091CF861-88CB-4B5D-AF92-D3793FDF01C6}"/>
    <cellStyle name="Comma 844 2 2" xfId="4180" xr:uid="{51145E17-04ED-442D-B3E9-7E31BDECA13C}"/>
    <cellStyle name="Comma 844 2 2 2" xfId="9413" xr:uid="{FFE23673-93EF-4A91-BDF8-3896BDD8F946}"/>
    <cellStyle name="Comma 844 2 2 2 2" xfId="19765" xr:uid="{C2AD2795-5B91-409C-91A5-8D65852219B2}"/>
    <cellStyle name="Comma 844 2 2 3" xfId="14590" xr:uid="{E2B7DEE4-D112-4BFD-B42D-BA7156AD8557}"/>
    <cellStyle name="Comma 844 2 3" xfId="7355" xr:uid="{5860D99D-4CF9-410F-8CDE-C797374C435A}"/>
    <cellStyle name="Comma 844 2 3 2" xfId="17707" xr:uid="{5D1AAE52-D667-412B-BDDD-D3BF7408F7E8}"/>
    <cellStyle name="Comma 844 2 4" xfId="12532" xr:uid="{1BA8CA3D-2BF0-4A7C-8AE3-E309C9DB3FA1}"/>
    <cellStyle name="Comma 844 3" xfId="3150" xr:uid="{CEB7D2FF-5195-4BD7-AF53-4528D940E713}"/>
    <cellStyle name="Comma 844 3 2" xfId="8383" xr:uid="{9DE775D5-8053-4031-BA49-AF890F959001}"/>
    <cellStyle name="Comma 844 3 2 2" xfId="18735" xr:uid="{D8293881-C243-42D7-ACBE-29A61B87EE7C}"/>
    <cellStyle name="Comma 844 3 3" xfId="13560" xr:uid="{6149EB53-86A5-4F71-846F-BECA6410F6F6}"/>
    <cellStyle name="Comma 844 4" xfId="5276" xr:uid="{D13F2C06-5856-401E-AA20-C1B26079A30E}"/>
    <cellStyle name="Comma 844 4 2" xfId="10452" xr:uid="{7EB5CD2D-5EE3-421E-AC8F-83D8457928F7}"/>
    <cellStyle name="Comma 844 4 2 2" xfId="20804" xr:uid="{FF1FB67A-81E6-469F-803B-2843F8F3EAB6}"/>
    <cellStyle name="Comma 844 4 3" xfId="15628" xr:uid="{46D21890-AC32-490C-BB23-4C616514EFB6}"/>
    <cellStyle name="Comma 844 5" xfId="6324" xr:uid="{70E378D1-CBE8-4CC6-B379-D10A51A8296E}"/>
    <cellStyle name="Comma 844 5 2" xfId="16676" xr:uid="{58DFBC63-1A35-49AE-AD0B-2792059D420C}"/>
    <cellStyle name="Comma 844 6" xfId="11502" xr:uid="{2149B4ED-9206-42CC-91B4-1ED731D08FE2}"/>
    <cellStyle name="Comma 845" xfId="1085" xr:uid="{D13DDA96-9EC0-49C1-A41A-CB5376C8B955}"/>
    <cellStyle name="Comma 845 2" xfId="2123" xr:uid="{19BEE44F-3F26-41A8-AF38-21EB0A603174}"/>
    <cellStyle name="Comma 845 2 2" xfId="4181" xr:uid="{76A0495F-7CCD-4409-AC06-EFEB0E7B404D}"/>
    <cellStyle name="Comma 845 2 2 2" xfId="9414" xr:uid="{2905875C-E90E-4009-B72E-F3493FF269BF}"/>
    <cellStyle name="Comma 845 2 2 2 2" xfId="19766" xr:uid="{005C9E4A-0A3E-4B99-9757-9232F7F826E0}"/>
    <cellStyle name="Comma 845 2 2 3" xfId="14591" xr:uid="{8C3724C3-201A-4FA7-B87E-3BA66A3ADD4D}"/>
    <cellStyle name="Comma 845 2 3" xfId="7356" xr:uid="{DA9E5456-4E17-44A2-98D0-FB12F0D65433}"/>
    <cellStyle name="Comma 845 2 3 2" xfId="17708" xr:uid="{EA1E13B8-97D9-41AD-9FB3-9E7B2CEB28C9}"/>
    <cellStyle name="Comma 845 2 4" xfId="12533" xr:uid="{AC663FEC-4603-4AA4-9361-B4E21C2938B7}"/>
    <cellStyle name="Comma 845 3" xfId="3151" xr:uid="{ABD811F9-E6A0-490F-9630-014ED266AE5D}"/>
    <cellStyle name="Comma 845 3 2" xfId="8384" xr:uid="{E1EE955B-33CB-49B5-9D67-91F34C94154B}"/>
    <cellStyle name="Comma 845 3 2 2" xfId="18736" xr:uid="{2E4F8493-8E03-46B7-AE93-FD10C02F3F1E}"/>
    <cellStyle name="Comma 845 3 3" xfId="13561" xr:uid="{358265D5-FD7C-4961-9A66-86BB595CF0B3}"/>
    <cellStyle name="Comma 845 4" xfId="5277" xr:uid="{D63946A9-9C31-4C11-8D78-C34C50F95A7B}"/>
    <cellStyle name="Comma 845 4 2" xfId="10453" xr:uid="{8FD4B280-1CC5-4F32-8D28-067E1BB12F1C}"/>
    <cellStyle name="Comma 845 4 2 2" xfId="20805" xr:uid="{114A0025-2F85-4ADC-BB52-2BBC1A1CAF1F}"/>
    <cellStyle name="Comma 845 4 3" xfId="15629" xr:uid="{F47A66EF-8FCA-4E38-A0EF-9FC05EF91FB1}"/>
    <cellStyle name="Comma 845 5" xfId="6325" xr:uid="{385CF86E-3B35-475F-974A-866328670115}"/>
    <cellStyle name="Comma 845 5 2" xfId="16677" xr:uid="{0D91272B-C61F-445C-9DBB-7DDB142E6E00}"/>
    <cellStyle name="Comma 845 6" xfId="11503" xr:uid="{8B583B5F-99FE-40FA-B92E-92FAB70B66D5}"/>
    <cellStyle name="Comma 846" xfId="1086" xr:uid="{FBE41161-DB1E-4680-A463-00E1438441B4}"/>
    <cellStyle name="Comma 846 2" xfId="2124" xr:uid="{68A717E0-251B-4010-BB8B-BC23E3B81719}"/>
    <cellStyle name="Comma 846 2 2" xfId="4182" xr:uid="{A43C5D05-BB51-4398-84B9-F7FC444215ED}"/>
    <cellStyle name="Comma 846 2 2 2" xfId="9415" xr:uid="{2D968AB0-BF38-4152-AF2C-61A63C7D5E68}"/>
    <cellStyle name="Comma 846 2 2 2 2" xfId="19767" xr:uid="{B403FC37-1B93-471E-892A-45AAA53C41F6}"/>
    <cellStyle name="Comma 846 2 2 3" xfId="14592" xr:uid="{6674B74C-AEDB-4EF6-8DE8-07E1A48E950E}"/>
    <cellStyle name="Comma 846 2 3" xfId="7357" xr:uid="{74473500-6571-43F4-9977-FFACCAE206ED}"/>
    <cellStyle name="Comma 846 2 3 2" xfId="17709" xr:uid="{D9BEEF22-8216-4D8F-8B37-D67EAEF5741C}"/>
    <cellStyle name="Comma 846 2 4" xfId="12534" xr:uid="{2E558057-2BE2-415A-A544-997E9078794B}"/>
    <cellStyle name="Comma 846 3" xfId="3152" xr:uid="{0C438592-C035-472B-8F9C-8952F05A0002}"/>
    <cellStyle name="Comma 846 3 2" xfId="8385" xr:uid="{0246CA28-2069-4FD0-A50E-C7E4B351C656}"/>
    <cellStyle name="Comma 846 3 2 2" xfId="18737" xr:uid="{6CA41B89-FBE8-4153-85EB-6119F4EDFED0}"/>
    <cellStyle name="Comma 846 3 3" xfId="13562" xr:uid="{F2013679-37CA-47EA-86CD-2A166DDE623E}"/>
    <cellStyle name="Comma 846 4" xfId="5278" xr:uid="{953F88AD-182B-42A6-8DAD-DBED513D11E6}"/>
    <cellStyle name="Comma 846 4 2" xfId="10454" xr:uid="{8621FD1C-A822-4293-A5E6-F139A7F48D38}"/>
    <cellStyle name="Comma 846 4 2 2" xfId="20806" xr:uid="{730D564F-0978-4E54-A151-24E78B7B114F}"/>
    <cellStyle name="Comma 846 4 3" xfId="15630" xr:uid="{2E35B09F-AB2B-493C-BA1C-3770267F74E3}"/>
    <cellStyle name="Comma 846 5" xfId="6326" xr:uid="{F853E727-6844-40E3-93DC-D216D94E29B0}"/>
    <cellStyle name="Comma 846 5 2" xfId="16678" xr:uid="{E715121A-14F9-4068-8B42-86284B08A6E2}"/>
    <cellStyle name="Comma 846 6" xfId="11504" xr:uid="{907A0105-1B21-4A1F-9849-D3F6CAB83C05}"/>
    <cellStyle name="Comma 847" xfId="1087" xr:uid="{560689B3-A36D-4A2B-ABA8-59EBEFEDDAB1}"/>
    <cellStyle name="Comma 847 2" xfId="2125" xr:uid="{B271EC23-045C-4085-8422-CCAC7DD8E3E6}"/>
    <cellStyle name="Comma 847 2 2" xfId="4183" xr:uid="{D34E582F-A8C8-4A52-8202-493D08F329C2}"/>
    <cellStyle name="Comma 847 2 2 2" xfId="9416" xr:uid="{4A25F955-984B-42B8-81F5-8F9B506F0CDE}"/>
    <cellStyle name="Comma 847 2 2 2 2" xfId="19768" xr:uid="{0EFF357F-0B1C-4083-BF3F-229A9EB8950B}"/>
    <cellStyle name="Comma 847 2 2 3" xfId="14593" xr:uid="{1FFDCAF7-A806-480C-AF4A-C9DA2000701B}"/>
    <cellStyle name="Comma 847 2 3" xfId="7358" xr:uid="{674E041F-AE5A-4436-9A1A-6E8CC95A8A30}"/>
    <cellStyle name="Comma 847 2 3 2" xfId="17710" xr:uid="{FF2F2900-C202-4717-B886-3BC9CA60EDD3}"/>
    <cellStyle name="Comma 847 2 4" xfId="12535" xr:uid="{02E043C8-6F42-4295-90DB-1615BA114081}"/>
    <cellStyle name="Comma 847 3" xfId="3153" xr:uid="{127F9E13-7889-4BAC-880C-40F81EC92F4A}"/>
    <cellStyle name="Comma 847 3 2" xfId="8386" xr:uid="{0F1E2E4D-5E0D-4B7B-BEB9-E6C106E143F2}"/>
    <cellStyle name="Comma 847 3 2 2" xfId="18738" xr:uid="{9378CBEF-864A-4696-87B3-BBA2CC6F0E31}"/>
    <cellStyle name="Comma 847 3 3" xfId="13563" xr:uid="{9C0CBFB4-DA3B-4F4C-926C-D4F60CB1BEDA}"/>
    <cellStyle name="Comma 847 4" xfId="5279" xr:uid="{3694948F-18C9-4206-ACBE-3BE1188AE58B}"/>
    <cellStyle name="Comma 847 4 2" xfId="10455" xr:uid="{95C5DC3D-B8F2-46E1-9275-540E00EB63FD}"/>
    <cellStyle name="Comma 847 4 2 2" xfId="20807" xr:uid="{F6F5FC05-C428-48B4-9E5E-C4DD959A7AC2}"/>
    <cellStyle name="Comma 847 4 3" xfId="15631" xr:uid="{2065A7F9-3F86-4C33-A205-7C7BBB1001C6}"/>
    <cellStyle name="Comma 847 5" xfId="6327" xr:uid="{BA37235D-6D8F-4713-949A-AE977309AC88}"/>
    <cellStyle name="Comma 847 5 2" xfId="16679" xr:uid="{A0ADB46B-0CF9-468B-941D-4315423BAD9C}"/>
    <cellStyle name="Comma 847 6" xfId="11505" xr:uid="{8835F4B9-AF7A-490A-A4AC-3A6A507F4465}"/>
    <cellStyle name="Comma 848" xfId="1088" xr:uid="{5810F7BB-0E82-42BA-B629-E955DD3B6919}"/>
    <cellStyle name="Comma 848 2" xfId="2126" xr:uid="{4A16B2AE-061E-4AA5-9F96-6CC5A84762AE}"/>
    <cellStyle name="Comma 848 2 2" xfId="4184" xr:uid="{EB5BB26A-057E-4A7E-9B4A-833563FAFD38}"/>
    <cellStyle name="Comma 848 2 2 2" xfId="9417" xr:uid="{2E1BD1E3-FAA1-46E3-8C35-5AB3ED33079B}"/>
    <cellStyle name="Comma 848 2 2 2 2" xfId="19769" xr:uid="{E6FA6264-E6AC-44B8-9378-72B86615842F}"/>
    <cellStyle name="Comma 848 2 2 3" xfId="14594" xr:uid="{58F48281-31D0-4084-9B84-5C4F6F587213}"/>
    <cellStyle name="Comma 848 2 3" xfId="7359" xr:uid="{A377CE79-C13F-4B6E-A7DA-4175C158DA9C}"/>
    <cellStyle name="Comma 848 2 3 2" xfId="17711" xr:uid="{056D3E85-9D42-4CED-B36E-0AE72148E0EA}"/>
    <cellStyle name="Comma 848 2 4" xfId="12536" xr:uid="{911B96E2-87B1-414F-9B59-1C27227D84D7}"/>
    <cellStyle name="Comma 848 3" xfId="3154" xr:uid="{F7545639-7A0F-4225-8F2C-E6CA0F632AA9}"/>
    <cellStyle name="Comma 848 3 2" xfId="8387" xr:uid="{7BE8B3A1-DAB5-44BE-B90C-63C69073D5A4}"/>
    <cellStyle name="Comma 848 3 2 2" xfId="18739" xr:uid="{DD31D968-C11B-4D1B-94E6-1C82F7F19B0E}"/>
    <cellStyle name="Comma 848 3 3" xfId="13564" xr:uid="{FC8C8389-E245-4B87-B339-2F96047BAD36}"/>
    <cellStyle name="Comma 848 4" xfId="5280" xr:uid="{C219F640-0BBF-4089-B4E4-AAEE6FBCE1D1}"/>
    <cellStyle name="Comma 848 4 2" xfId="10456" xr:uid="{E7B02B9C-0C33-4830-AD0E-3444185C0AEF}"/>
    <cellStyle name="Comma 848 4 2 2" xfId="20808" xr:uid="{88A4F2B4-F21F-4936-A00C-316FD07E8C6B}"/>
    <cellStyle name="Comma 848 4 3" xfId="15632" xr:uid="{304B7DB6-9D94-4BAE-80FA-6B758FA6A76C}"/>
    <cellStyle name="Comma 848 5" xfId="6328" xr:uid="{7ABED5B9-E15D-4FD6-8B81-430C658C85AE}"/>
    <cellStyle name="Comma 848 5 2" xfId="16680" xr:uid="{4F58170E-A1EC-4701-968F-12807AF8E641}"/>
    <cellStyle name="Comma 848 6" xfId="11506" xr:uid="{0FDB3E87-8737-42C7-AD07-C552282FC9D3}"/>
    <cellStyle name="Comma 849" xfId="1089" xr:uid="{B6CE3074-AA05-43CB-868D-F80EC4350D47}"/>
    <cellStyle name="Comma 849 2" xfId="2127" xr:uid="{F0C9C6B3-53C8-4D67-8EFD-8E4A797E4548}"/>
    <cellStyle name="Comma 849 2 2" xfId="4185" xr:uid="{2922E57F-B4F8-49C6-98B5-506750A0F8BD}"/>
    <cellStyle name="Comma 849 2 2 2" xfId="9418" xr:uid="{BFDEEB92-616B-43B0-952A-26A0CBF1E777}"/>
    <cellStyle name="Comma 849 2 2 2 2" xfId="19770" xr:uid="{4D74E558-4B85-4572-BE72-F070FBCB93FA}"/>
    <cellStyle name="Comma 849 2 2 3" xfId="14595" xr:uid="{AC04FF31-2569-4434-8C1A-1479DD4D8781}"/>
    <cellStyle name="Comma 849 2 3" xfId="7360" xr:uid="{443D99CE-91F6-415C-A32C-A13F63D2F968}"/>
    <cellStyle name="Comma 849 2 3 2" xfId="17712" xr:uid="{F9F247F8-6C46-4B6F-852D-55B5AD360040}"/>
    <cellStyle name="Comma 849 2 4" xfId="12537" xr:uid="{D487644C-3915-4E48-BE58-12128700878E}"/>
    <cellStyle name="Comma 849 3" xfId="3155" xr:uid="{8F415C54-BB4D-4CA7-AB37-F7BDC1D42B28}"/>
    <cellStyle name="Comma 849 3 2" xfId="8388" xr:uid="{DDF6D6C8-F127-4C22-94B7-F7100F4530FA}"/>
    <cellStyle name="Comma 849 3 2 2" xfId="18740" xr:uid="{41C216F5-2062-4777-B393-9AEF41E93B17}"/>
    <cellStyle name="Comma 849 3 3" xfId="13565" xr:uid="{F9F47EF7-CE3F-4EA6-BDC2-470F70ECFA85}"/>
    <cellStyle name="Comma 849 4" xfId="5281" xr:uid="{49214240-3117-470E-B441-2AED7AABB176}"/>
    <cellStyle name="Comma 849 4 2" xfId="10457" xr:uid="{9579A553-E904-4767-8665-BCB989913CF7}"/>
    <cellStyle name="Comma 849 4 2 2" xfId="20809" xr:uid="{37BAB5CA-AACD-4E58-AF83-46CCCC2049AD}"/>
    <cellStyle name="Comma 849 4 3" xfId="15633" xr:uid="{2FF4B6FF-98D1-4810-B59B-2657E9A479AA}"/>
    <cellStyle name="Comma 849 5" xfId="6329" xr:uid="{D2BCE117-005A-40D3-AFD7-3EAC4971B32B}"/>
    <cellStyle name="Comma 849 5 2" xfId="16681" xr:uid="{555D5C02-F4F2-4D8C-A962-224BB8D41DCB}"/>
    <cellStyle name="Comma 849 6" xfId="11507" xr:uid="{1D83F0AD-0E39-4105-B483-0D8532180B13}"/>
    <cellStyle name="Comma 85" xfId="298" xr:uid="{FE803DC0-1878-41CD-AE12-BF47A5F050CB}"/>
    <cellStyle name="Comma 85 2" xfId="1363" xr:uid="{F013F505-67F9-469C-91CC-6008C01BF139}"/>
    <cellStyle name="Comma 85 2 2" xfId="3421" xr:uid="{737C7C9E-9F0C-46E3-9A34-F75CD5C882AE}"/>
    <cellStyle name="Comma 85 2 2 2" xfId="8654" xr:uid="{CF87E5C9-8CB2-4FE0-901F-B16F5BF64859}"/>
    <cellStyle name="Comma 85 2 2 2 2" xfId="19006" xr:uid="{796CF4F0-B56C-4D71-AE80-155CFF80534E}"/>
    <cellStyle name="Comma 85 2 2 3" xfId="13831" xr:uid="{1C32014E-6103-4A74-A470-0EDE5033A1C3}"/>
    <cellStyle name="Comma 85 2 3" xfId="6596" xr:uid="{55EEB1FE-9A0D-40C0-B6DF-915DCA2DB900}"/>
    <cellStyle name="Comma 85 2 3 2" xfId="16948" xr:uid="{B0AC7F82-4A16-4AEB-98B3-BE54E0E87426}"/>
    <cellStyle name="Comma 85 2 4" xfId="11773" xr:uid="{FE0BD19C-BA3E-4B89-B75F-E46528ABC449}"/>
    <cellStyle name="Comma 85 3" xfId="2391" xr:uid="{3B3C6B22-A43B-46DC-9BFC-AC4AC13E84D1}"/>
    <cellStyle name="Comma 85 3 2" xfId="7624" xr:uid="{7BC3E8EC-C4EE-4D35-99A5-6C1284DD61E3}"/>
    <cellStyle name="Comma 85 3 2 2" xfId="17976" xr:uid="{71F431DA-6B34-49AB-B060-43D8331C9C0F}"/>
    <cellStyle name="Comma 85 3 3" xfId="12801" xr:uid="{41896339-3B26-4644-BC5F-0A8954269090}"/>
    <cellStyle name="Comma 85 4" xfId="4517" xr:uid="{76F8CDF7-1894-49C2-9E6A-ADC7951F46FB}"/>
    <cellStyle name="Comma 85 4 2" xfId="9693" xr:uid="{BFC6C87C-6051-4181-B754-FD41BD6941FD}"/>
    <cellStyle name="Comma 85 4 2 2" xfId="20045" xr:uid="{82DB6B0C-F65A-4C2F-B30C-783D2C513A61}"/>
    <cellStyle name="Comma 85 4 3" xfId="14869" xr:uid="{B22E0343-495B-45D5-B3DB-F70686B957BB}"/>
    <cellStyle name="Comma 85 5" xfId="5565" xr:uid="{385DCA88-F0DE-4E38-ACC7-D6469CBFF9C1}"/>
    <cellStyle name="Comma 85 5 2" xfId="15917" xr:uid="{DAB43F50-7BAF-4734-A001-6A9B45428381}"/>
    <cellStyle name="Comma 85 6" xfId="10743" xr:uid="{A034B1ED-B120-46DF-86C8-B65DD19E097D}"/>
    <cellStyle name="Comma 850" xfId="1090" xr:uid="{03200743-E388-4AC8-A1B8-0B87D75E9E1F}"/>
    <cellStyle name="Comma 850 2" xfId="2128" xr:uid="{FC86144C-B69B-462A-B19F-4D64A8BD2844}"/>
    <cellStyle name="Comma 850 2 2" xfId="4186" xr:uid="{21824E8C-8E55-4D7B-BDDE-4BAA8EB39C83}"/>
    <cellStyle name="Comma 850 2 2 2" xfId="9419" xr:uid="{33490B00-7C7D-42B7-8912-0C17CDA91FF6}"/>
    <cellStyle name="Comma 850 2 2 2 2" xfId="19771" xr:uid="{21DCDA90-7672-4D0E-970B-9003C861E2ED}"/>
    <cellStyle name="Comma 850 2 2 3" xfId="14596" xr:uid="{42B0F117-4144-43D9-AFF1-5ADBA5FAD869}"/>
    <cellStyle name="Comma 850 2 3" xfId="7361" xr:uid="{067947FE-542D-4923-AFC1-3738A13EF43D}"/>
    <cellStyle name="Comma 850 2 3 2" xfId="17713" xr:uid="{3BBF8EB1-5431-4203-A3C2-0B9B3E406DE1}"/>
    <cellStyle name="Comma 850 2 4" xfId="12538" xr:uid="{D730352D-DF4F-4F5C-9A51-6B3CDBEACF4E}"/>
    <cellStyle name="Comma 850 3" xfId="3156" xr:uid="{8C042D8D-2DEC-42A1-A68C-182EBDAB27A3}"/>
    <cellStyle name="Comma 850 3 2" xfId="8389" xr:uid="{C333A91C-6E53-4468-AC21-73440E3377DD}"/>
    <cellStyle name="Comma 850 3 2 2" xfId="18741" xr:uid="{755C7418-28D0-4ED2-88F5-09ED304E2B6F}"/>
    <cellStyle name="Comma 850 3 3" xfId="13566" xr:uid="{D7D14B16-4E9C-421B-A618-F96780948451}"/>
    <cellStyle name="Comma 850 4" xfId="5282" xr:uid="{77AA86AF-39EF-4737-AB52-6A9E46A41E6F}"/>
    <cellStyle name="Comma 850 4 2" xfId="10458" xr:uid="{E335783E-B726-4E00-9274-548408BAFA79}"/>
    <cellStyle name="Comma 850 4 2 2" xfId="20810" xr:uid="{31573117-E118-41BC-9979-EA6B3C555DC0}"/>
    <cellStyle name="Comma 850 4 3" xfId="15634" xr:uid="{82FDB4C1-4F3F-49B0-888F-02113140DB90}"/>
    <cellStyle name="Comma 850 5" xfId="6330" xr:uid="{985E6F80-5776-4FAA-98DA-9971135C10B5}"/>
    <cellStyle name="Comma 850 5 2" xfId="16682" xr:uid="{E235240F-A35B-4FD4-8E7A-D2C9F00C3CB6}"/>
    <cellStyle name="Comma 850 6" xfId="11508" xr:uid="{CD89591D-F73E-4E90-BCC3-A32289E18B57}"/>
    <cellStyle name="Comma 851" xfId="1091" xr:uid="{7BAB7F33-F286-42D8-BCC1-CAE129079002}"/>
    <cellStyle name="Comma 851 2" xfId="2129" xr:uid="{DEBE81BE-5C54-4C26-B5EC-C8B107929A0E}"/>
    <cellStyle name="Comma 851 2 2" xfId="4187" xr:uid="{8519DF2A-DDFC-49BF-8823-15C5C205D369}"/>
    <cellStyle name="Comma 851 2 2 2" xfId="9420" xr:uid="{ECF260BD-1413-41D3-B992-21E5C4CAD8DF}"/>
    <cellStyle name="Comma 851 2 2 2 2" xfId="19772" xr:uid="{585F3CC3-3BAE-44FF-9692-46B68D48D2F3}"/>
    <cellStyle name="Comma 851 2 2 3" xfId="14597" xr:uid="{12EB4A0B-62F2-42DB-A1EF-BFEFE28D8F72}"/>
    <cellStyle name="Comma 851 2 3" xfId="7362" xr:uid="{03C9590F-8FD0-4F17-962C-DC06038410F3}"/>
    <cellStyle name="Comma 851 2 3 2" xfId="17714" xr:uid="{AD3B1CDB-66C7-4875-A4C6-FE12EA02CC84}"/>
    <cellStyle name="Comma 851 2 4" xfId="12539" xr:uid="{88B45125-14B7-4E51-8157-BF7C4E8D4E66}"/>
    <cellStyle name="Comma 851 3" xfId="3157" xr:uid="{7EC0CB58-E407-4C71-8999-FC8C67DCCFF4}"/>
    <cellStyle name="Comma 851 3 2" xfId="8390" xr:uid="{1E5FA2E8-0867-4600-8258-D73FD7211F7F}"/>
    <cellStyle name="Comma 851 3 2 2" xfId="18742" xr:uid="{40B333D5-35FA-4DDB-8024-902DB3D7C3A2}"/>
    <cellStyle name="Comma 851 3 3" xfId="13567" xr:uid="{3EBF7BB1-0E7D-4555-9717-4ABD0D52DDE6}"/>
    <cellStyle name="Comma 851 4" xfId="5283" xr:uid="{8DE0EC55-201B-4097-ADE1-32FDEEBFFB1B}"/>
    <cellStyle name="Comma 851 4 2" xfId="10459" xr:uid="{FBAEA610-06BD-4D84-AE94-48A39F793513}"/>
    <cellStyle name="Comma 851 4 2 2" xfId="20811" xr:uid="{C498EFBB-2FF9-4128-8591-91DC2A4DD79A}"/>
    <cellStyle name="Comma 851 4 3" xfId="15635" xr:uid="{E5AA4313-5516-4FC5-9F16-12330F519668}"/>
    <cellStyle name="Comma 851 5" xfId="6331" xr:uid="{5EADA462-DF12-4A17-8989-ED617B5440C1}"/>
    <cellStyle name="Comma 851 5 2" xfId="16683" xr:uid="{BD86C02F-56CC-4131-ACEA-405A066A74D7}"/>
    <cellStyle name="Comma 851 6" xfId="11509" xr:uid="{C957873E-E7B8-495E-8EA8-052B1EB53819}"/>
    <cellStyle name="Comma 852" xfId="1092" xr:uid="{C5289178-59F0-4A30-936F-9A048915DFF9}"/>
    <cellStyle name="Comma 852 2" xfId="2130" xr:uid="{4AFE2349-B760-4880-96CA-86CE01F7BD3C}"/>
    <cellStyle name="Comma 852 2 2" xfId="4188" xr:uid="{C4B3D7A1-ED80-4A47-A596-4C24BF902B89}"/>
    <cellStyle name="Comma 852 2 2 2" xfId="9421" xr:uid="{B96DB2F4-EADB-4755-B438-2AD0DABA2DAF}"/>
    <cellStyle name="Comma 852 2 2 2 2" xfId="19773" xr:uid="{F00E9AB6-9AEC-4BE4-8DDF-05254A199886}"/>
    <cellStyle name="Comma 852 2 2 3" xfId="14598" xr:uid="{00E5B97C-F4CD-42AD-B350-481BEE0A4FEB}"/>
    <cellStyle name="Comma 852 2 3" xfId="7363" xr:uid="{B3213A6E-B2DA-4DEB-997F-87C9726ABDD1}"/>
    <cellStyle name="Comma 852 2 3 2" xfId="17715" xr:uid="{443B9D1C-A301-4D46-A72D-7889DE85092C}"/>
    <cellStyle name="Comma 852 2 4" xfId="12540" xr:uid="{8651ED84-81F8-41C9-9A67-D2006B254A80}"/>
    <cellStyle name="Comma 852 3" xfId="3158" xr:uid="{A8DEB88F-E2F5-4BC3-B314-394D120BD1EE}"/>
    <cellStyle name="Comma 852 3 2" xfId="8391" xr:uid="{3757E820-3C16-4771-B43A-F7AFE0E3B868}"/>
    <cellStyle name="Comma 852 3 2 2" xfId="18743" xr:uid="{3A739FCD-2ADF-45FE-8B30-B675A3E8FB47}"/>
    <cellStyle name="Comma 852 3 3" xfId="13568" xr:uid="{5C957BF6-3741-497B-BDE6-C4254715B5DA}"/>
    <cellStyle name="Comma 852 4" xfId="5284" xr:uid="{27262EA8-2984-42D6-B3E4-F4C02590DB3C}"/>
    <cellStyle name="Comma 852 4 2" xfId="10460" xr:uid="{015848B6-0C6A-4E93-AE5B-324FEC75DC3D}"/>
    <cellStyle name="Comma 852 4 2 2" xfId="20812" xr:uid="{314DF2DF-F70E-4146-86C1-93DD12471AB1}"/>
    <cellStyle name="Comma 852 4 3" xfId="15636" xr:uid="{A2CF49A0-9B1F-4AD0-BF7D-B7D394E182CC}"/>
    <cellStyle name="Comma 852 5" xfId="6332" xr:uid="{93EEB797-FA91-4564-A995-3010393B0E91}"/>
    <cellStyle name="Comma 852 5 2" xfId="16684" xr:uid="{F8A323D9-F220-4D18-975D-6C57DDDA0CE7}"/>
    <cellStyle name="Comma 852 6" xfId="11510" xr:uid="{90701DE9-6B48-41E2-AFC2-5AAA349C354D}"/>
    <cellStyle name="Comma 853" xfId="1093" xr:uid="{96E52875-2096-4906-AE80-CF942F7BD09B}"/>
    <cellStyle name="Comma 853 2" xfId="2131" xr:uid="{6606B992-2B5C-434A-8A9B-54067E1050A4}"/>
    <cellStyle name="Comma 853 2 2" xfId="4189" xr:uid="{52694EB6-B8C0-4F81-8C77-E59C01B17DAB}"/>
    <cellStyle name="Comma 853 2 2 2" xfId="9422" xr:uid="{873FAE8C-3B62-4250-803F-9732A9D31BAC}"/>
    <cellStyle name="Comma 853 2 2 2 2" xfId="19774" xr:uid="{66DD519D-37FE-4B31-888D-5834B2D93F3F}"/>
    <cellStyle name="Comma 853 2 2 3" xfId="14599" xr:uid="{D2D82C01-11DB-4151-8DBE-387233E56CCE}"/>
    <cellStyle name="Comma 853 2 3" xfId="7364" xr:uid="{2C6C9642-E399-46CC-88EC-ACE918360DBD}"/>
    <cellStyle name="Comma 853 2 3 2" xfId="17716" xr:uid="{595297D2-F430-494C-A3E6-9976285E074D}"/>
    <cellStyle name="Comma 853 2 4" xfId="12541" xr:uid="{D947F9B3-E71F-48BC-9B14-88CD08883AC8}"/>
    <cellStyle name="Comma 853 3" xfId="3159" xr:uid="{1B9C5D50-4945-46EC-A8C6-24A4E8A58634}"/>
    <cellStyle name="Comma 853 3 2" xfId="8392" xr:uid="{7750B22A-C8F9-4262-8F94-07B7B11F350D}"/>
    <cellStyle name="Comma 853 3 2 2" xfId="18744" xr:uid="{2A148986-427E-42DB-8E04-87ECAFE3AB6E}"/>
    <cellStyle name="Comma 853 3 3" xfId="13569" xr:uid="{7F1175E5-19BB-4D54-BF8F-2FF0BC44E138}"/>
    <cellStyle name="Comma 853 4" xfId="5285" xr:uid="{3F2A3EFC-0F1E-439B-A0D9-FF43A93648A7}"/>
    <cellStyle name="Comma 853 4 2" xfId="10461" xr:uid="{9DA22B7E-1A55-45F7-95D0-1CA450CE834E}"/>
    <cellStyle name="Comma 853 4 2 2" xfId="20813" xr:uid="{29F99662-B179-4E94-865F-FFB5EA342779}"/>
    <cellStyle name="Comma 853 4 3" xfId="15637" xr:uid="{24429EA2-1986-4331-8997-79666944D22D}"/>
    <cellStyle name="Comma 853 5" xfId="6333" xr:uid="{1A770A6C-85F9-4069-8862-1F539F478067}"/>
    <cellStyle name="Comma 853 5 2" xfId="16685" xr:uid="{4B26FD02-1CBE-4525-850F-54061F169907}"/>
    <cellStyle name="Comma 853 6" xfId="11511" xr:uid="{559E12F2-3163-45F5-B570-A05B888045B2}"/>
    <cellStyle name="Comma 854" xfId="1094" xr:uid="{437D183F-F75D-4505-9AD6-75CEBFCBF073}"/>
    <cellStyle name="Comma 854 2" xfId="2132" xr:uid="{F9B8788C-0B42-447D-9A13-64037C8E55FC}"/>
    <cellStyle name="Comma 854 2 2" xfId="4190" xr:uid="{32C4099F-FC5C-4208-8511-267D9CB9E435}"/>
    <cellStyle name="Comma 854 2 2 2" xfId="9423" xr:uid="{47654857-D4B2-426C-A9FA-61B2DC4CCEAF}"/>
    <cellStyle name="Comma 854 2 2 2 2" xfId="19775" xr:uid="{302CF2EC-85CB-4655-BA7E-C8FE18A10D59}"/>
    <cellStyle name="Comma 854 2 2 3" xfId="14600" xr:uid="{6833FAD0-8C2C-4704-A537-B121D92E7CB9}"/>
    <cellStyle name="Comma 854 2 3" xfId="7365" xr:uid="{B1107178-772E-4B81-9073-9D6FC0A30184}"/>
    <cellStyle name="Comma 854 2 3 2" xfId="17717" xr:uid="{9DA5FC1F-8166-4464-882A-83C060AAFB8F}"/>
    <cellStyle name="Comma 854 2 4" xfId="12542" xr:uid="{03C11396-FCCC-4919-A2BE-15FDC7CBB425}"/>
    <cellStyle name="Comma 854 3" xfId="3160" xr:uid="{559EC488-6316-4803-ABCE-1980402719F2}"/>
    <cellStyle name="Comma 854 3 2" xfId="8393" xr:uid="{B692E447-2A29-4400-B0F2-A62523447111}"/>
    <cellStyle name="Comma 854 3 2 2" xfId="18745" xr:uid="{655BD716-69BF-4442-9AB5-DEB321D9C93F}"/>
    <cellStyle name="Comma 854 3 3" xfId="13570" xr:uid="{022E1AE8-336B-4E68-BCED-76E5F6B9F1C4}"/>
    <cellStyle name="Comma 854 4" xfId="5286" xr:uid="{A459C663-2ED3-4C27-8212-EA4785459E7D}"/>
    <cellStyle name="Comma 854 4 2" xfId="10462" xr:uid="{DC453A9D-48F5-48C5-8C9A-AA642BB38C11}"/>
    <cellStyle name="Comma 854 4 2 2" xfId="20814" xr:uid="{93512E82-2502-48ED-887A-EAB73B26CC98}"/>
    <cellStyle name="Comma 854 4 3" xfId="15638" xr:uid="{341BC6FD-91C8-4BF7-A257-188A662F1D79}"/>
    <cellStyle name="Comma 854 5" xfId="6334" xr:uid="{78456035-5BFA-4E01-9EA3-07632461B3DC}"/>
    <cellStyle name="Comma 854 5 2" xfId="16686" xr:uid="{798B378F-AA89-4DB3-840B-018A7EEFDD34}"/>
    <cellStyle name="Comma 854 6" xfId="11512" xr:uid="{7DD3F80C-14C7-4517-BE6D-AE3437E2675C}"/>
    <cellStyle name="Comma 855" xfId="1095" xr:uid="{2AC4781C-0FB5-4465-95CB-0BA08393F4B6}"/>
    <cellStyle name="Comma 855 2" xfId="2133" xr:uid="{B9E95E2D-CA77-4C1B-ABF6-527DEF7AB808}"/>
    <cellStyle name="Comma 855 2 2" xfId="4191" xr:uid="{2865F222-B427-42B8-AD5E-59C1B3FD68EA}"/>
    <cellStyle name="Comma 855 2 2 2" xfId="9424" xr:uid="{EE8E190D-8EBB-4846-B461-43DE60FA29F7}"/>
    <cellStyle name="Comma 855 2 2 2 2" xfId="19776" xr:uid="{2755A7D7-70CD-495E-834D-1AF9E2946E69}"/>
    <cellStyle name="Comma 855 2 2 3" xfId="14601" xr:uid="{6E23C110-1299-4844-A215-2134B0C762AD}"/>
    <cellStyle name="Comma 855 2 3" xfId="7366" xr:uid="{2F98B2D6-5B4E-43EB-97DF-106B0BFE419C}"/>
    <cellStyle name="Comma 855 2 3 2" xfId="17718" xr:uid="{ECE6A7E6-F791-4B18-B902-8D399602A533}"/>
    <cellStyle name="Comma 855 2 4" xfId="12543" xr:uid="{E6FD62CB-1308-4135-A660-D5645E1BC0C8}"/>
    <cellStyle name="Comma 855 3" xfId="3161" xr:uid="{A8E0092A-D87A-4FED-A3AB-979FA8CBC128}"/>
    <cellStyle name="Comma 855 3 2" xfId="8394" xr:uid="{012092B9-0D8E-497E-9CA1-485D9DF0D69D}"/>
    <cellStyle name="Comma 855 3 2 2" xfId="18746" xr:uid="{326F95E4-F6C6-4348-BE8C-5A3AA2289155}"/>
    <cellStyle name="Comma 855 3 3" xfId="13571" xr:uid="{AC1FC768-799B-4194-9CA8-F5CBE9914DBC}"/>
    <cellStyle name="Comma 855 4" xfId="5287" xr:uid="{9D3262D3-73E3-45AA-B1C0-DB19357F7586}"/>
    <cellStyle name="Comma 855 4 2" xfId="10463" xr:uid="{EBBBACD0-7F18-4519-86AA-15D887D409C7}"/>
    <cellStyle name="Comma 855 4 2 2" xfId="20815" xr:uid="{CDB8A5C8-E266-49B4-84DE-40C64025F6DF}"/>
    <cellStyle name="Comma 855 4 3" xfId="15639" xr:uid="{98465876-5385-4EE1-8BC6-76FED183DD46}"/>
    <cellStyle name="Comma 855 5" xfId="6335" xr:uid="{5466FFAA-C0F8-4F48-A98F-669D73C17E9D}"/>
    <cellStyle name="Comma 855 5 2" xfId="16687" xr:uid="{CC46A4FE-B475-41A6-8D1E-D0EE58CD3941}"/>
    <cellStyle name="Comma 855 6" xfId="11513" xr:uid="{29014579-CB97-4E92-8FD7-7ABDD21C1EFB}"/>
    <cellStyle name="Comma 856" xfId="1096" xr:uid="{1F771DE9-CFFD-4B7E-A257-B598914D7C83}"/>
    <cellStyle name="Comma 856 2" xfId="2134" xr:uid="{13E96A83-CB1A-40F9-AECF-76C9E615B4F0}"/>
    <cellStyle name="Comma 856 2 2" xfId="4192" xr:uid="{74E27B59-1E03-43F3-981A-FA4766ED9A93}"/>
    <cellStyle name="Comma 856 2 2 2" xfId="9425" xr:uid="{7F84665D-19B3-487A-9CFD-0EF6233DF74E}"/>
    <cellStyle name="Comma 856 2 2 2 2" xfId="19777" xr:uid="{252CD265-7F26-4E33-9FFD-83A9EE7EA7CA}"/>
    <cellStyle name="Comma 856 2 2 3" xfId="14602" xr:uid="{4EE0926B-1623-4C22-BBD2-3FF12D403F95}"/>
    <cellStyle name="Comma 856 2 3" xfId="7367" xr:uid="{FB12EB14-A720-4C37-A398-81CDF628BC64}"/>
    <cellStyle name="Comma 856 2 3 2" xfId="17719" xr:uid="{9DBAC0BB-B45C-49A5-8624-022F4F0C5A2D}"/>
    <cellStyle name="Comma 856 2 4" xfId="12544" xr:uid="{6EA38264-4261-415F-8DA8-154533916F7F}"/>
    <cellStyle name="Comma 856 3" xfId="3162" xr:uid="{A4462A83-AB09-4EC7-8385-969F3DB3E679}"/>
    <cellStyle name="Comma 856 3 2" xfId="8395" xr:uid="{0A3F6DF2-B989-40B2-BA59-D174CFC7F7A9}"/>
    <cellStyle name="Comma 856 3 2 2" xfId="18747" xr:uid="{5F86A434-A3B1-4CAD-9AB5-77FED7E96D2E}"/>
    <cellStyle name="Comma 856 3 3" xfId="13572" xr:uid="{9088250A-7768-4C6D-904B-12A5AB5897BF}"/>
    <cellStyle name="Comma 856 4" xfId="5288" xr:uid="{57F172A3-8F0B-4719-8510-3D9396D588C6}"/>
    <cellStyle name="Comma 856 4 2" xfId="10464" xr:uid="{BF6AB6D7-8F34-4F67-8145-B9CC57716AE5}"/>
    <cellStyle name="Comma 856 4 2 2" xfId="20816" xr:uid="{392982CE-1137-486B-B1EC-DE2093429510}"/>
    <cellStyle name="Comma 856 4 3" xfId="15640" xr:uid="{CE47BAB3-FE00-4E60-BD3E-E2231E690524}"/>
    <cellStyle name="Comma 856 5" xfId="6336" xr:uid="{C5C79B46-9ECF-4462-8498-9B92ACF1870E}"/>
    <cellStyle name="Comma 856 5 2" xfId="16688" xr:uid="{DCC7A882-0C8D-4861-8DA3-955CF192B41E}"/>
    <cellStyle name="Comma 856 6" xfId="11514" xr:uid="{9BB25074-540E-4BAB-A35B-BBFE8A719BBF}"/>
    <cellStyle name="Comma 857" xfId="1097" xr:uid="{2E0BEA57-5444-4E1F-8D06-D39C96C0EB7C}"/>
    <cellStyle name="Comma 857 2" xfId="2135" xr:uid="{D986F980-1817-4661-AFF7-5C8EA84180BD}"/>
    <cellStyle name="Comma 857 2 2" xfId="4193" xr:uid="{2A72D985-86BB-4893-82C9-7C8151674BB9}"/>
    <cellStyle name="Comma 857 2 2 2" xfId="9426" xr:uid="{8106BDCA-7DF7-490D-9623-6DE2D59C2287}"/>
    <cellStyle name="Comma 857 2 2 2 2" xfId="19778" xr:uid="{3C09F4F9-A34D-46B0-8CCB-6E9128390D99}"/>
    <cellStyle name="Comma 857 2 2 3" xfId="14603" xr:uid="{4E460DF5-1312-4C74-BB6E-76A2A9AC3D4E}"/>
    <cellStyle name="Comma 857 2 3" xfId="7368" xr:uid="{F094418B-C21E-4CF3-B2B2-F2A931E3678A}"/>
    <cellStyle name="Comma 857 2 3 2" xfId="17720" xr:uid="{41201E74-A779-4F2D-8B77-9BABCDBD52F6}"/>
    <cellStyle name="Comma 857 2 4" xfId="12545" xr:uid="{EE297315-24E7-40C6-97C6-6FFC4CD6B43D}"/>
    <cellStyle name="Comma 857 3" xfId="3163" xr:uid="{5068B8F5-34C3-4FFA-A071-8738F52F7D94}"/>
    <cellStyle name="Comma 857 3 2" xfId="8396" xr:uid="{0E6356EC-DB2A-45C0-AE08-FA70130326B4}"/>
    <cellStyle name="Comma 857 3 2 2" xfId="18748" xr:uid="{A27B2D85-FE4E-4D60-B341-A42C2566E7A1}"/>
    <cellStyle name="Comma 857 3 3" xfId="13573" xr:uid="{BFB227B0-995B-403A-B4D4-41106F4F999A}"/>
    <cellStyle name="Comma 857 4" xfId="5289" xr:uid="{87379C62-7A87-43BB-A3A0-EC2DFB6E7DCF}"/>
    <cellStyle name="Comma 857 4 2" xfId="10465" xr:uid="{B2B8593E-4D41-4B7A-B140-5CCACCECD23B}"/>
    <cellStyle name="Comma 857 4 2 2" xfId="20817" xr:uid="{89498DB9-6908-4AB7-BA3E-9E71D61BCD7C}"/>
    <cellStyle name="Comma 857 4 3" xfId="15641" xr:uid="{6693BAA9-89F6-46D7-A4D3-F0E25343AC51}"/>
    <cellStyle name="Comma 857 5" xfId="6337" xr:uid="{95B0C14F-04F2-4B3D-89F0-C6E2E155C65F}"/>
    <cellStyle name="Comma 857 5 2" xfId="16689" xr:uid="{93EF21F4-CC4D-412A-BE52-140397015565}"/>
    <cellStyle name="Comma 857 6" xfId="11515" xr:uid="{5BACBC22-B6EB-43EE-9008-A41BE25198A6}"/>
    <cellStyle name="Comma 858" xfId="1098" xr:uid="{A8611B48-5448-4CBE-92B8-BB8F48644661}"/>
    <cellStyle name="Comma 858 2" xfId="2136" xr:uid="{B66DF33D-439C-4429-8D67-6F7B4D7456BE}"/>
    <cellStyle name="Comma 858 2 2" xfId="4194" xr:uid="{1D39BD57-B366-4EBE-BC04-A695E4430FAA}"/>
    <cellStyle name="Comma 858 2 2 2" xfId="9427" xr:uid="{1479A9C6-05C4-474D-849E-35F1E2C75A34}"/>
    <cellStyle name="Comma 858 2 2 2 2" xfId="19779" xr:uid="{A25D96AC-8E42-49A4-AA8D-BE979E69622B}"/>
    <cellStyle name="Comma 858 2 2 3" xfId="14604" xr:uid="{2F8C29E8-7B12-4F59-A4CF-AB03EEEFF125}"/>
    <cellStyle name="Comma 858 2 3" xfId="7369" xr:uid="{F1D52D35-0B82-42AC-B8B6-1F29E01D2A94}"/>
    <cellStyle name="Comma 858 2 3 2" xfId="17721" xr:uid="{78500756-1B60-4F8D-8F50-EC9AC14D7797}"/>
    <cellStyle name="Comma 858 2 4" xfId="12546" xr:uid="{FA17F614-6A77-44B1-84C4-EF3AFEABBC0E}"/>
    <cellStyle name="Comma 858 3" xfId="3164" xr:uid="{6F635DDA-7B59-4E6F-8CCD-C889C7792ED3}"/>
    <cellStyle name="Comma 858 3 2" xfId="8397" xr:uid="{8A66CE11-108E-4F0C-B28C-B75EFFCF9281}"/>
    <cellStyle name="Comma 858 3 2 2" xfId="18749" xr:uid="{E915B3E7-084B-4824-89B4-CDC36248D0BA}"/>
    <cellStyle name="Comma 858 3 3" xfId="13574" xr:uid="{00366675-E083-4107-9E9F-11405F9010E9}"/>
    <cellStyle name="Comma 858 4" xfId="5290" xr:uid="{3DC6C8F4-791B-4682-A3C1-8FA1AE641658}"/>
    <cellStyle name="Comma 858 4 2" xfId="10466" xr:uid="{5DCF9BBD-E1B2-4B52-94E1-2C49E5C465B0}"/>
    <cellStyle name="Comma 858 4 2 2" xfId="20818" xr:uid="{DD377328-EB29-4707-AC65-9DDF2178DF89}"/>
    <cellStyle name="Comma 858 4 3" xfId="15642" xr:uid="{CCE043F7-DABF-403F-AD1E-F63601C30236}"/>
    <cellStyle name="Comma 858 5" xfId="6338" xr:uid="{C751FFAC-E283-4534-B43E-F9CDF385AD62}"/>
    <cellStyle name="Comma 858 5 2" xfId="16690" xr:uid="{881B0570-3318-4428-B035-5699DD508D9A}"/>
    <cellStyle name="Comma 858 6" xfId="11516" xr:uid="{21623ED1-BF93-4326-84A9-CE56427788FC}"/>
    <cellStyle name="Comma 859" xfId="1099" xr:uid="{D09617C9-885C-4D54-86E0-C8462C619CEB}"/>
    <cellStyle name="Comma 859 2" xfId="2137" xr:uid="{EF075726-858C-4CE8-9929-E59E6B8234FF}"/>
    <cellStyle name="Comma 859 2 2" xfId="4195" xr:uid="{AD087D51-AEA6-46DD-B099-0A422A438BA2}"/>
    <cellStyle name="Comma 859 2 2 2" xfId="9428" xr:uid="{16300A91-8F3D-46EF-B4A6-138437A57465}"/>
    <cellStyle name="Comma 859 2 2 2 2" xfId="19780" xr:uid="{9D7C58FC-1030-4506-866B-6EEC118F24C6}"/>
    <cellStyle name="Comma 859 2 2 3" xfId="14605" xr:uid="{FBF59A64-4AE4-43C1-A5B6-0ECD8D6ABFFB}"/>
    <cellStyle name="Comma 859 2 3" xfId="7370" xr:uid="{476171AB-2E55-4465-8F40-86ADDD6B03FB}"/>
    <cellStyle name="Comma 859 2 3 2" xfId="17722" xr:uid="{E3F4634F-8A08-4421-B48C-F8B8559DDD06}"/>
    <cellStyle name="Comma 859 2 4" xfId="12547" xr:uid="{5E4A4DF4-B879-4A7D-910D-2A21756B10AB}"/>
    <cellStyle name="Comma 859 3" xfId="3165" xr:uid="{D1ED7B50-42DE-448A-894C-262CFB996A33}"/>
    <cellStyle name="Comma 859 3 2" xfId="8398" xr:uid="{89DD762A-0238-47D1-849F-10B4F3095469}"/>
    <cellStyle name="Comma 859 3 2 2" xfId="18750" xr:uid="{F9CAA27F-BA65-4E6A-B881-32EBE305D9A9}"/>
    <cellStyle name="Comma 859 3 3" xfId="13575" xr:uid="{58323432-DCE5-4A1F-9D3C-C54AD2E7D3EF}"/>
    <cellStyle name="Comma 859 4" xfId="5291" xr:uid="{35817B4B-55FA-411B-91E0-9CDB4B162720}"/>
    <cellStyle name="Comma 859 4 2" xfId="10467" xr:uid="{DA50A368-9340-4ED9-88A4-B86E57F76EAC}"/>
    <cellStyle name="Comma 859 4 2 2" xfId="20819" xr:uid="{ABD781BA-903B-4841-B5CF-B2AF4CA33013}"/>
    <cellStyle name="Comma 859 4 3" xfId="15643" xr:uid="{1CC6136D-BFB3-4C67-98B6-6CCF35F4DA1A}"/>
    <cellStyle name="Comma 859 5" xfId="6339" xr:uid="{8167DA95-7A52-4E8F-B8A1-EBC1BF09A776}"/>
    <cellStyle name="Comma 859 5 2" xfId="16691" xr:uid="{6FD0E5A6-EE40-4242-8F69-6ED0A0C5EC84}"/>
    <cellStyle name="Comma 859 6" xfId="11517" xr:uid="{6A35CA7E-2338-4EA5-A14E-3D07AF31EA35}"/>
    <cellStyle name="Comma 86" xfId="299" xr:uid="{DE55C285-69EE-4FBD-9E70-A2D9F91B09CA}"/>
    <cellStyle name="Comma 86 2" xfId="1364" xr:uid="{C9F9046E-D586-47D0-BFC9-281AE446E07A}"/>
    <cellStyle name="Comma 86 2 2" xfId="3422" xr:uid="{A371D949-A621-4CCA-8084-3B6ECABF5A38}"/>
    <cellStyle name="Comma 86 2 2 2" xfId="8655" xr:uid="{775D6A77-CD23-40A5-9E91-97400903D48E}"/>
    <cellStyle name="Comma 86 2 2 2 2" xfId="19007" xr:uid="{F771E976-5543-41A8-A407-3DAD5BFA5B24}"/>
    <cellStyle name="Comma 86 2 2 3" xfId="13832" xr:uid="{BDD86257-F3DC-4B6C-8ED7-DE70323DAB48}"/>
    <cellStyle name="Comma 86 2 3" xfId="6597" xr:uid="{17C1ED00-4426-458A-9698-F36039890E44}"/>
    <cellStyle name="Comma 86 2 3 2" xfId="16949" xr:uid="{56BA7686-AA8E-4A0B-A9A2-47F8AF62ECBC}"/>
    <cellStyle name="Comma 86 2 4" xfId="11774" xr:uid="{2CE33E5C-72EF-440B-8B7D-B1EE9D287E06}"/>
    <cellStyle name="Comma 86 3" xfId="2392" xr:uid="{7F8C6114-F9B7-4D06-8753-5C56350C7191}"/>
    <cellStyle name="Comma 86 3 2" xfId="7625" xr:uid="{1193DABA-7756-4A74-A9D7-5A82081178AE}"/>
    <cellStyle name="Comma 86 3 2 2" xfId="17977" xr:uid="{BEE5B2C0-FC58-4D42-82D1-7F6F758BDC62}"/>
    <cellStyle name="Comma 86 3 3" xfId="12802" xr:uid="{34C3BCF3-7674-45A1-8E99-6912F8242AB7}"/>
    <cellStyle name="Comma 86 4" xfId="4518" xr:uid="{EC096854-1E36-475A-8603-6E7BDF45529F}"/>
    <cellStyle name="Comma 86 4 2" xfId="9694" xr:uid="{022C491D-7B15-4FDF-8726-9A832C939B68}"/>
    <cellStyle name="Comma 86 4 2 2" xfId="20046" xr:uid="{94610362-E682-4A46-918A-BF34FEFF14EF}"/>
    <cellStyle name="Comma 86 4 3" xfId="14870" xr:uid="{4332E273-956E-4557-917F-D0E306F4471A}"/>
    <cellStyle name="Comma 86 5" xfId="5566" xr:uid="{9F0D52B3-0CC5-4DA8-90AC-C06E38989C89}"/>
    <cellStyle name="Comma 86 5 2" xfId="15918" xr:uid="{506836AF-B54F-4FC4-8E67-AA0A94FBDBB6}"/>
    <cellStyle name="Comma 86 6" xfId="10744" xr:uid="{AFECB4EE-98E3-4676-ACBF-16D1D3A8C85D}"/>
    <cellStyle name="Comma 860" xfId="1100" xr:uid="{327512FA-E0F9-4B6C-A220-EA55EEF142B1}"/>
    <cellStyle name="Comma 860 2" xfId="2138" xr:uid="{21609CD8-4F3A-4BA2-98E9-0D63CE0893C0}"/>
    <cellStyle name="Comma 860 2 2" xfId="4196" xr:uid="{9E1CF44A-8540-46C6-B94A-AF43C668F490}"/>
    <cellStyle name="Comma 860 2 2 2" xfId="9429" xr:uid="{DA8C77F8-47CC-42A1-9C82-69D7601F938D}"/>
    <cellStyle name="Comma 860 2 2 2 2" xfId="19781" xr:uid="{0842446B-1A8C-4038-9818-D95AC3C69E5E}"/>
    <cellStyle name="Comma 860 2 2 3" xfId="14606" xr:uid="{2A626E4C-6793-4A86-8C86-DF20FCA09898}"/>
    <cellStyle name="Comma 860 2 3" xfId="7371" xr:uid="{AE1CDC9A-1278-4799-83B2-91D2FCDBC959}"/>
    <cellStyle name="Comma 860 2 3 2" xfId="17723" xr:uid="{C5A21A62-61DC-474B-BA55-10A04CD4C8CE}"/>
    <cellStyle name="Comma 860 2 4" xfId="12548" xr:uid="{95823D5E-0F42-4C84-A21F-60B21D1C73BB}"/>
    <cellStyle name="Comma 860 3" xfId="3166" xr:uid="{24268C38-934E-4C44-B051-07A245DCCFCE}"/>
    <cellStyle name="Comma 860 3 2" xfId="8399" xr:uid="{F7634A1F-540B-46EC-BA23-2548C205F09B}"/>
    <cellStyle name="Comma 860 3 2 2" xfId="18751" xr:uid="{BED12D7C-87DB-4758-8F4B-8DDC4DA3E90E}"/>
    <cellStyle name="Comma 860 3 3" xfId="13576" xr:uid="{4090373E-7B30-4F64-8967-800CFC160B22}"/>
    <cellStyle name="Comma 860 4" xfId="5292" xr:uid="{8A461407-A598-4131-A70F-2C331853E67A}"/>
    <cellStyle name="Comma 860 4 2" xfId="10468" xr:uid="{B110FB56-D54C-4C90-8016-003E492F95B6}"/>
    <cellStyle name="Comma 860 4 2 2" xfId="20820" xr:uid="{519EAA3C-BBE4-45CB-BCA3-CBA09D107C26}"/>
    <cellStyle name="Comma 860 4 3" xfId="15644" xr:uid="{5460D3E1-8A10-4786-AC6C-5AC1C55177AB}"/>
    <cellStyle name="Comma 860 5" xfId="6340" xr:uid="{E1A987A9-CCB8-4C5C-B60D-0718362356C9}"/>
    <cellStyle name="Comma 860 5 2" xfId="16692" xr:uid="{5D6DF730-10C4-473B-A332-8E47AE9F2307}"/>
    <cellStyle name="Comma 860 6" xfId="11518" xr:uid="{48FE112A-38A8-4B4D-947D-71B23DEBDE15}"/>
    <cellStyle name="Comma 861" xfId="1101" xr:uid="{02DB9641-6B09-4D7C-899C-E9B17AEB2A0A}"/>
    <cellStyle name="Comma 861 2" xfId="2139" xr:uid="{94AEE11F-D214-49E9-B306-4170C2D01EFD}"/>
    <cellStyle name="Comma 861 2 2" xfId="4197" xr:uid="{12E56322-BC40-4F91-AF16-BBF4202AC5F0}"/>
    <cellStyle name="Comma 861 2 2 2" xfId="9430" xr:uid="{FA1FB757-28AF-4331-A2C5-A6F0091FDFB4}"/>
    <cellStyle name="Comma 861 2 2 2 2" xfId="19782" xr:uid="{E2CD0F28-B648-4A61-9304-C2AF3684090C}"/>
    <cellStyle name="Comma 861 2 2 3" xfId="14607" xr:uid="{C572C984-0787-4E20-A5A2-5A00D8ED75A2}"/>
    <cellStyle name="Comma 861 2 3" xfId="7372" xr:uid="{A19CF835-AD13-4C5E-8186-DD9F73995EA9}"/>
    <cellStyle name="Comma 861 2 3 2" xfId="17724" xr:uid="{23F811AA-5EF5-4E7C-941F-3B0F424B84CE}"/>
    <cellStyle name="Comma 861 2 4" xfId="12549" xr:uid="{956DF048-8424-4952-A324-03BB93B7F582}"/>
    <cellStyle name="Comma 861 3" xfId="3167" xr:uid="{13FA404C-6457-4BA5-B0A9-0D76236CBA42}"/>
    <cellStyle name="Comma 861 3 2" xfId="8400" xr:uid="{896DFBFB-FB68-4822-8896-F4E2BC80BA57}"/>
    <cellStyle name="Comma 861 3 2 2" xfId="18752" xr:uid="{8C517817-0708-42FA-A2AB-442C2BB6B1FB}"/>
    <cellStyle name="Comma 861 3 3" xfId="13577" xr:uid="{918BB203-5EEA-4536-A71D-52B029463DBA}"/>
    <cellStyle name="Comma 861 4" xfId="5293" xr:uid="{D45D42B5-7169-4166-BC05-9D3CDB5F727A}"/>
    <cellStyle name="Comma 861 4 2" xfId="10469" xr:uid="{8C40B3D6-43DA-4FF1-86FF-FFA9756F05A2}"/>
    <cellStyle name="Comma 861 4 2 2" xfId="20821" xr:uid="{3AC9C4A5-D2BE-4E1F-A3A6-141A249048D4}"/>
    <cellStyle name="Comma 861 4 3" xfId="15645" xr:uid="{F728D4F7-CE54-4C0D-8445-4F57D9A70744}"/>
    <cellStyle name="Comma 861 5" xfId="6341" xr:uid="{714E6572-2EC2-4F62-A710-B0B942F833C2}"/>
    <cellStyle name="Comma 861 5 2" xfId="16693" xr:uid="{D7229AAF-CFD1-4083-8FA2-D47D38395ECB}"/>
    <cellStyle name="Comma 861 6" xfId="11519" xr:uid="{66B72A24-14D1-440F-93DA-E49E938F3D51}"/>
    <cellStyle name="Comma 862" xfId="1102" xr:uid="{9C06894C-6F25-4938-80AE-D6557D2C6FA4}"/>
    <cellStyle name="Comma 862 2" xfId="2140" xr:uid="{95316B71-B100-48B1-8F1A-643DE84B7EA3}"/>
    <cellStyle name="Comma 862 2 2" xfId="4198" xr:uid="{D8900B89-15AD-4BB5-A1C1-B3340650169F}"/>
    <cellStyle name="Comma 862 2 2 2" xfId="9431" xr:uid="{5A43F07F-DA01-47A3-AFD8-5A087CC7BEC9}"/>
    <cellStyle name="Comma 862 2 2 2 2" xfId="19783" xr:uid="{03EFD61E-8A20-4F7D-A328-04265DEC3D53}"/>
    <cellStyle name="Comma 862 2 2 3" xfId="14608" xr:uid="{DC11773F-6A48-4D70-83CF-D6026D85015E}"/>
    <cellStyle name="Comma 862 2 3" xfId="7373" xr:uid="{BDC3EDE7-4D1E-48D0-8C96-307C57C8BB2F}"/>
    <cellStyle name="Comma 862 2 3 2" xfId="17725" xr:uid="{A525083D-D250-4A7E-8988-FB351F3AB896}"/>
    <cellStyle name="Comma 862 2 4" xfId="12550" xr:uid="{312A6B96-FF28-4B2D-B6FC-358BC1D55256}"/>
    <cellStyle name="Comma 862 3" xfId="3168" xr:uid="{7F23BD09-6333-4F81-81CB-3C05F7785890}"/>
    <cellStyle name="Comma 862 3 2" xfId="8401" xr:uid="{7293688A-4656-4423-9942-8E1FD898AF77}"/>
    <cellStyle name="Comma 862 3 2 2" xfId="18753" xr:uid="{5DA08487-BE8C-4D4F-A25A-7938D686ACF0}"/>
    <cellStyle name="Comma 862 3 3" xfId="13578" xr:uid="{B94CED20-3454-4C45-912C-124CE59AA2BD}"/>
    <cellStyle name="Comma 862 4" xfId="5294" xr:uid="{2A34814E-EA19-4BB0-B7B2-E99836D0B1FD}"/>
    <cellStyle name="Comma 862 4 2" xfId="10470" xr:uid="{62C8BBDC-1BD6-449C-9190-10EF9EA08D1E}"/>
    <cellStyle name="Comma 862 4 2 2" xfId="20822" xr:uid="{91E289AC-884A-4512-A7C6-B87CA0E8E8E0}"/>
    <cellStyle name="Comma 862 4 3" xfId="15646" xr:uid="{0287E08F-D463-4D4D-94A0-213BB1DB5014}"/>
    <cellStyle name="Comma 862 5" xfId="6342" xr:uid="{F194E55A-00E6-424C-BCFE-F274106037E9}"/>
    <cellStyle name="Comma 862 5 2" xfId="16694" xr:uid="{F10905AC-F469-41C0-BE0F-4C13D2A1DCF7}"/>
    <cellStyle name="Comma 862 6" xfId="11520" xr:uid="{8E76A453-8373-4334-8B43-70A0DFFEF7C1}"/>
    <cellStyle name="Comma 863" xfId="1103" xr:uid="{96E42C17-179F-447E-A5DD-B93C53861770}"/>
    <cellStyle name="Comma 863 2" xfId="2141" xr:uid="{7726079A-A248-4A46-BF99-C6CDB59D5165}"/>
    <cellStyle name="Comma 863 2 2" xfId="4199" xr:uid="{5AB13BAB-1C8A-45BD-BDCB-2B6705B9AA8D}"/>
    <cellStyle name="Comma 863 2 2 2" xfId="9432" xr:uid="{0B09C4B1-B24A-4EA8-BB02-BE0A44CBBFE8}"/>
    <cellStyle name="Comma 863 2 2 2 2" xfId="19784" xr:uid="{F64C404A-F325-4BDD-BAC8-6548A542D2B3}"/>
    <cellStyle name="Comma 863 2 2 3" xfId="14609" xr:uid="{30274DFD-1CA9-467D-951E-734FE6FC34AE}"/>
    <cellStyle name="Comma 863 2 3" xfId="7374" xr:uid="{556B190E-2A93-4E3D-8CE0-A9AB6539E435}"/>
    <cellStyle name="Comma 863 2 3 2" xfId="17726" xr:uid="{151B8D5E-0F7D-4709-A69A-FE304D524EC4}"/>
    <cellStyle name="Comma 863 2 4" xfId="12551" xr:uid="{7393A73E-08C0-4817-97AC-B21AC4D4639C}"/>
    <cellStyle name="Comma 863 3" xfId="3169" xr:uid="{86CC266A-8C06-4C48-9F18-E572390A7FFE}"/>
    <cellStyle name="Comma 863 3 2" xfId="8402" xr:uid="{63FB3769-9839-423D-8BF4-7633C3D83277}"/>
    <cellStyle name="Comma 863 3 2 2" xfId="18754" xr:uid="{0DC15DFE-1C28-4596-AF75-E26AF12E2A27}"/>
    <cellStyle name="Comma 863 3 3" xfId="13579" xr:uid="{A5B1F1BD-47C4-4A2B-93DE-69E6B96371D3}"/>
    <cellStyle name="Comma 863 4" xfId="5295" xr:uid="{E65AF708-7730-462B-936A-E59AA5F87175}"/>
    <cellStyle name="Comma 863 4 2" xfId="10471" xr:uid="{5EF3A719-57E4-46E0-AE6F-9BC4F785CCCA}"/>
    <cellStyle name="Comma 863 4 2 2" xfId="20823" xr:uid="{592873C7-4E78-47C1-BA46-051F75ACE7F5}"/>
    <cellStyle name="Comma 863 4 3" xfId="15647" xr:uid="{53FCFBA6-30AA-48DF-89C7-41DDE40FCC54}"/>
    <cellStyle name="Comma 863 5" xfId="6343" xr:uid="{E5339EDF-7605-4C0D-B99B-B38BFB889E38}"/>
    <cellStyle name="Comma 863 5 2" xfId="16695" xr:uid="{0657C471-4425-43DA-97E1-172E72CD1680}"/>
    <cellStyle name="Comma 863 6" xfId="11521" xr:uid="{5720D620-CDF4-4862-996B-21D4AF712351}"/>
    <cellStyle name="Comma 864" xfId="1104" xr:uid="{3567AE89-2B4C-487B-B17F-E1E9C486DEFF}"/>
    <cellStyle name="Comma 864 2" xfId="2142" xr:uid="{2E21748C-F133-40F3-9A9F-28B1CD24B72E}"/>
    <cellStyle name="Comma 864 2 2" xfId="4200" xr:uid="{5CE7BFA8-1653-47A7-BF2A-84670ACC882B}"/>
    <cellStyle name="Comma 864 2 2 2" xfId="9433" xr:uid="{018F276D-8BF2-467E-9313-A5097D2AD1CB}"/>
    <cellStyle name="Comma 864 2 2 2 2" xfId="19785" xr:uid="{75D29194-0485-4BE5-9E72-4F87BD40A092}"/>
    <cellStyle name="Comma 864 2 2 3" xfId="14610" xr:uid="{A5814A34-49B4-456C-9C39-937C1DE0AD29}"/>
    <cellStyle name="Comma 864 2 3" xfId="7375" xr:uid="{2AA622B6-E58F-4C54-8DAC-A10F3DC3B526}"/>
    <cellStyle name="Comma 864 2 3 2" xfId="17727" xr:uid="{C26FE220-878A-45FE-8D6C-BF7EF899BA17}"/>
    <cellStyle name="Comma 864 2 4" xfId="12552" xr:uid="{FE49D7E4-36A1-4E82-B91E-549F67E7E8C5}"/>
    <cellStyle name="Comma 864 3" xfId="3170" xr:uid="{C595162C-0098-4E63-AB6C-8FA8631E2ECD}"/>
    <cellStyle name="Comma 864 3 2" xfId="8403" xr:uid="{4A71A794-B498-4A78-856D-18B4076F88B7}"/>
    <cellStyle name="Comma 864 3 2 2" xfId="18755" xr:uid="{0A679ED3-5D40-4777-8A9D-776328234CF3}"/>
    <cellStyle name="Comma 864 3 3" xfId="13580" xr:uid="{30DC48DB-92A6-4253-A8C8-77D3B2A867E3}"/>
    <cellStyle name="Comma 864 4" xfId="5296" xr:uid="{0615FC24-255A-42ED-BEB8-13E2C7AA55A8}"/>
    <cellStyle name="Comma 864 4 2" xfId="10472" xr:uid="{A5DEE56B-E936-4608-B82D-2C041D0620F4}"/>
    <cellStyle name="Comma 864 4 2 2" xfId="20824" xr:uid="{0F3E8C0E-FDF5-4722-BF3F-CFDA14C970D9}"/>
    <cellStyle name="Comma 864 4 3" xfId="15648" xr:uid="{6A9AEFD9-BBEE-4552-8946-B9B40AF59B93}"/>
    <cellStyle name="Comma 864 5" xfId="6344" xr:uid="{608C93C0-AD68-49EC-BC79-A77FC3A42FE0}"/>
    <cellStyle name="Comma 864 5 2" xfId="16696" xr:uid="{42BC71AD-105D-4E1E-9587-F489BFED63A6}"/>
    <cellStyle name="Comma 864 6" xfId="11522" xr:uid="{74794C68-440A-4B12-97D7-5B895FD14EDF}"/>
    <cellStyle name="Comma 865" xfId="1105" xr:uid="{F7B8E2EA-A1FD-4B1D-A223-FFC4B18158EE}"/>
    <cellStyle name="Comma 865 2" xfId="2143" xr:uid="{F5BEEDDD-12A1-4909-8697-807A094E562B}"/>
    <cellStyle name="Comma 865 2 2" xfId="4201" xr:uid="{A5406B15-BBBD-40AA-B3D7-50D231C2ED53}"/>
    <cellStyle name="Comma 865 2 2 2" xfId="9434" xr:uid="{072FDDA1-7064-4089-833B-6EF2129D1ECD}"/>
    <cellStyle name="Comma 865 2 2 2 2" xfId="19786" xr:uid="{EDCC66B5-DF7A-4260-8096-444EC8BEB14F}"/>
    <cellStyle name="Comma 865 2 2 3" xfId="14611" xr:uid="{D2B7DAD1-DB62-47FF-96BF-865BD1F7D86F}"/>
    <cellStyle name="Comma 865 2 3" xfId="7376" xr:uid="{FB8EAFE7-7029-47E3-91A6-8DBDF00574F6}"/>
    <cellStyle name="Comma 865 2 3 2" xfId="17728" xr:uid="{5ABCAD67-7DD2-49D7-AB2F-434A35B92C29}"/>
    <cellStyle name="Comma 865 2 4" xfId="12553" xr:uid="{2B738D74-91DC-4607-93B2-79B730C25BC5}"/>
    <cellStyle name="Comma 865 3" xfId="3171" xr:uid="{3FE4F6E2-E7C7-4404-A086-4365C96B7EBC}"/>
    <cellStyle name="Comma 865 3 2" xfId="8404" xr:uid="{FC2E3313-9257-4A76-BD33-E15001F15341}"/>
    <cellStyle name="Comma 865 3 2 2" xfId="18756" xr:uid="{49F221FD-DF58-440F-BC56-27249B367146}"/>
    <cellStyle name="Comma 865 3 3" xfId="13581" xr:uid="{83CAF423-3D1D-4520-A14F-A0181D74BCD4}"/>
    <cellStyle name="Comma 865 4" xfId="5297" xr:uid="{189ACF4A-2C3B-46C6-9955-5A6981B0FAA3}"/>
    <cellStyle name="Comma 865 4 2" xfId="10473" xr:uid="{0F15DA0E-209C-4EA2-83E6-C515FA0C62BB}"/>
    <cellStyle name="Comma 865 4 2 2" xfId="20825" xr:uid="{27BA8416-3C40-4951-9389-9E7769CCF7CC}"/>
    <cellStyle name="Comma 865 4 3" xfId="15649" xr:uid="{0F82A34B-2633-40B8-8F23-EAEB744BF7A0}"/>
    <cellStyle name="Comma 865 5" xfId="6345" xr:uid="{3F938C4C-F4A7-4F7B-B762-E305F1513167}"/>
    <cellStyle name="Comma 865 5 2" xfId="16697" xr:uid="{D43BEBA6-EA75-4D5B-A5BF-CB5F12373DD6}"/>
    <cellStyle name="Comma 865 6" xfId="11523" xr:uid="{4ED1E75E-FAA0-45A6-AE29-14A349365F30}"/>
    <cellStyle name="Comma 866" xfId="1106" xr:uid="{D37AA2F1-81D6-4D45-B4A8-AAFB9ED1C4B5}"/>
    <cellStyle name="Comma 866 2" xfId="2144" xr:uid="{D4803D71-49AC-4DC8-B079-F8FCE1CF1AF2}"/>
    <cellStyle name="Comma 866 2 2" xfId="4202" xr:uid="{D1557DA0-8DC7-41C6-B98A-4259B5CB169E}"/>
    <cellStyle name="Comma 866 2 2 2" xfId="9435" xr:uid="{B285AABC-C8D7-47C1-A976-7DC12B4006CE}"/>
    <cellStyle name="Comma 866 2 2 2 2" xfId="19787" xr:uid="{2E8A6485-0E3C-4946-B275-B9FAC6C53F5A}"/>
    <cellStyle name="Comma 866 2 2 3" xfId="14612" xr:uid="{B06F3BBD-F49A-4D5F-96FC-CB1B7A53EC08}"/>
    <cellStyle name="Comma 866 2 3" xfId="7377" xr:uid="{97B3E7BC-3F4B-4DEB-B092-CC16097263A7}"/>
    <cellStyle name="Comma 866 2 3 2" xfId="17729" xr:uid="{535190BA-2CCC-48B9-9BEF-8783E633BBFE}"/>
    <cellStyle name="Comma 866 2 4" xfId="12554" xr:uid="{78D81A91-1D3D-418D-BEB0-261B80B0DFDD}"/>
    <cellStyle name="Comma 866 3" xfId="3172" xr:uid="{C4C3ABCD-0AAB-429F-8BF5-73F7AC03FA2D}"/>
    <cellStyle name="Comma 866 3 2" xfId="8405" xr:uid="{9CB0F130-D63A-4FB4-B32D-228238191F2E}"/>
    <cellStyle name="Comma 866 3 2 2" xfId="18757" xr:uid="{00B06656-4F5F-4670-8300-DFC0A6874FDA}"/>
    <cellStyle name="Comma 866 3 3" xfId="13582" xr:uid="{B7BAECB9-D721-48E4-BDA8-8992A153F466}"/>
    <cellStyle name="Comma 866 4" xfId="5298" xr:uid="{D1DDC834-2E48-4D96-A2C2-B2C471DBA6E1}"/>
    <cellStyle name="Comma 866 4 2" xfId="10474" xr:uid="{650242F6-132F-477C-B32B-29E5B01C36B0}"/>
    <cellStyle name="Comma 866 4 2 2" xfId="20826" xr:uid="{9219EB58-4B86-4B81-8FB2-9C28D0B4EF12}"/>
    <cellStyle name="Comma 866 4 3" xfId="15650" xr:uid="{E3193E68-F05D-4A45-965D-9AF237FFA120}"/>
    <cellStyle name="Comma 866 5" xfId="6346" xr:uid="{0C415518-F7CC-46CB-BB84-0134EF4F6B93}"/>
    <cellStyle name="Comma 866 5 2" xfId="16698" xr:uid="{5D6B9858-D367-4093-90D4-301162A8931A}"/>
    <cellStyle name="Comma 866 6" xfId="11524" xr:uid="{A0F9FA2E-66EA-4441-A14F-D70B654292BB}"/>
    <cellStyle name="Comma 867" xfId="1107" xr:uid="{EDF593A3-8E43-4FB9-B638-58C8597C4786}"/>
    <cellStyle name="Comma 867 2" xfId="2145" xr:uid="{83F6F769-2194-4F62-8A84-837C2959E52A}"/>
    <cellStyle name="Comma 867 2 2" xfId="4203" xr:uid="{7903D740-AB8A-40F6-81E6-4CB27E91E23B}"/>
    <cellStyle name="Comma 867 2 2 2" xfId="9436" xr:uid="{F1476BFD-3199-4937-9DB5-64E008F4C166}"/>
    <cellStyle name="Comma 867 2 2 2 2" xfId="19788" xr:uid="{09CC03BC-5258-4C4A-B6A0-BC23F6EB6794}"/>
    <cellStyle name="Comma 867 2 2 3" xfId="14613" xr:uid="{3C355361-3628-4F2C-92F6-4B21C4827676}"/>
    <cellStyle name="Comma 867 2 3" xfId="7378" xr:uid="{B7340A4D-9306-419F-A86A-2CB47A184D7E}"/>
    <cellStyle name="Comma 867 2 3 2" xfId="17730" xr:uid="{BD521090-93D4-45C5-BB03-E467377F088B}"/>
    <cellStyle name="Comma 867 2 4" xfId="12555" xr:uid="{4954D6D5-A175-431C-80A4-37EFCD114C92}"/>
    <cellStyle name="Comma 867 3" xfId="3173" xr:uid="{1034EB06-0A86-4E86-9AC6-D077CD512E8D}"/>
    <cellStyle name="Comma 867 3 2" xfId="8406" xr:uid="{10997765-626A-448D-85A9-B399DD844774}"/>
    <cellStyle name="Comma 867 3 2 2" xfId="18758" xr:uid="{ED5BD01F-8E01-4603-BD61-1BE345A37525}"/>
    <cellStyle name="Comma 867 3 3" xfId="13583" xr:uid="{0B56BADB-E223-4EFD-A239-7B4B017C1047}"/>
    <cellStyle name="Comma 867 4" xfId="5299" xr:uid="{635A6AB9-CBAE-4C7C-B855-75D614C16D30}"/>
    <cellStyle name="Comma 867 4 2" xfId="10475" xr:uid="{D66E9AE0-1090-46A2-86E3-0E09ABCFD877}"/>
    <cellStyle name="Comma 867 4 2 2" xfId="20827" xr:uid="{2E9818F6-8B44-4C14-AB57-B6BC4BA85B77}"/>
    <cellStyle name="Comma 867 4 3" xfId="15651" xr:uid="{89FBAD7F-FC28-414A-AE8D-7B2088E29708}"/>
    <cellStyle name="Comma 867 5" xfId="6347" xr:uid="{6EC18517-0277-44B8-BE69-5035ED5CB7C1}"/>
    <cellStyle name="Comma 867 5 2" xfId="16699" xr:uid="{2813F150-AF59-44D5-B44C-F4F1FE63A52B}"/>
    <cellStyle name="Comma 867 6" xfId="11525" xr:uid="{12BD92BA-1A9C-4EB0-883C-F5CC4C961075}"/>
    <cellStyle name="Comma 868" xfId="1108" xr:uid="{BF3D19AB-4FE2-417D-AB97-95097ECA7ED9}"/>
    <cellStyle name="Comma 868 2" xfId="2146" xr:uid="{D3B0B081-09DD-48F0-B458-5D6088F66D74}"/>
    <cellStyle name="Comma 868 2 2" xfId="4204" xr:uid="{87EFAB6C-53F7-43F8-BA8A-67EAF4A449BC}"/>
    <cellStyle name="Comma 868 2 2 2" xfId="9437" xr:uid="{A04BDE2E-0E43-4C17-9672-C60149D6FA1C}"/>
    <cellStyle name="Comma 868 2 2 2 2" xfId="19789" xr:uid="{34EB0775-DD48-4D2D-8B66-1E81218BDC0E}"/>
    <cellStyle name="Comma 868 2 2 3" xfId="14614" xr:uid="{6A1DBEA6-AACB-42A5-AF7A-830244EC34D1}"/>
    <cellStyle name="Comma 868 2 3" xfId="7379" xr:uid="{3A9BF06E-1011-410F-83D5-F549698D5B51}"/>
    <cellStyle name="Comma 868 2 3 2" xfId="17731" xr:uid="{8C667D75-1DE0-4A2C-B37D-E969623A26AE}"/>
    <cellStyle name="Comma 868 2 4" xfId="12556" xr:uid="{1DEA7139-3CDF-427B-9CC7-8629F321C81A}"/>
    <cellStyle name="Comma 868 3" xfId="3174" xr:uid="{6A342E94-C2F2-49CA-861B-E03DA0CD0C92}"/>
    <cellStyle name="Comma 868 3 2" xfId="8407" xr:uid="{4E499D33-1370-463C-A685-B43EF9161E0B}"/>
    <cellStyle name="Comma 868 3 2 2" xfId="18759" xr:uid="{592279B7-FE51-40CF-95DF-5C83A8B2A146}"/>
    <cellStyle name="Comma 868 3 3" xfId="13584" xr:uid="{A9FA795E-ED98-4C5B-9F23-1DCDB12893EB}"/>
    <cellStyle name="Comma 868 4" xfId="5300" xr:uid="{21440DC1-1829-4ACA-BB3E-B0F73A2965F6}"/>
    <cellStyle name="Comma 868 4 2" xfId="10476" xr:uid="{C7D53B24-9FC2-428B-BF37-683C3CF7312F}"/>
    <cellStyle name="Comma 868 4 2 2" xfId="20828" xr:uid="{FA7DAD03-30BF-4375-82CB-5FB09C827C6F}"/>
    <cellStyle name="Comma 868 4 3" xfId="15652" xr:uid="{6D46CB14-0744-4144-A779-A72C6D468266}"/>
    <cellStyle name="Comma 868 5" xfId="6348" xr:uid="{6A8EEA45-250E-43E2-986B-CCCF87B04731}"/>
    <cellStyle name="Comma 868 5 2" xfId="16700" xr:uid="{174643A3-1CC2-4A5C-9EAF-9B395BFA9D9E}"/>
    <cellStyle name="Comma 868 6" xfId="11526" xr:uid="{1CBB1E09-33AC-4B41-8A44-FE00BADD95AE}"/>
    <cellStyle name="Comma 869" xfId="1109" xr:uid="{05C7C853-D775-410F-B73E-A0151CC5395B}"/>
    <cellStyle name="Comma 869 2" xfId="2147" xr:uid="{80A90046-20F0-4C0D-B017-A46233A4AF4D}"/>
    <cellStyle name="Comma 869 2 2" xfId="4205" xr:uid="{38CE4B1F-C393-426C-95DB-66FD1E96947B}"/>
    <cellStyle name="Comma 869 2 2 2" xfId="9438" xr:uid="{C4913F2C-ED23-48C1-9A55-219B2093789C}"/>
    <cellStyle name="Comma 869 2 2 2 2" xfId="19790" xr:uid="{7B735C1C-825A-426D-A09A-835523096A2D}"/>
    <cellStyle name="Comma 869 2 2 3" xfId="14615" xr:uid="{B3A404F7-7AD3-47C7-8984-7CA1A7E363CC}"/>
    <cellStyle name="Comma 869 2 3" xfId="7380" xr:uid="{4AFF7FF4-F66B-42A5-867F-BC3F8DD4FBF4}"/>
    <cellStyle name="Comma 869 2 3 2" xfId="17732" xr:uid="{0CF25EA0-7C8E-4472-8DED-A39A7AFA58C6}"/>
    <cellStyle name="Comma 869 2 4" xfId="12557" xr:uid="{2F20B7FB-127B-43E3-A321-8639E7CC7EA4}"/>
    <cellStyle name="Comma 869 3" xfId="3175" xr:uid="{DCFCC0EB-5610-4CBD-B7DA-833526C6D262}"/>
    <cellStyle name="Comma 869 3 2" xfId="8408" xr:uid="{21182292-8825-44D1-BED2-3A3DFEE90291}"/>
    <cellStyle name="Comma 869 3 2 2" xfId="18760" xr:uid="{F7F1AE07-B8C4-4360-A22E-9715C7C28661}"/>
    <cellStyle name="Comma 869 3 3" xfId="13585" xr:uid="{7597962F-8CAB-43C3-B05D-E8E11256BAF1}"/>
    <cellStyle name="Comma 869 4" xfId="5301" xr:uid="{49AB8B4A-BD0C-4641-A67D-3EDBE09475CB}"/>
    <cellStyle name="Comma 869 4 2" xfId="10477" xr:uid="{F0A0D9AA-08C2-4499-B9BF-3E345698ABEF}"/>
    <cellStyle name="Comma 869 4 2 2" xfId="20829" xr:uid="{C35D6312-A3F5-487C-A2B8-33511FDC48DE}"/>
    <cellStyle name="Comma 869 4 3" xfId="15653" xr:uid="{D8BF2A25-2786-4EA3-BE67-B37B9E733E51}"/>
    <cellStyle name="Comma 869 5" xfId="6349" xr:uid="{4D88C894-B777-4393-88A1-00DC48F763F9}"/>
    <cellStyle name="Comma 869 5 2" xfId="16701" xr:uid="{B85F22A2-2CF2-46C8-B2BE-83BF0963B7F8}"/>
    <cellStyle name="Comma 869 6" xfId="11527" xr:uid="{640D6F00-62C0-4829-9A93-0E2A35F0C843}"/>
    <cellStyle name="Comma 87" xfId="301" xr:uid="{9FBCCC61-8286-48E1-90ED-DE356E32AC47}"/>
    <cellStyle name="Comma 87 2" xfId="1365" xr:uid="{72F5B45D-8783-440D-8A50-06F008190F12}"/>
    <cellStyle name="Comma 87 2 2" xfId="3423" xr:uid="{051CC18F-D9AD-409B-B7FD-0F9A21344C08}"/>
    <cellStyle name="Comma 87 2 2 2" xfId="8656" xr:uid="{E0A42C85-4DA8-492F-8C53-5F024D990138}"/>
    <cellStyle name="Comma 87 2 2 2 2" xfId="19008" xr:uid="{E1CD0E4E-0C03-4DD4-A919-75C1044C23E8}"/>
    <cellStyle name="Comma 87 2 2 3" xfId="13833" xr:uid="{7DA87EA0-B5CF-4678-9B5B-4B2C4263C35A}"/>
    <cellStyle name="Comma 87 2 3" xfId="6598" xr:uid="{8127EC01-03D5-459A-BE59-1FF96B033019}"/>
    <cellStyle name="Comma 87 2 3 2" xfId="16950" xr:uid="{84D27314-7495-4A14-83EF-7A983254D845}"/>
    <cellStyle name="Comma 87 2 4" xfId="11775" xr:uid="{03B21C22-7720-42CF-901E-BCE21C9083A3}"/>
    <cellStyle name="Comma 87 3" xfId="2393" xr:uid="{4E933B7A-C7FD-4841-8EB6-A48BEFF28883}"/>
    <cellStyle name="Comma 87 3 2" xfId="7626" xr:uid="{C064E877-8718-4EA1-93DC-8EDF62E77306}"/>
    <cellStyle name="Comma 87 3 2 2" xfId="17978" xr:uid="{52086C89-2A5B-4C5D-AE55-2D942F948CB5}"/>
    <cellStyle name="Comma 87 3 3" xfId="12803" xr:uid="{41650180-5C58-461C-A604-AFCB1EECFF51}"/>
    <cellStyle name="Comma 87 4" xfId="4519" xr:uid="{0F74C827-E6E9-4258-AB5C-43E8F21CE61C}"/>
    <cellStyle name="Comma 87 4 2" xfId="9695" xr:uid="{EEE6CB97-4343-4B9D-820B-CB68123EE974}"/>
    <cellStyle name="Comma 87 4 2 2" xfId="20047" xr:uid="{C5F8E8D5-767D-4F9F-A0AE-B6CD58440FF4}"/>
    <cellStyle name="Comma 87 4 3" xfId="14871" xr:uid="{B370AF72-EDB4-461C-8451-BE694B7AEA06}"/>
    <cellStyle name="Comma 87 5" xfId="5567" xr:uid="{39ADB2F7-39F4-4D1B-BB68-5063FCE2551E}"/>
    <cellStyle name="Comma 87 5 2" xfId="15919" xr:uid="{1810AF4A-B8C2-42E0-A484-7B33FA4067B2}"/>
    <cellStyle name="Comma 87 6" xfId="10745" xr:uid="{DA73CBC1-F122-4A77-881B-8DBF5DBE79B9}"/>
    <cellStyle name="Comma 870" xfId="1110" xr:uid="{A4DB84B3-8858-4BF2-97B6-A588D459049C}"/>
    <cellStyle name="Comma 870 2" xfId="2148" xr:uid="{5D8CA38F-9394-4220-9528-CA0AC1E7F3C7}"/>
    <cellStyle name="Comma 870 2 2" xfId="4206" xr:uid="{C46D8C5B-B753-4392-9F95-82B67C2156B1}"/>
    <cellStyle name="Comma 870 2 2 2" xfId="9439" xr:uid="{8D6E657B-BA89-4920-B092-A9EED73F0E47}"/>
    <cellStyle name="Comma 870 2 2 2 2" xfId="19791" xr:uid="{036D56EB-7D22-448A-9018-450838A4B5E1}"/>
    <cellStyle name="Comma 870 2 2 3" xfId="14616" xr:uid="{0C28CBC6-5DD3-4E93-B601-A3BD47B7527A}"/>
    <cellStyle name="Comma 870 2 3" xfId="7381" xr:uid="{DC9F6F99-867B-4BFE-B676-77C797830F8B}"/>
    <cellStyle name="Comma 870 2 3 2" xfId="17733" xr:uid="{F5FF9F2A-FE86-4659-AB1B-C8657B31D67C}"/>
    <cellStyle name="Comma 870 2 4" xfId="12558" xr:uid="{3D2F50E2-CF5E-4A59-B441-2B3CC4B692C1}"/>
    <cellStyle name="Comma 870 3" xfId="3176" xr:uid="{9298F767-09E1-4E12-ADC9-324094918D4B}"/>
    <cellStyle name="Comma 870 3 2" xfId="8409" xr:uid="{AC342B37-AF85-429E-8C27-93F9D43C8B3F}"/>
    <cellStyle name="Comma 870 3 2 2" xfId="18761" xr:uid="{473072A7-8698-4150-9588-D47B77C39893}"/>
    <cellStyle name="Comma 870 3 3" xfId="13586" xr:uid="{ED3B7E5E-D856-40E5-80B2-36FA3CC4E8A2}"/>
    <cellStyle name="Comma 870 4" xfId="5302" xr:uid="{411CBEF0-583F-44DB-8237-1504BCEB0FBD}"/>
    <cellStyle name="Comma 870 4 2" xfId="10478" xr:uid="{6CD88190-7044-46CD-9DEE-AD8A8F6CA4D3}"/>
    <cellStyle name="Comma 870 4 2 2" xfId="20830" xr:uid="{A6FD9C7F-6CA7-40BD-B11C-9140E4C15800}"/>
    <cellStyle name="Comma 870 4 3" xfId="15654" xr:uid="{E1E19244-4DDD-48E2-B661-0925D7E8B23D}"/>
    <cellStyle name="Comma 870 5" xfId="6350" xr:uid="{CF22D533-5EF7-4BE6-B899-F114F2AE6756}"/>
    <cellStyle name="Comma 870 5 2" xfId="16702" xr:uid="{2564768C-EFED-4DFC-A599-59AC20D76BBB}"/>
    <cellStyle name="Comma 870 6" xfId="11528" xr:uid="{14D169E6-8A4D-4360-8B82-72A59A566604}"/>
    <cellStyle name="Comma 871" xfId="1111" xr:uid="{E1E6E153-420B-4178-B4C1-A96743226E25}"/>
    <cellStyle name="Comma 871 2" xfId="2149" xr:uid="{9A2BED0C-237C-485E-B3B8-21496EE2A67A}"/>
    <cellStyle name="Comma 871 2 2" xfId="4207" xr:uid="{969A8638-6DAE-4DC7-912B-EE7C6633DC09}"/>
    <cellStyle name="Comma 871 2 2 2" xfId="9440" xr:uid="{96A1BDD0-9660-46E0-9CC8-5D48A6977DAB}"/>
    <cellStyle name="Comma 871 2 2 2 2" xfId="19792" xr:uid="{CEBFD87D-127B-4913-9507-2CD093309AED}"/>
    <cellStyle name="Comma 871 2 2 3" xfId="14617" xr:uid="{21B62276-3E2B-4298-AFD2-83C23C741CFC}"/>
    <cellStyle name="Comma 871 2 3" xfId="7382" xr:uid="{A37E5722-EA55-4C94-BF1F-0410493A2615}"/>
    <cellStyle name="Comma 871 2 3 2" xfId="17734" xr:uid="{6D21CE10-406B-4D10-8C4E-041FB754464C}"/>
    <cellStyle name="Comma 871 2 4" xfId="12559" xr:uid="{3F275543-8A2A-479A-823F-669F5B86C852}"/>
    <cellStyle name="Comma 871 3" xfId="3177" xr:uid="{A6F5AF9F-1D92-42A3-8F64-BC74891F021A}"/>
    <cellStyle name="Comma 871 3 2" xfId="8410" xr:uid="{9EA69C06-CDCF-4C6E-9B7A-4F779A5F4B01}"/>
    <cellStyle name="Comma 871 3 2 2" xfId="18762" xr:uid="{96AA51F3-D5A1-4A35-837E-0D04223E3B8C}"/>
    <cellStyle name="Comma 871 3 3" xfId="13587" xr:uid="{74ECBB4D-0ACF-4EB7-8908-A23B4940565C}"/>
    <cellStyle name="Comma 871 4" xfId="5303" xr:uid="{DBCA8CDE-FB75-478B-B061-9838D8A9A1B3}"/>
    <cellStyle name="Comma 871 4 2" xfId="10479" xr:uid="{C677C5E5-A67C-4F03-B16F-903AE3E47DFC}"/>
    <cellStyle name="Comma 871 4 2 2" xfId="20831" xr:uid="{137E4D53-77F6-40AF-852F-80B2E2822D97}"/>
    <cellStyle name="Comma 871 4 3" xfId="15655" xr:uid="{B4C889CE-46B7-4DBF-84AA-6459CB72A7B9}"/>
    <cellStyle name="Comma 871 5" xfId="6351" xr:uid="{6AAF6EF1-25BC-4CA6-9122-D42AC1A2F83C}"/>
    <cellStyle name="Comma 871 5 2" xfId="16703" xr:uid="{209527D8-3774-4F45-94A9-1A81D269B6A4}"/>
    <cellStyle name="Comma 871 6" xfId="11529" xr:uid="{992B4546-964C-4A4A-9AF4-1AE360271134}"/>
    <cellStyle name="Comma 872" xfId="1112" xr:uid="{D434DB9B-69ED-44F6-978C-896F666707BF}"/>
    <cellStyle name="Comma 872 2" xfId="2150" xr:uid="{13795508-D0DB-43D1-A15E-2ADAB214855E}"/>
    <cellStyle name="Comma 872 2 2" xfId="4208" xr:uid="{DB59C724-6F0E-4659-8015-B4CEB6B9F0BF}"/>
    <cellStyle name="Comma 872 2 2 2" xfId="9441" xr:uid="{6A77AAFB-620F-4FD9-A04F-BA859C5BE4E0}"/>
    <cellStyle name="Comma 872 2 2 2 2" xfId="19793" xr:uid="{51412484-EF78-4B8A-8B82-6855F5DBEEE2}"/>
    <cellStyle name="Comma 872 2 2 3" xfId="14618" xr:uid="{3425D37C-0715-4CB0-8939-FC445DBBCE6E}"/>
    <cellStyle name="Comma 872 2 3" xfId="7383" xr:uid="{58ED95F0-5F1E-4AB8-9F42-689E1CAF5C56}"/>
    <cellStyle name="Comma 872 2 3 2" xfId="17735" xr:uid="{F04409D3-9E82-499D-80A5-21F36E4395D0}"/>
    <cellStyle name="Comma 872 2 4" xfId="12560" xr:uid="{5F106DB4-ECD7-4FBD-A705-4C24824328B7}"/>
    <cellStyle name="Comma 872 3" xfId="3178" xr:uid="{79B90C0E-6967-49BE-A43F-1BB9D65874A6}"/>
    <cellStyle name="Comma 872 3 2" xfId="8411" xr:uid="{0DD46C0F-58E5-4F22-8E49-178493F51079}"/>
    <cellStyle name="Comma 872 3 2 2" xfId="18763" xr:uid="{6B44135A-3808-49C9-A541-4A2ED570DDEA}"/>
    <cellStyle name="Comma 872 3 3" xfId="13588" xr:uid="{5A1D0274-23C3-4B09-9558-53F8090C05F2}"/>
    <cellStyle name="Comma 872 4" xfId="5304" xr:uid="{BC669582-D6EA-45C4-BB5A-8F73B9BF8C1E}"/>
    <cellStyle name="Comma 872 4 2" xfId="10480" xr:uid="{6591930E-15A9-496A-8220-1C533263A628}"/>
    <cellStyle name="Comma 872 4 2 2" xfId="20832" xr:uid="{9DBA113A-7F82-40FD-8B26-EB49C8B859C3}"/>
    <cellStyle name="Comma 872 4 3" xfId="15656" xr:uid="{1496A9E8-B0C3-485F-9F5D-8C52070EF4E6}"/>
    <cellStyle name="Comma 872 5" xfId="6352" xr:uid="{AB296D16-D0CF-435E-93E7-3882A098D49C}"/>
    <cellStyle name="Comma 872 5 2" xfId="16704" xr:uid="{24416753-0A12-42CE-9554-779EEE2501AF}"/>
    <cellStyle name="Comma 872 6" xfId="11530" xr:uid="{EFBA31BE-E15D-4598-A535-A62A774683DA}"/>
    <cellStyle name="Comma 873" xfId="1113" xr:uid="{C15F09BD-D810-4834-97EA-F61F4589F0D1}"/>
    <cellStyle name="Comma 873 2" xfId="2151" xr:uid="{64C7805C-44F5-44E4-8F1A-8061B573181E}"/>
    <cellStyle name="Comma 873 2 2" xfId="4209" xr:uid="{C8F5AC4F-D198-4621-95CC-3B724FDD844D}"/>
    <cellStyle name="Comma 873 2 2 2" xfId="9442" xr:uid="{9B632321-2D42-4B47-BB74-345F6223AD76}"/>
    <cellStyle name="Comma 873 2 2 2 2" xfId="19794" xr:uid="{78B05357-0069-4945-B2E2-766D26FF8DF1}"/>
    <cellStyle name="Comma 873 2 2 3" xfId="14619" xr:uid="{219D60F5-10C5-464B-85C5-CEE02DAA783D}"/>
    <cellStyle name="Comma 873 2 3" xfId="7384" xr:uid="{840273B5-3C0F-4DDC-A21C-6B7B3017829A}"/>
    <cellStyle name="Comma 873 2 3 2" xfId="17736" xr:uid="{70898655-93EC-4FD4-8A07-1DD83F2A6064}"/>
    <cellStyle name="Comma 873 2 4" xfId="12561" xr:uid="{3BEDF005-C32B-4A4F-ABC5-EC8932EE506F}"/>
    <cellStyle name="Comma 873 3" xfId="3179" xr:uid="{BA4C4006-D9AD-4BB9-A22C-6C7F45C2D12F}"/>
    <cellStyle name="Comma 873 3 2" xfId="8412" xr:uid="{619925B6-79E1-4CD5-8C15-1EC4A0EBF260}"/>
    <cellStyle name="Comma 873 3 2 2" xfId="18764" xr:uid="{833FA7D9-F055-4731-B169-DB416664A72F}"/>
    <cellStyle name="Comma 873 3 3" xfId="13589" xr:uid="{BC549FBA-059F-4CAD-BD18-A8EDD73338EA}"/>
    <cellStyle name="Comma 873 4" xfId="5305" xr:uid="{28199282-AA40-4193-AF6B-20488FB104A7}"/>
    <cellStyle name="Comma 873 4 2" xfId="10481" xr:uid="{B9611F14-9441-432D-A77E-F6D5B9F3AF29}"/>
    <cellStyle name="Comma 873 4 2 2" xfId="20833" xr:uid="{483528EA-0CD6-411D-B583-0AC0ED9532E9}"/>
    <cellStyle name="Comma 873 4 3" xfId="15657" xr:uid="{37341441-62CF-4827-AA0B-645F8B502DDC}"/>
    <cellStyle name="Comma 873 5" xfId="6353" xr:uid="{49F43F6B-8029-44CA-B047-E1D096063C7F}"/>
    <cellStyle name="Comma 873 5 2" xfId="16705" xr:uid="{31B63D12-33E4-44D2-9B39-687D0E24A0A0}"/>
    <cellStyle name="Comma 873 6" xfId="11531" xr:uid="{CF36C1CD-2983-4831-B46C-15016BDCBB3D}"/>
    <cellStyle name="Comma 874" xfId="1114" xr:uid="{AE6303E0-D146-47A2-A45B-AFEC580987E1}"/>
    <cellStyle name="Comma 874 2" xfId="2152" xr:uid="{5F71333A-515C-490A-80E3-7866B66E901E}"/>
    <cellStyle name="Comma 874 2 2" xfId="4210" xr:uid="{D09B4C12-B3B0-4266-9484-5BAD8B94C78C}"/>
    <cellStyle name="Comma 874 2 2 2" xfId="9443" xr:uid="{CA17E037-765C-49C3-A6DA-B559AB29D15C}"/>
    <cellStyle name="Comma 874 2 2 2 2" xfId="19795" xr:uid="{F8ECCD6D-92B7-48D3-92A0-BB86B7487D84}"/>
    <cellStyle name="Comma 874 2 2 3" xfId="14620" xr:uid="{452270BA-EA50-415E-A649-1B55965FB932}"/>
    <cellStyle name="Comma 874 2 3" xfId="7385" xr:uid="{330B3E0C-C46E-454B-84D0-E2634A72355D}"/>
    <cellStyle name="Comma 874 2 3 2" xfId="17737" xr:uid="{68CC2D4F-B0AD-42A8-B9CF-7790D4B91C5C}"/>
    <cellStyle name="Comma 874 2 4" xfId="12562" xr:uid="{F4E989D2-8752-4671-9AEA-9CADADB1A6E7}"/>
    <cellStyle name="Comma 874 3" xfId="3180" xr:uid="{89A8C498-DC64-4719-99E6-8439EE1DFF93}"/>
    <cellStyle name="Comma 874 3 2" xfId="8413" xr:uid="{2219485A-B39F-40C2-96EA-FF81DB26911F}"/>
    <cellStyle name="Comma 874 3 2 2" xfId="18765" xr:uid="{B2DCDECF-AC26-4255-851C-EED430732D88}"/>
    <cellStyle name="Comma 874 3 3" xfId="13590" xr:uid="{B888EA86-0555-46EB-B833-CC404B81F23D}"/>
    <cellStyle name="Comma 874 4" xfId="5306" xr:uid="{D81BF6C9-6B39-4211-AD29-864298F113FF}"/>
    <cellStyle name="Comma 874 4 2" xfId="10482" xr:uid="{367803BC-35E8-4499-AF88-600EBAAE76E8}"/>
    <cellStyle name="Comma 874 4 2 2" xfId="20834" xr:uid="{68E07509-B22F-49D9-8316-8603E4E29310}"/>
    <cellStyle name="Comma 874 4 3" xfId="15658" xr:uid="{25C26A80-B021-4167-B9A1-8036440E0824}"/>
    <cellStyle name="Comma 874 5" xfId="6354" xr:uid="{B950A940-55B7-4C35-9B25-3586087755EA}"/>
    <cellStyle name="Comma 874 5 2" xfId="16706" xr:uid="{86402006-752C-4CE6-8157-EC97F19ACEF5}"/>
    <cellStyle name="Comma 874 6" xfId="11532" xr:uid="{36F206C2-62D9-4141-B3ED-4A2531253D7F}"/>
    <cellStyle name="Comma 875" xfId="1115" xr:uid="{7BD726EA-A291-4FFC-8438-0058655F3F56}"/>
    <cellStyle name="Comma 875 2" xfId="2153" xr:uid="{C301DAE0-4C01-4FD2-A597-EC088CC8CED8}"/>
    <cellStyle name="Comma 875 2 2" xfId="4211" xr:uid="{4AAA8DDA-419F-41DB-B78C-C9110A5A8FDB}"/>
    <cellStyle name="Comma 875 2 2 2" xfId="9444" xr:uid="{91D81FEC-6240-412B-83C7-F7992EA153D0}"/>
    <cellStyle name="Comma 875 2 2 2 2" xfId="19796" xr:uid="{430BB1C8-801F-4D5C-8CFB-CE74E909C5E0}"/>
    <cellStyle name="Comma 875 2 2 3" xfId="14621" xr:uid="{1289A85F-C987-4C75-B336-0BD685640B41}"/>
    <cellStyle name="Comma 875 2 3" xfId="7386" xr:uid="{651DA956-CB93-4232-842E-1A2986BCA76A}"/>
    <cellStyle name="Comma 875 2 3 2" xfId="17738" xr:uid="{53BFF72B-0B0C-43D8-B8C4-F4F5720DE46C}"/>
    <cellStyle name="Comma 875 2 4" xfId="12563" xr:uid="{B5312783-36CA-4CA6-BD9F-5910AFE924A5}"/>
    <cellStyle name="Comma 875 3" xfId="3181" xr:uid="{C23F680B-C5DA-41CB-90F1-12EC3E6F4618}"/>
    <cellStyle name="Comma 875 3 2" xfId="8414" xr:uid="{8B25A70B-D595-4EAD-BB01-C8CE46A78A60}"/>
    <cellStyle name="Comma 875 3 2 2" xfId="18766" xr:uid="{B15BCC67-5044-43F8-949C-0A39EA9954CC}"/>
    <cellStyle name="Comma 875 3 3" xfId="13591" xr:uid="{84AB1036-5BC4-469C-A7A3-2246DBD38B16}"/>
    <cellStyle name="Comma 875 4" xfId="5307" xr:uid="{70D0A34A-0864-47F9-B2CF-606508911279}"/>
    <cellStyle name="Comma 875 4 2" xfId="10483" xr:uid="{A61DB9BC-6ED7-4476-A4F5-3CE9DD750F01}"/>
    <cellStyle name="Comma 875 4 2 2" xfId="20835" xr:uid="{4F397AC0-8F40-43CE-9147-3A90C8B3D25C}"/>
    <cellStyle name="Comma 875 4 3" xfId="15659" xr:uid="{134D5B12-8F16-4F7E-9DC8-35B62AC28FF4}"/>
    <cellStyle name="Comma 875 5" xfId="6355" xr:uid="{7A5ECE25-7932-49B0-B66B-994303936490}"/>
    <cellStyle name="Comma 875 5 2" xfId="16707" xr:uid="{DA172546-3F44-4771-94CE-EAEF7519EE3D}"/>
    <cellStyle name="Comma 875 6" xfId="11533" xr:uid="{EBD52770-79A6-4F00-91D6-32AD5CA730F4}"/>
    <cellStyle name="Comma 876" xfId="1116" xr:uid="{57DE3260-A155-4981-93EC-2E41AE60C888}"/>
    <cellStyle name="Comma 876 2" xfId="2154" xr:uid="{57D2B5F7-CBEC-41BA-A6BC-CB2DEBA773F0}"/>
    <cellStyle name="Comma 876 2 2" xfId="4212" xr:uid="{09396C08-796B-45D2-BC5C-69E5499606DB}"/>
    <cellStyle name="Comma 876 2 2 2" xfId="9445" xr:uid="{52908AA2-4AD6-430B-967A-414AF6CC3F2E}"/>
    <cellStyle name="Comma 876 2 2 2 2" xfId="19797" xr:uid="{5D68511D-F87D-46D2-9711-DB9104848836}"/>
    <cellStyle name="Comma 876 2 2 3" xfId="14622" xr:uid="{EA53180A-5BC3-4E38-A944-562198CCB9B6}"/>
    <cellStyle name="Comma 876 2 3" xfId="7387" xr:uid="{365B39D9-BC23-489B-9675-55E035E1480B}"/>
    <cellStyle name="Comma 876 2 3 2" xfId="17739" xr:uid="{5E85FC98-F050-44D5-9812-2C0A65B38823}"/>
    <cellStyle name="Comma 876 2 4" xfId="12564" xr:uid="{6599BF02-9787-476C-A85A-7B0530335FCF}"/>
    <cellStyle name="Comma 876 3" xfId="3182" xr:uid="{5E082D87-86A8-421A-91FA-B3DD559C26D1}"/>
    <cellStyle name="Comma 876 3 2" xfId="8415" xr:uid="{3D15C382-B2A2-412E-9BDA-B5BCE0AD0E09}"/>
    <cellStyle name="Comma 876 3 2 2" xfId="18767" xr:uid="{189BADD3-DD1D-44B7-A97A-B771D52C1005}"/>
    <cellStyle name="Comma 876 3 3" xfId="13592" xr:uid="{FB273888-49E3-48E2-B604-468F5845E787}"/>
    <cellStyle name="Comma 876 4" xfId="5308" xr:uid="{485353F8-9C27-4617-9B25-CB3FFF3508C3}"/>
    <cellStyle name="Comma 876 4 2" xfId="10484" xr:uid="{615A6A73-9FFA-422F-ADF0-F372CDDC9517}"/>
    <cellStyle name="Comma 876 4 2 2" xfId="20836" xr:uid="{42285336-C4C9-4EF4-8BA2-AFB0CA99D10A}"/>
    <cellStyle name="Comma 876 4 3" xfId="15660" xr:uid="{601F16D6-DC0E-429F-A8AB-2C4BF822ECFE}"/>
    <cellStyle name="Comma 876 5" xfId="6356" xr:uid="{A1835236-C4F5-4782-82AF-AD08D71BF0C3}"/>
    <cellStyle name="Comma 876 5 2" xfId="16708" xr:uid="{ED6DED67-FE3D-4CCC-8260-AF81DF8AC337}"/>
    <cellStyle name="Comma 876 6" xfId="11534" xr:uid="{A2641BC3-D704-44E0-BCF4-32699DC67BF6}"/>
    <cellStyle name="Comma 877" xfId="1117" xr:uid="{688CAFA2-62AB-4A8A-902F-EB02571D5C97}"/>
    <cellStyle name="Comma 877 2" xfId="2155" xr:uid="{BDFEFEF2-7A10-48F0-97B0-C980AB1E40E8}"/>
    <cellStyle name="Comma 877 2 2" xfId="4213" xr:uid="{44910E9B-A208-4700-9E16-7E4747FC34DE}"/>
    <cellStyle name="Comma 877 2 2 2" xfId="9446" xr:uid="{7E720C2B-67C0-41FE-83D8-BAC0D65A9C25}"/>
    <cellStyle name="Comma 877 2 2 2 2" xfId="19798" xr:uid="{B589A58B-152D-4351-9AEE-7F20F92EAFCB}"/>
    <cellStyle name="Comma 877 2 2 3" xfId="14623" xr:uid="{91965963-B44D-4A8C-83E5-E8F999B7A2AC}"/>
    <cellStyle name="Comma 877 2 3" xfId="7388" xr:uid="{E529D0E4-8088-49AE-BD11-18A1E21D8C8B}"/>
    <cellStyle name="Comma 877 2 3 2" xfId="17740" xr:uid="{B7C5E343-3B03-4BA2-9D5B-0E23FE942B36}"/>
    <cellStyle name="Comma 877 2 4" xfId="12565" xr:uid="{B84DBC85-6DED-4E00-8958-B2CAABFBA8A8}"/>
    <cellStyle name="Comma 877 3" xfId="3183" xr:uid="{99AAAED6-AFD0-4396-9408-0FD2B06137AE}"/>
    <cellStyle name="Comma 877 3 2" xfId="8416" xr:uid="{D29FBD63-D607-4510-AE2B-CB4A89F25651}"/>
    <cellStyle name="Comma 877 3 2 2" xfId="18768" xr:uid="{E2D2DE87-4999-4DA2-A96D-0769CD5C137E}"/>
    <cellStyle name="Comma 877 3 3" xfId="13593" xr:uid="{E6C92595-222C-4814-B1DA-CDFAC7C74D48}"/>
    <cellStyle name="Comma 877 4" xfId="5309" xr:uid="{3EDBE5B4-A971-4550-8E51-565DAD78C93C}"/>
    <cellStyle name="Comma 877 4 2" xfId="10485" xr:uid="{8AD8B4AA-C921-4913-A182-1103BA62D871}"/>
    <cellStyle name="Comma 877 4 2 2" xfId="20837" xr:uid="{DD74C0DE-AC8E-4790-AE47-BB65EAD7369F}"/>
    <cellStyle name="Comma 877 4 3" xfId="15661" xr:uid="{BF29D53F-A330-4242-885A-0566A5F9F0BC}"/>
    <cellStyle name="Comma 877 5" xfId="6357" xr:uid="{AB02CAEC-62EC-4FCB-BE40-91C0DB36F64C}"/>
    <cellStyle name="Comma 877 5 2" xfId="16709" xr:uid="{7A0A162C-6EF1-4ACA-8C31-842536911C2D}"/>
    <cellStyle name="Comma 877 6" xfId="11535" xr:uid="{05466C0E-F054-41A0-A497-D5186895A477}"/>
    <cellStyle name="Comma 878" xfId="1118" xr:uid="{EE8EFCCA-88CB-4EEE-99C2-B5B1208DAB7F}"/>
    <cellStyle name="Comma 878 2" xfId="2156" xr:uid="{5E7CA93A-24C8-40BA-A2F1-72C027BCB8E8}"/>
    <cellStyle name="Comma 878 2 2" xfId="4214" xr:uid="{19E26B44-6459-44E2-AE63-EA3DE4E4B387}"/>
    <cellStyle name="Comma 878 2 2 2" xfId="9447" xr:uid="{A8412F2B-81D6-4863-B5B3-756DAD8B52FB}"/>
    <cellStyle name="Comma 878 2 2 2 2" xfId="19799" xr:uid="{0CC19DF9-8E5B-4673-B8D7-5DF915F270CE}"/>
    <cellStyle name="Comma 878 2 2 3" xfId="14624" xr:uid="{8575CA56-1429-4D36-A6A0-93B0123858AF}"/>
    <cellStyle name="Comma 878 2 3" xfId="7389" xr:uid="{3EC569ED-D45C-457A-A638-707EA052E767}"/>
    <cellStyle name="Comma 878 2 3 2" xfId="17741" xr:uid="{C6193415-4C2F-410A-A36E-1815C5450B5B}"/>
    <cellStyle name="Comma 878 2 4" xfId="12566" xr:uid="{0B928F64-ABF6-432D-8044-C145FC398B1D}"/>
    <cellStyle name="Comma 878 3" xfId="3184" xr:uid="{E743D29D-50BE-4E3C-8467-044D957F9DC0}"/>
    <cellStyle name="Comma 878 3 2" xfId="8417" xr:uid="{F5E8993F-ECF2-4EFF-B981-EC653660F4B0}"/>
    <cellStyle name="Comma 878 3 2 2" xfId="18769" xr:uid="{10F50AFB-602A-4BB9-89E4-0D0CD619F743}"/>
    <cellStyle name="Comma 878 3 3" xfId="13594" xr:uid="{A1957415-F1A3-48B1-B010-D56E86FB9222}"/>
    <cellStyle name="Comma 878 4" xfId="5310" xr:uid="{9BDBEFFD-B8E1-4CDC-8441-983636749ADF}"/>
    <cellStyle name="Comma 878 4 2" xfId="10486" xr:uid="{9794A359-1A17-408A-B76C-2936DD3C283A}"/>
    <cellStyle name="Comma 878 4 2 2" xfId="20838" xr:uid="{93050F89-85D0-4A83-A9CE-5A2C0A7CE65D}"/>
    <cellStyle name="Comma 878 4 3" xfId="15662" xr:uid="{57A45522-6512-42E5-A65F-FB05F61B2C34}"/>
    <cellStyle name="Comma 878 5" xfId="6358" xr:uid="{23A0A171-589F-4599-B49A-2A1803F3481F}"/>
    <cellStyle name="Comma 878 5 2" xfId="16710" xr:uid="{BCBEA227-19C3-4865-9A67-18ED5833341F}"/>
    <cellStyle name="Comma 878 6" xfId="11536" xr:uid="{B65B33FF-DF46-418A-A79C-3181A609B8C8}"/>
    <cellStyle name="Comma 879" xfId="1119" xr:uid="{A6DD14C8-4E00-4AAE-84B7-14B1B47375ED}"/>
    <cellStyle name="Comma 879 2" xfId="2157" xr:uid="{124D7290-2336-4EBE-92D4-4997B607B810}"/>
    <cellStyle name="Comma 879 2 2" xfId="4215" xr:uid="{DABBE0ED-A910-4CC7-8338-70D182D39A7D}"/>
    <cellStyle name="Comma 879 2 2 2" xfId="9448" xr:uid="{6A4740D2-3FFB-415E-BC08-1905B1D5D26C}"/>
    <cellStyle name="Comma 879 2 2 2 2" xfId="19800" xr:uid="{F942AB9D-5A92-480A-B749-A3D109A6EB0E}"/>
    <cellStyle name="Comma 879 2 2 3" xfId="14625" xr:uid="{01595B50-0491-44B6-A839-6C7F571D1438}"/>
    <cellStyle name="Comma 879 2 3" xfId="7390" xr:uid="{EFE93681-ABF1-49EE-8239-CB67C745B0D4}"/>
    <cellStyle name="Comma 879 2 3 2" xfId="17742" xr:uid="{297B8493-DBD0-42B5-8A25-FB7FCB0E73C7}"/>
    <cellStyle name="Comma 879 2 4" xfId="12567" xr:uid="{7EA1F122-8F3B-429A-8693-D95BFAF07221}"/>
    <cellStyle name="Comma 879 3" xfId="3185" xr:uid="{39B1E68A-07CC-4EDF-AF21-3A98B00F254B}"/>
    <cellStyle name="Comma 879 3 2" xfId="8418" xr:uid="{293E28CC-456C-4D92-8B8C-000C98320AF7}"/>
    <cellStyle name="Comma 879 3 2 2" xfId="18770" xr:uid="{2FBDDB5E-9E59-4AA1-87E7-016B32F3E518}"/>
    <cellStyle name="Comma 879 3 3" xfId="13595" xr:uid="{A6420E2F-EABB-469D-8A2E-969DD00876D7}"/>
    <cellStyle name="Comma 879 4" xfId="5311" xr:uid="{8FC4F0AE-9801-4FA2-BCD2-ECD1E7C29CA3}"/>
    <cellStyle name="Comma 879 4 2" xfId="10487" xr:uid="{C9BB4787-63BB-4BD2-A9DB-70F5F7146F0B}"/>
    <cellStyle name="Comma 879 4 2 2" xfId="20839" xr:uid="{CB59866D-B492-43DA-836D-302E68B143EB}"/>
    <cellStyle name="Comma 879 4 3" xfId="15663" xr:uid="{5682A886-5C79-4AF4-AECD-B9AF9A068CEF}"/>
    <cellStyle name="Comma 879 5" xfId="6359" xr:uid="{23C6C766-782F-4029-9792-A45872C0F954}"/>
    <cellStyle name="Comma 879 5 2" xfId="16711" xr:uid="{B58E9FFE-2FD1-4EC4-ABC2-C9E92C501611}"/>
    <cellStyle name="Comma 879 6" xfId="11537" xr:uid="{FE9E71C5-3CA9-4384-9162-DC8A3543C8AF}"/>
    <cellStyle name="Comma 88" xfId="302" xr:uid="{6A9FF043-E7D6-4B37-A58D-E782D131FA95}"/>
    <cellStyle name="Comma 88 2" xfId="1366" xr:uid="{85851B64-2B81-4B56-ADEC-7FA0E4337A8F}"/>
    <cellStyle name="Comma 88 2 2" xfId="3424" xr:uid="{2D7C3F32-EC63-4426-BC2B-A1EEC54AD14F}"/>
    <cellStyle name="Comma 88 2 2 2" xfId="8657" xr:uid="{4E291DE0-26CA-465A-8006-844A025DA712}"/>
    <cellStyle name="Comma 88 2 2 2 2" xfId="19009" xr:uid="{F5FC8DBC-4729-48A4-AED8-07C69E2F3D52}"/>
    <cellStyle name="Comma 88 2 2 3" xfId="13834" xr:uid="{C08E3922-3973-4CE3-86C8-9B3B4C99B858}"/>
    <cellStyle name="Comma 88 2 3" xfId="6599" xr:uid="{825F1F4F-76C9-469D-8F95-C13FB7437312}"/>
    <cellStyle name="Comma 88 2 3 2" xfId="16951" xr:uid="{AF230C7E-9FF8-47A3-93FC-1D19F7A1F887}"/>
    <cellStyle name="Comma 88 2 4" xfId="11776" xr:uid="{E5704887-EDA5-4A20-A9E1-AB04DC40787F}"/>
    <cellStyle name="Comma 88 3" xfId="2394" xr:uid="{9DB3F7EE-5213-438A-A35E-AC6C0B1D148F}"/>
    <cellStyle name="Comma 88 3 2" xfId="7627" xr:uid="{3DCB67D6-5FE7-4197-B05D-E83106FCEDF6}"/>
    <cellStyle name="Comma 88 3 2 2" xfId="17979" xr:uid="{BF2515E8-CEFB-480F-AFED-08ABFD9EC339}"/>
    <cellStyle name="Comma 88 3 3" xfId="12804" xr:uid="{916E7FD1-3C25-46E2-9A4D-298FFCBEC2C1}"/>
    <cellStyle name="Comma 88 4" xfId="4520" xr:uid="{5E089EBB-5572-41BF-B906-618A9A77C1A8}"/>
    <cellStyle name="Comma 88 4 2" xfId="9696" xr:uid="{7595EA09-7ED1-440B-BA2D-99B78725956D}"/>
    <cellStyle name="Comma 88 4 2 2" xfId="20048" xr:uid="{6E5F92E2-F592-44B5-8665-6AD3ED9CDED2}"/>
    <cellStyle name="Comma 88 4 3" xfId="14872" xr:uid="{6AAD5A2E-D038-4047-947F-72B769EEE1A4}"/>
    <cellStyle name="Comma 88 5" xfId="5568" xr:uid="{436529B6-DB4B-4A97-9764-4BF5A46FD610}"/>
    <cellStyle name="Comma 88 5 2" xfId="15920" xr:uid="{83885CDF-37F8-42EF-8321-FE79A6CD2792}"/>
    <cellStyle name="Comma 88 6" xfId="10746" xr:uid="{F0156DC1-2C81-467F-94A1-F0B06B2C3CB2}"/>
    <cellStyle name="Comma 880" xfId="1120" xr:uid="{9AD63CE6-B978-46C8-B6CE-162F22914DCC}"/>
    <cellStyle name="Comma 880 2" xfId="2158" xr:uid="{F4235B89-C2CD-405E-AE00-D05F2FF185AD}"/>
    <cellStyle name="Comma 880 2 2" xfId="4216" xr:uid="{CD6D33EF-16F0-4EA9-B68C-C2842787BE8B}"/>
    <cellStyle name="Comma 880 2 2 2" xfId="9449" xr:uid="{3AFD4AF1-8A65-46CC-90C1-97711467F6F4}"/>
    <cellStyle name="Comma 880 2 2 2 2" xfId="19801" xr:uid="{2B1C8A59-9933-4D03-BA6C-6EB30E1A29E1}"/>
    <cellStyle name="Comma 880 2 2 3" xfId="14626" xr:uid="{C23C96DB-13D4-447E-BE18-2C542E80B5C4}"/>
    <cellStyle name="Comma 880 2 3" xfId="7391" xr:uid="{774E660B-7638-4F45-BA73-9A74282AF9C9}"/>
    <cellStyle name="Comma 880 2 3 2" xfId="17743" xr:uid="{92EB670F-5053-42FB-99B4-199CD1551585}"/>
    <cellStyle name="Comma 880 2 4" xfId="12568" xr:uid="{AC3A7423-F48B-464E-A3D8-8092ED4C9F96}"/>
    <cellStyle name="Comma 880 3" xfId="3186" xr:uid="{1547BDB0-DCB4-4D6B-BA05-B460D527ED2A}"/>
    <cellStyle name="Comma 880 3 2" xfId="8419" xr:uid="{43BC07AE-4595-4B91-96A0-DDBEB7D3D537}"/>
    <cellStyle name="Comma 880 3 2 2" xfId="18771" xr:uid="{1D457D02-8262-414A-9AFE-7E91C0F3253C}"/>
    <cellStyle name="Comma 880 3 3" xfId="13596" xr:uid="{80970676-486D-4494-84F3-3D53620C09A7}"/>
    <cellStyle name="Comma 880 4" xfId="5312" xr:uid="{9451EA44-F113-4F48-8280-48EB3C50271A}"/>
    <cellStyle name="Comma 880 4 2" xfId="10488" xr:uid="{3F9899F0-124A-4049-99D3-7A9A14DAC1A3}"/>
    <cellStyle name="Comma 880 4 2 2" xfId="20840" xr:uid="{6A312D5D-8E72-42CC-999E-601FE2889802}"/>
    <cellStyle name="Comma 880 4 3" xfId="15664" xr:uid="{B2132814-469B-4E3F-9628-CD34B71AF82B}"/>
    <cellStyle name="Comma 880 5" xfId="6360" xr:uid="{FFCF94BA-3DCC-4DB2-8832-B6CFFE60259C}"/>
    <cellStyle name="Comma 880 5 2" xfId="16712" xr:uid="{408C9B2D-6049-4167-9FBA-D80029B78286}"/>
    <cellStyle name="Comma 880 6" xfId="11538" xr:uid="{01B38933-234B-4709-827B-D7FF202F5FC0}"/>
    <cellStyle name="Comma 881" xfId="1121" xr:uid="{4109F32E-9F22-42DD-BF43-BDF51C4F7884}"/>
    <cellStyle name="Comma 881 2" xfId="2159" xr:uid="{9CE49A15-DE80-4DB8-BDC7-2A164800086B}"/>
    <cellStyle name="Comma 881 2 2" xfId="4217" xr:uid="{DFACBD3E-40F8-4902-80C0-9CE99E4BEE05}"/>
    <cellStyle name="Comma 881 2 2 2" xfId="9450" xr:uid="{0B1D4415-0DAE-4D77-9ED3-D70F73D9631D}"/>
    <cellStyle name="Comma 881 2 2 2 2" xfId="19802" xr:uid="{F617B2A8-664E-4C33-AAC2-1D307A4EC74A}"/>
    <cellStyle name="Comma 881 2 2 3" xfId="14627" xr:uid="{304A73BF-6443-4FC4-A5B5-B6AB5E24B3C4}"/>
    <cellStyle name="Comma 881 2 3" xfId="7392" xr:uid="{36AE26C9-FF08-47CD-812B-E2B9EECC44DA}"/>
    <cellStyle name="Comma 881 2 3 2" xfId="17744" xr:uid="{C12719ED-BF65-494C-A116-198DEFD3140E}"/>
    <cellStyle name="Comma 881 2 4" xfId="12569" xr:uid="{F3066A95-ADC8-4320-8693-FCD240CE9C20}"/>
    <cellStyle name="Comma 881 3" xfId="3187" xr:uid="{11FE7570-4664-469E-A0B6-0D91B50CD660}"/>
    <cellStyle name="Comma 881 3 2" xfId="8420" xr:uid="{A8FFC6DF-B21A-4F6B-A6BA-4EAFADC7D5BC}"/>
    <cellStyle name="Comma 881 3 2 2" xfId="18772" xr:uid="{D7312180-2375-4E3D-90F6-D9FEB710B7EB}"/>
    <cellStyle name="Comma 881 3 3" xfId="13597" xr:uid="{B89EF8FE-D88E-415F-975A-3EC4DA721DDA}"/>
    <cellStyle name="Comma 881 4" xfId="5313" xr:uid="{E63F7ED1-8DAB-4A33-9E08-B4625BE4664C}"/>
    <cellStyle name="Comma 881 4 2" xfId="10489" xr:uid="{5E09A98D-178B-42C8-9944-D0ABA25AED43}"/>
    <cellStyle name="Comma 881 4 2 2" xfId="20841" xr:uid="{8338983D-75EF-4BC8-A4F4-0964C4555BC1}"/>
    <cellStyle name="Comma 881 4 3" xfId="15665" xr:uid="{C858AD37-3318-49EA-8330-B69F18DC3BA3}"/>
    <cellStyle name="Comma 881 5" xfId="6361" xr:uid="{B92CB65D-2E12-4AEF-9BA0-BD9B42D981AD}"/>
    <cellStyle name="Comma 881 5 2" xfId="16713" xr:uid="{D8C08B5B-CC83-4220-87CE-A125D4039DAD}"/>
    <cellStyle name="Comma 881 6" xfId="11539" xr:uid="{58B16488-A77D-4E3C-9A42-1112E2C540AB}"/>
    <cellStyle name="Comma 882" xfId="1122" xr:uid="{EDAC929F-39B8-4634-A0DD-7A56B979D402}"/>
    <cellStyle name="Comma 882 2" xfId="2160" xr:uid="{E87D34A5-E989-4F63-8141-0D2A5E4D4315}"/>
    <cellStyle name="Comma 882 2 2" xfId="4218" xr:uid="{E4AE0D1E-D53D-4580-9E67-52CA6943B00E}"/>
    <cellStyle name="Comma 882 2 2 2" xfId="9451" xr:uid="{87ABCE52-3979-4603-A197-71CF8F0939C0}"/>
    <cellStyle name="Comma 882 2 2 2 2" xfId="19803" xr:uid="{8EA9A3B3-DAF4-4227-9800-011E01E06BB1}"/>
    <cellStyle name="Comma 882 2 2 3" xfId="14628" xr:uid="{09895617-3000-4E68-B617-3491E4FC256D}"/>
    <cellStyle name="Comma 882 2 3" xfId="7393" xr:uid="{0D7CA6A9-9B2B-4361-9D29-6937FB64E9C0}"/>
    <cellStyle name="Comma 882 2 3 2" xfId="17745" xr:uid="{CD6D98E6-9CD7-45DA-B32F-BDE7A0B875FC}"/>
    <cellStyle name="Comma 882 2 4" xfId="12570" xr:uid="{9740AB48-F249-4686-B238-D790BBEEFE1C}"/>
    <cellStyle name="Comma 882 3" xfId="3188" xr:uid="{A722035A-1E41-41F0-B44C-FFA942857A86}"/>
    <cellStyle name="Comma 882 3 2" xfId="8421" xr:uid="{44A06B8E-F420-4212-A70D-02FE343A73FC}"/>
    <cellStyle name="Comma 882 3 2 2" xfId="18773" xr:uid="{EDCD70C7-C651-40C7-B24B-42A81E05828D}"/>
    <cellStyle name="Comma 882 3 3" xfId="13598" xr:uid="{1622DA2E-2189-4175-98B1-1782C255F37E}"/>
    <cellStyle name="Comma 882 4" xfId="5314" xr:uid="{E159DB49-A983-4021-93AF-808F7D2C4AE8}"/>
    <cellStyle name="Comma 882 4 2" xfId="10490" xr:uid="{D757EE80-C0F3-48E5-8884-02447F2D5117}"/>
    <cellStyle name="Comma 882 4 2 2" xfId="20842" xr:uid="{7D1DB5DC-1F01-4626-AE96-5294BBDD2591}"/>
    <cellStyle name="Comma 882 4 3" xfId="15666" xr:uid="{26C32176-0280-4DE6-B934-DC62C7F9B136}"/>
    <cellStyle name="Comma 882 5" xfId="6362" xr:uid="{045E8AD9-ED2C-4DF5-AB9B-2C29605C2F35}"/>
    <cellStyle name="Comma 882 5 2" xfId="16714" xr:uid="{1EE2CE70-0791-4BE6-A1E6-A58275E6201F}"/>
    <cellStyle name="Comma 882 6" xfId="11540" xr:uid="{37E02679-396E-4374-8BE3-F6F8B739C301}"/>
    <cellStyle name="Comma 883" xfId="1123" xr:uid="{E8DDE722-F539-4BB5-92E1-35E52455F515}"/>
    <cellStyle name="Comma 883 2" xfId="2161" xr:uid="{76129F59-8FE5-441D-88FC-B3E38AF43733}"/>
    <cellStyle name="Comma 883 2 2" xfId="4219" xr:uid="{2854D774-76D6-4194-B873-3BDA89884456}"/>
    <cellStyle name="Comma 883 2 2 2" xfId="9452" xr:uid="{CA5F7698-872D-476A-A820-7FF24C5C2797}"/>
    <cellStyle name="Comma 883 2 2 2 2" xfId="19804" xr:uid="{91732E64-A3C0-4236-A6AE-609D4FD17FB5}"/>
    <cellStyle name="Comma 883 2 2 3" xfId="14629" xr:uid="{37F9160C-5873-4752-83BD-BB611A70B291}"/>
    <cellStyle name="Comma 883 2 3" xfId="7394" xr:uid="{C904357E-135A-40FD-8FDD-1C586C7B7202}"/>
    <cellStyle name="Comma 883 2 3 2" xfId="17746" xr:uid="{01BD1829-47BD-4EF7-A533-272BCB5610DF}"/>
    <cellStyle name="Comma 883 2 4" xfId="12571" xr:uid="{0FBC361E-0C0B-4DD8-BB32-3CBC191810CE}"/>
    <cellStyle name="Comma 883 3" xfId="3189" xr:uid="{EB69E032-45A4-44AA-A383-15EBA5ACBE52}"/>
    <cellStyle name="Comma 883 3 2" xfId="8422" xr:uid="{9643A1DA-3EA4-4FD3-B0AD-9E44C173B16C}"/>
    <cellStyle name="Comma 883 3 2 2" xfId="18774" xr:uid="{C1527B0A-3A30-4DCD-99B1-481D7AE9FB9C}"/>
    <cellStyle name="Comma 883 3 3" xfId="13599" xr:uid="{5AE262AE-1E20-4C4B-98C0-7A36679C9075}"/>
    <cellStyle name="Comma 883 4" xfId="5315" xr:uid="{4D6265A1-CB57-4661-9654-B97E3BBAF526}"/>
    <cellStyle name="Comma 883 4 2" xfId="10491" xr:uid="{F95D8CAA-A8D9-4D27-BC2E-BB6C49DE763D}"/>
    <cellStyle name="Comma 883 4 2 2" xfId="20843" xr:uid="{C86E8981-0BF7-40F0-8DBF-106D06378DFF}"/>
    <cellStyle name="Comma 883 4 3" xfId="15667" xr:uid="{F3A51047-722B-4D9C-B260-EB90923B4D26}"/>
    <cellStyle name="Comma 883 5" xfId="6363" xr:uid="{574427A3-12E4-41AF-B190-6F68C1DCFA1F}"/>
    <cellStyle name="Comma 883 5 2" xfId="16715" xr:uid="{6E9BF503-96A1-4F08-90CC-4BD71628D16B}"/>
    <cellStyle name="Comma 883 6" xfId="11541" xr:uid="{BBCDB35E-0C26-47E3-9FD2-BE91878F52C0}"/>
    <cellStyle name="Comma 884" xfId="1124" xr:uid="{97393C9E-62FA-4294-96A6-4FAD0C63970D}"/>
    <cellStyle name="Comma 884 2" xfId="2162" xr:uid="{04792462-D795-4DD2-8777-ECE386255A3E}"/>
    <cellStyle name="Comma 884 2 2" xfId="4220" xr:uid="{B6D9625D-E5EA-49A4-A861-4B052BE5AD6D}"/>
    <cellStyle name="Comma 884 2 2 2" xfId="9453" xr:uid="{0AFB99F1-34D1-4C92-82AC-780844823C53}"/>
    <cellStyle name="Comma 884 2 2 2 2" xfId="19805" xr:uid="{9394A0AE-504E-4B05-8D4C-46381A7BAC92}"/>
    <cellStyle name="Comma 884 2 2 3" xfId="14630" xr:uid="{325EA710-1406-494B-97E5-B373F4CF3291}"/>
    <cellStyle name="Comma 884 2 3" xfId="7395" xr:uid="{FD7BB2A7-9462-441A-A07E-779656A17D99}"/>
    <cellStyle name="Comma 884 2 3 2" xfId="17747" xr:uid="{503FDF7B-7480-4EC3-9760-CD4CBB0952AB}"/>
    <cellStyle name="Comma 884 2 4" xfId="12572" xr:uid="{2C645A27-86C5-4D47-8A56-ABBD49B38031}"/>
    <cellStyle name="Comma 884 3" xfId="3190" xr:uid="{8978284A-7BE2-4265-AA1C-8C45A9CB98F9}"/>
    <cellStyle name="Comma 884 3 2" xfId="8423" xr:uid="{B4855147-F38D-4FF7-A319-B853E2BEACCE}"/>
    <cellStyle name="Comma 884 3 2 2" xfId="18775" xr:uid="{9371A805-A728-418D-BB43-988BC21EA7BA}"/>
    <cellStyle name="Comma 884 3 3" xfId="13600" xr:uid="{EE355123-3822-40F1-BBA2-3E8783C51AD5}"/>
    <cellStyle name="Comma 884 4" xfId="5316" xr:uid="{EB664FDB-496A-47F7-9520-CCF7121BFE29}"/>
    <cellStyle name="Comma 884 4 2" xfId="10492" xr:uid="{23BC2411-7ED1-4FE6-A5D4-19BE9594C945}"/>
    <cellStyle name="Comma 884 4 2 2" xfId="20844" xr:uid="{BE71C661-9E02-481E-BCA5-5CE08BFF63F9}"/>
    <cellStyle name="Comma 884 4 3" xfId="15668" xr:uid="{085B9A2F-FD0C-450C-9E83-3EE402151A2B}"/>
    <cellStyle name="Comma 884 5" xfId="6364" xr:uid="{B6CD4978-6948-4837-A25D-B043FF551C63}"/>
    <cellStyle name="Comma 884 5 2" xfId="16716" xr:uid="{C13B56BD-D12F-4992-8A9A-704780ACC1FB}"/>
    <cellStyle name="Comma 884 6" xfId="11542" xr:uid="{BA94C86C-7886-4CBE-9CBC-39463FCADDBF}"/>
    <cellStyle name="Comma 885" xfId="1125" xr:uid="{3B830C29-625D-4492-9F0A-262F80590960}"/>
    <cellStyle name="Comma 885 2" xfId="2163" xr:uid="{C1B6C892-D387-4ED5-BE28-AB71308212A2}"/>
    <cellStyle name="Comma 885 2 2" xfId="4221" xr:uid="{C0CF87AF-4253-46D4-9747-14191FC2F15C}"/>
    <cellStyle name="Comma 885 2 2 2" xfId="9454" xr:uid="{80987435-6270-47B4-9AFB-88493A66D5A0}"/>
    <cellStyle name="Comma 885 2 2 2 2" xfId="19806" xr:uid="{C414EA08-41CC-4E5F-91E1-8507572A0F23}"/>
    <cellStyle name="Comma 885 2 2 3" xfId="14631" xr:uid="{B1376E4D-0E3B-4131-8C12-645770970122}"/>
    <cellStyle name="Comma 885 2 3" xfId="7396" xr:uid="{6C4CA271-7FA3-4DBA-9411-0C803572CFEF}"/>
    <cellStyle name="Comma 885 2 3 2" xfId="17748" xr:uid="{946B0836-0C95-45FA-8CBF-C9170356D532}"/>
    <cellStyle name="Comma 885 2 4" xfId="12573" xr:uid="{2E3DFCFC-9248-451B-BD7B-43B57266C9AF}"/>
    <cellStyle name="Comma 885 3" xfId="3191" xr:uid="{3D825E58-FA73-4D01-9B3E-C3BC28D072BB}"/>
    <cellStyle name="Comma 885 3 2" xfId="8424" xr:uid="{A74A7F03-ABB8-40DD-B816-F8760DA1AE52}"/>
    <cellStyle name="Comma 885 3 2 2" xfId="18776" xr:uid="{972CD56B-C940-4498-8D07-72A65B4AE22B}"/>
    <cellStyle name="Comma 885 3 3" xfId="13601" xr:uid="{D99D956A-BBF7-43B5-A8B3-0E39DD44F138}"/>
    <cellStyle name="Comma 885 4" xfId="5317" xr:uid="{1E2CACA7-EBB0-4B75-B9C5-D79E0F18C992}"/>
    <cellStyle name="Comma 885 4 2" xfId="10493" xr:uid="{437AF6A4-920B-4B29-99D7-AFAC8FA6AA7E}"/>
    <cellStyle name="Comma 885 4 2 2" xfId="20845" xr:uid="{53D6D82A-4188-47B5-84A4-9D91108B6F24}"/>
    <cellStyle name="Comma 885 4 3" xfId="15669" xr:uid="{F737C554-81A6-4F5F-AA9B-EB5CCC2D2A6B}"/>
    <cellStyle name="Comma 885 5" xfId="6365" xr:uid="{33A6B1B5-ABE4-4ADA-BD4A-6A372AD89D5F}"/>
    <cellStyle name="Comma 885 5 2" xfId="16717" xr:uid="{64B5643E-DF08-4C53-A409-38E0643D87F7}"/>
    <cellStyle name="Comma 885 6" xfId="11543" xr:uid="{7CC6C788-18A5-4490-813F-680A1B4FC3CB}"/>
    <cellStyle name="Comma 886" xfId="1126" xr:uid="{0878E60C-02DD-42BC-B65F-1BA5ADEC9E09}"/>
    <cellStyle name="Comma 886 2" xfId="2164" xr:uid="{B64B1EFF-5EAF-4371-B04A-C97F84F3CFEC}"/>
    <cellStyle name="Comma 886 2 2" xfId="4222" xr:uid="{CC069431-010F-4E6C-889F-75465A539A5D}"/>
    <cellStyle name="Comma 886 2 2 2" xfId="9455" xr:uid="{87E50863-0F06-4DEA-8A45-87815730237B}"/>
    <cellStyle name="Comma 886 2 2 2 2" xfId="19807" xr:uid="{2FFD50F8-E832-42A2-A3D5-813B9915617C}"/>
    <cellStyle name="Comma 886 2 2 3" xfId="14632" xr:uid="{F841733C-08DC-411A-A12C-B868EE2E4D9C}"/>
    <cellStyle name="Comma 886 2 3" xfId="7397" xr:uid="{03DA703F-CCEF-499F-A1D2-3D964E3F896A}"/>
    <cellStyle name="Comma 886 2 3 2" xfId="17749" xr:uid="{5E7A0549-9B6C-4E8F-99F8-161A8CEF2DF1}"/>
    <cellStyle name="Comma 886 2 4" xfId="12574" xr:uid="{65DCB368-6D38-48C0-86FA-318184FF0069}"/>
    <cellStyle name="Comma 886 3" xfId="3192" xr:uid="{AF3ADDD9-9AF9-4F8E-BC36-589B95F688B7}"/>
    <cellStyle name="Comma 886 3 2" xfId="8425" xr:uid="{6231EABD-0033-4314-8C1A-4F40EF23798F}"/>
    <cellStyle name="Comma 886 3 2 2" xfId="18777" xr:uid="{BA0F5D5D-CCD0-4AF9-BAFC-BA7D38EE4F22}"/>
    <cellStyle name="Comma 886 3 3" xfId="13602" xr:uid="{69A79339-E52C-4971-BA92-EC172F7659A9}"/>
    <cellStyle name="Comma 886 4" xfId="5318" xr:uid="{1D01824E-A41D-4867-99F5-BFA875C30B23}"/>
    <cellStyle name="Comma 886 4 2" xfId="10494" xr:uid="{1FFF9597-3E40-4923-B7B7-3882C7A03733}"/>
    <cellStyle name="Comma 886 4 2 2" xfId="20846" xr:uid="{ECF1A218-A357-487F-B27F-EB7E393AC1FF}"/>
    <cellStyle name="Comma 886 4 3" xfId="15670" xr:uid="{D6596A08-BB83-4E73-904F-AD932F355878}"/>
    <cellStyle name="Comma 886 5" xfId="6366" xr:uid="{3CD302B5-B47F-46FF-B535-8BE6B9189592}"/>
    <cellStyle name="Comma 886 5 2" xfId="16718" xr:uid="{4446F468-5D82-464C-8350-3967F81D2F09}"/>
    <cellStyle name="Comma 886 6" xfId="11544" xr:uid="{A0DC8A24-927D-4DB9-B60D-C083C5322672}"/>
    <cellStyle name="Comma 887" xfId="1127" xr:uid="{DA8B6DFB-BC9F-42B1-9909-9FBE41BB92D3}"/>
    <cellStyle name="Comma 887 2" xfId="2165" xr:uid="{4BDB0DF6-1704-4B13-823C-B2ED98522626}"/>
    <cellStyle name="Comma 887 2 2" xfId="4223" xr:uid="{50193DF1-6D4A-4313-8774-DAAF5CD49DD7}"/>
    <cellStyle name="Comma 887 2 2 2" xfId="9456" xr:uid="{1C058684-1397-4036-8D7C-296D436F5E4E}"/>
    <cellStyle name="Comma 887 2 2 2 2" xfId="19808" xr:uid="{890AFCE6-4461-47BE-BF03-65F0327676D0}"/>
    <cellStyle name="Comma 887 2 2 3" xfId="14633" xr:uid="{0271E7C5-B7F7-446E-B13A-A3EEA78B6C8F}"/>
    <cellStyle name="Comma 887 2 3" xfId="7398" xr:uid="{A9B07044-2CCB-4063-96FE-DB04568951E7}"/>
    <cellStyle name="Comma 887 2 3 2" xfId="17750" xr:uid="{9183A388-644F-4C8F-BE72-68FA91F5C482}"/>
    <cellStyle name="Comma 887 2 4" xfId="12575" xr:uid="{FC2061E8-D325-407A-9C90-51A4D92729E4}"/>
    <cellStyle name="Comma 887 3" xfId="3193" xr:uid="{E673EFAF-3EC1-4371-A970-15BAB7236652}"/>
    <cellStyle name="Comma 887 3 2" xfId="8426" xr:uid="{8CA1AD7E-6963-48FD-970B-10BBC801C8F4}"/>
    <cellStyle name="Comma 887 3 2 2" xfId="18778" xr:uid="{8501A22C-52F9-4881-802E-0CEA6D2BDFEB}"/>
    <cellStyle name="Comma 887 3 3" xfId="13603" xr:uid="{88F8B5D4-B702-4A06-B516-FA1937A6395F}"/>
    <cellStyle name="Comma 887 4" xfId="5319" xr:uid="{527F560F-3090-4880-BBAB-982A1C9A0B15}"/>
    <cellStyle name="Comma 887 4 2" xfId="10495" xr:uid="{8FBE135A-E05F-4DFB-A5E8-C16D77054751}"/>
    <cellStyle name="Comma 887 4 2 2" xfId="20847" xr:uid="{9241B548-B323-4F09-A397-B81965CA9ECF}"/>
    <cellStyle name="Comma 887 4 3" xfId="15671" xr:uid="{80BC3B8C-6F7F-4282-948C-ACBB8D9A2C55}"/>
    <cellStyle name="Comma 887 5" xfId="6367" xr:uid="{458B054C-6430-4C5A-A744-07526786F6B0}"/>
    <cellStyle name="Comma 887 5 2" xfId="16719" xr:uid="{D50EA46D-0DF6-4338-9521-29B32336918F}"/>
    <cellStyle name="Comma 887 6" xfId="11545" xr:uid="{1E1472DC-5691-47A8-9689-132AC1CD39F7}"/>
    <cellStyle name="Comma 888" xfId="1128" xr:uid="{A893F6DA-D398-4532-B044-CAE5E005593E}"/>
    <cellStyle name="Comma 888 2" xfId="2166" xr:uid="{F44DF73D-A5B3-4770-93B5-F9880223CC72}"/>
    <cellStyle name="Comma 888 2 2" xfId="4224" xr:uid="{0E930184-A3D1-407B-A06B-CB40740B2898}"/>
    <cellStyle name="Comma 888 2 2 2" xfId="9457" xr:uid="{ED63B202-8771-47A0-8FD0-7BA4BD0B5C22}"/>
    <cellStyle name="Comma 888 2 2 2 2" xfId="19809" xr:uid="{E0EF30B2-1C32-46DC-8355-EA0AE23B8E16}"/>
    <cellStyle name="Comma 888 2 2 3" xfId="14634" xr:uid="{96131DF6-7EEB-49B8-A004-504EA7F7EE61}"/>
    <cellStyle name="Comma 888 2 3" xfId="7399" xr:uid="{4F765CCC-EE4D-415C-BE65-C31C6D41AFC1}"/>
    <cellStyle name="Comma 888 2 3 2" xfId="17751" xr:uid="{B75C2D07-555B-4B6B-BD21-2477AA9DF379}"/>
    <cellStyle name="Comma 888 2 4" xfId="12576" xr:uid="{0A5E72DF-4A8C-4201-A30E-33BF1F1D9198}"/>
    <cellStyle name="Comma 888 3" xfId="3194" xr:uid="{CDD114FF-9752-4227-8DBE-AA616507617B}"/>
    <cellStyle name="Comma 888 3 2" xfId="8427" xr:uid="{7CECC4F5-7841-4BD7-B9A1-E0186B66DC8C}"/>
    <cellStyle name="Comma 888 3 2 2" xfId="18779" xr:uid="{BE9A770F-BB69-403D-BEA1-EF77751ACFFA}"/>
    <cellStyle name="Comma 888 3 3" xfId="13604" xr:uid="{CFDFCCEF-3D23-476F-842E-CFB90EE5F585}"/>
    <cellStyle name="Comma 888 4" xfId="5320" xr:uid="{E002C11E-38F6-4B67-AD39-16B68F8F5A25}"/>
    <cellStyle name="Comma 888 4 2" xfId="10496" xr:uid="{D27972F7-4B08-4CC4-A496-E05EDD3A2DA9}"/>
    <cellStyle name="Comma 888 4 2 2" xfId="20848" xr:uid="{31A506E4-8FA0-4F73-A125-5FF16AC25B90}"/>
    <cellStyle name="Comma 888 4 3" xfId="15672" xr:uid="{8FBC9CC5-D33E-45A6-852D-08793D94C555}"/>
    <cellStyle name="Comma 888 5" xfId="6368" xr:uid="{309EB1C3-36E4-43F3-A003-E61323D939BF}"/>
    <cellStyle name="Comma 888 5 2" xfId="16720" xr:uid="{0D2253D3-5A89-413A-89CC-B5826A4767F4}"/>
    <cellStyle name="Comma 888 6" xfId="11546" xr:uid="{ADE13B57-3046-48C5-944A-22772A1C0E9B}"/>
    <cellStyle name="Comma 889" xfId="1129" xr:uid="{0C5DFB6A-5AF1-4AF3-BA63-2575BCAF2F71}"/>
    <cellStyle name="Comma 889 2" xfId="2167" xr:uid="{C6BF5723-E9C1-4282-8029-62B13420A575}"/>
    <cellStyle name="Comma 889 2 2" xfId="4225" xr:uid="{5CAB2FDE-38A6-4FE1-92BD-6B45D57BE8F2}"/>
    <cellStyle name="Comma 889 2 2 2" xfId="9458" xr:uid="{386C7850-F7C3-494B-891A-51831EA5CDB7}"/>
    <cellStyle name="Comma 889 2 2 2 2" xfId="19810" xr:uid="{C3A79AE7-7415-4572-AEC5-ECA577E390DB}"/>
    <cellStyle name="Comma 889 2 2 3" xfId="14635" xr:uid="{DC4BB51B-0F9C-434F-93AA-B102FF72580F}"/>
    <cellStyle name="Comma 889 2 3" xfId="7400" xr:uid="{11EA3E13-DFEC-471C-87C2-CDF23EFF6B0B}"/>
    <cellStyle name="Comma 889 2 3 2" xfId="17752" xr:uid="{1C793120-1673-4BDC-8579-26912405BCB1}"/>
    <cellStyle name="Comma 889 2 4" xfId="12577" xr:uid="{7C6F4466-3FCF-4F1A-B7DA-55E6D6D43959}"/>
    <cellStyle name="Comma 889 3" xfId="3195" xr:uid="{DCB17B09-5A80-4A51-94BB-0EA9D28AF06A}"/>
    <cellStyle name="Comma 889 3 2" xfId="8428" xr:uid="{919B1BC6-047D-4AA1-8D37-803D422B63CE}"/>
    <cellStyle name="Comma 889 3 2 2" xfId="18780" xr:uid="{3E8B385C-E922-43FA-B61F-48EA1073DA7E}"/>
    <cellStyle name="Comma 889 3 3" xfId="13605" xr:uid="{EF8BAB4A-CFD8-4D92-B11D-54C9272A63BD}"/>
    <cellStyle name="Comma 889 4" xfId="5321" xr:uid="{846A5EA7-FC48-48DF-86B5-3A90468360B4}"/>
    <cellStyle name="Comma 889 4 2" xfId="10497" xr:uid="{583DD076-21F1-4648-89A0-7548DBB324DE}"/>
    <cellStyle name="Comma 889 4 2 2" xfId="20849" xr:uid="{E4817800-4655-41BC-A9A6-4E60C79FE542}"/>
    <cellStyle name="Comma 889 4 3" xfId="15673" xr:uid="{230B6CB7-7F90-4BAB-8F99-24870CF91CC7}"/>
    <cellStyle name="Comma 889 5" xfId="6369" xr:uid="{352101C4-50DF-40C7-8DF1-C5EE8ADDC805}"/>
    <cellStyle name="Comma 889 5 2" xfId="16721" xr:uid="{03A8EF98-AB3F-424C-AC67-8677C9EEF09D}"/>
    <cellStyle name="Comma 889 6" xfId="11547" xr:uid="{8367174D-88B4-443B-9A51-FCE7447B328A}"/>
    <cellStyle name="Comma 89" xfId="303" xr:uid="{B7AF396A-C8DC-44FF-B911-BB13F224D5C8}"/>
    <cellStyle name="Comma 89 2" xfId="1367" xr:uid="{CA109C8E-2D33-40ED-AC3E-FBD477583792}"/>
    <cellStyle name="Comma 89 2 2" xfId="3425" xr:uid="{5F8B63CE-779D-4179-9867-EDD458F22485}"/>
    <cellStyle name="Comma 89 2 2 2" xfId="8658" xr:uid="{7240AC94-6C1B-4848-B20A-D4599040B9A8}"/>
    <cellStyle name="Comma 89 2 2 2 2" xfId="19010" xr:uid="{199EEDE8-777C-420F-AB1D-81AF3CAD0874}"/>
    <cellStyle name="Comma 89 2 2 3" xfId="13835" xr:uid="{C187CD2E-C313-4F4B-B1E2-C5B4804FC8DF}"/>
    <cellStyle name="Comma 89 2 3" xfId="6600" xr:uid="{CC5EF84D-F58A-429C-95DF-5C721A445606}"/>
    <cellStyle name="Comma 89 2 3 2" xfId="16952" xr:uid="{F2969A12-8D6F-45D9-ADAF-14BF9383E927}"/>
    <cellStyle name="Comma 89 2 4" xfId="11777" xr:uid="{DD9923B3-1498-4F7B-9CBA-0AFDC4034407}"/>
    <cellStyle name="Comma 89 3" xfId="2395" xr:uid="{91B4D079-7608-4C3A-AE35-5969F46ABC7E}"/>
    <cellStyle name="Comma 89 3 2" xfId="7628" xr:uid="{94D0C525-552B-4680-A5AD-CDE0141EB00C}"/>
    <cellStyle name="Comma 89 3 2 2" xfId="17980" xr:uid="{168DB1C1-2D3F-4C3E-AD78-488E626BC648}"/>
    <cellStyle name="Comma 89 3 3" xfId="12805" xr:uid="{0725B761-6E26-4A0A-BE74-1EA31A2DFB9C}"/>
    <cellStyle name="Comma 89 4" xfId="4521" xr:uid="{C02C3135-0E54-481A-8272-5B0D5FEFE334}"/>
    <cellStyle name="Comma 89 4 2" xfId="9697" xr:uid="{B115C1CB-D805-4438-A96B-12A3E485531F}"/>
    <cellStyle name="Comma 89 4 2 2" xfId="20049" xr:uid="{EBA9FEA3-36F2-40B9-8DA8-284D7F2AE0D4}"/>
    <cellStyle name="Comma 89 4 3" xfId="14873" xr:uid="{1BC8D764-5CA9-468A-9BB2-7F8B9C2A32CD}"/>
    <cellStyle name="Comma 89 5" xfId="5569" xr:uid="{1B6061C5-F8C8-4991-845D-29ADF27F30BA}"/>
    <cellStyle name="Comma 89 5 2" xfId="15921" xr:uid="{2E7930D3-1F35-4304-A292-478850ADA893}"/>
    <cellStyle name="Comma 89 6" xfId="10747" xr:uid="{FB4EEFDB-0EE5-45B2-972F-F9B47E18DDE8}"/>
    <cellStyle name="Comma 890" xfId="1130" xr:uid="{21C205F9-509A-44C6-AB6E-1BAD92E04FA7}"/>
    <cellStyle name="Comma 890 2" xfId="2168" xr:uid="{EA040D70-A911-439C-BA61-205316CF4770}"/>
    <cellStyle name="Comma 890 2 2" xfId="4226" xr:uid="{BA43CBE7-AB24-43C9-A57D-D792A98AB61E}"/>
    <cellStyle name="Comma 890 2 2 2" xfId="9459" xr:uid="{9471A51F-9C26-4E4F-B484-8D30C55A774F}"/>
    <cellStyle name="Comma 890 2 2 2 2" xfId="19811" xr:uid="{2E7F83D6-2AF5-48C5-99B8-6FB720B37D6C}"/>
    <cellStyle name="Comma 890 2 2 3" xfId="14636" xr:uid="{E0BF5386-F29F-4DF3-98CF-A6168834E28D}"/>
    <cellStyle name="Comma 890 2 3" xfId="7401" xr:uid="{5B4B9F76-605E-49D6-9DBA-8F941335A001}"/>
    <cellStyle name="Comma 890 2 3 2" xfId="17753" xr:uid="{8877B66A-2420-496A-98B1-407329641A5C}"/>
    <cellStyle name="Comma 890 2 4" xfId="12578" xr:uid="{F63E6B05-58CB-4A3E-B3E4-015959B98E75}"/>
    <cellStyle name="Comma 890 3" xfId="3196" xr:uid="{07DA50CE-C26B-4FFE-95FD-94A7DDC5C587}"/>
    <cellStyle name="Comma 890 3 2" xfId="8429" xr:uid="{119A1D06-9C40-42EF-B7A7-9E6B5CAD6E5D}"/>
    <cellStyle name="Comma 890 3 2 2" xfId="18781" xr:uid="{F0B056AE-AC0B-47AF-9EE4-B6CAE7DB13E9}"/>
    <cellStyle name="Comma 890 3 3" xfId="13606" xr:uid="{6A760613-AB08-4264-B5C7-9A9F596AE6CF}"/>
    <cellStyle name="Comma 890 4" xfId="5322" xr:uid="{324A4E91-25CF-4CE4-B1DF-B08C58F83BD2}"/>
    <cellStyle name="Comma 890 4 2" xfId="10498" xr:uid="{9874BE36-5198-47B1-BC08-62E3C6FF05B5}"/>
    <cellStyle name="Comma 890 4 2 2" xfId="20850" xr:uid="{CEB35427-C74C-4E9E-9424-01FC8133F49E}"/>
    <cellStyle name="Comma 890 4 3" xfId="15674" xr:uid="{6B892E84-2050-41A5-8018-ADBC28F72DFD}"/>
    <cellStyle name="Comma 890 5" xfId="6370" xr:uid="{E617AF37-F98C-4A27-9C97-C4FED4BF65A8}"/>
    <cellStyle name="Comma 890 5 2" xfId="16722" xr:uid="{4C561C48-67F7-4ADA-8D32-E2C998765C35}"/>
    <cellStyle name="Comma 890 6" xfId="11548" xr:uid="{E255F259-AC77-4245-8417-7F6F93BE6C4D}"/>
    <cellStyle name="Comma 891" xfId="1131" xr:uid="{56FB4B51-3A25-496A-A39D-3A71F5F04083}"/>
    <cellStyle name="Comma 891 2" xfId="2169" xr:uid="{FB73EDF6-05D0-4685-B992-5E37511018B6}"/>
    <cellStyle name="Comma 891 2 2" xfId="4227" xr:uid="{39337DD2-D871-4561-8A39-C748C4DB8526}"/>
    <cellStyle name="Comma 891 2 2 2" xfId="9460" xr:uid="{91465319-ED94-4597-8882-36838363BC3F}"/>
    <cellStyle name="Comma 891 2 2 2 2" xfId="19812" xr:uid="{911A7BBA-6816-469C-AC22-33D38F476C39}"/>
    <cellStyle name="Comma 891 2 2 3" xfId="14637" xr:uid="{CD70D91F-43F6-469E-A304-D5305C0F353A}"/>
    <cellStyle name="Comma 891 2 3" xfId="7402" xr:uid="{23A919DC-224A-49BB-ADF4-914ADEF18E3F}"/>
    <cellStyle name="Comma 891 2 3 2" xfId="17754" xr:uid="{6F3AC2FC-F284-4409-93DC-4940C791F66F}"/>
    <cellStyle name="Comma 891 2 4" xfId="12579" xr:uid="{2AF0C6C4-699A-400F-B478-D040CCFEF99A}"/>
    <cellStyle name="Comma 891 3" xfId="3197" xr:uid="{EA91E385-4E12-412E-A7D4-C422F95D1A53}"/>
    <cellStyle name="Comma 891 3 2" xfId="8430" xr:uid="{82986DDF-74DD-4530-A60E-4381AF06E813}"/>
    <cellStyle name="Comma 891 3 2 2" xfId="18782" xr:uid="{D21BF191-D423-4272-9798-A7D499D20E3F}"/>
    <cellStyle name="Comma 891 3 3" xfId="13607" xr:uid="{76FDE453-106C-49A8-B150-B98D02821B13}"/>
    <cellStyle name="Comma 891 4" xfId="5323" xr:uid="{7B4A453E-8A3F-483D-B29F-5E8EAD74B5DF}"/>
    <cellStyle name="Comma 891 4 2" xfId="10499" xr:uid="{2C9CCB52-9B63-4AB0-A0F4-E0A0C578030E}"/>
    <cellStyle name="Comma 891 4 2 2" xfId="20851" xr:uid="{39FB9CDC-7BC6-405B-8E90-89B2537FCB0B}"/>
    <cellStyle name="Comma 891 4 3" xfId="15675" xr:uid="{94F132E0-52CB-4777-ADB7-8B4D61951BE2}"/>
    <cellStyle name="Comma 891 5" xfId="6371" xr:uid="{97A0AA14-90A1-4068-83FA-3D0452F7FA9C}"/>
    <cellStyle name="Comma 891 5 2" xfId="16723" xr:uid="{553393CC-C1FA-4D32-970A-F0EC13493C64}"/>
    <cellStyle name="Comma 891 6" xfId="11549" xr:uid="{DD39F4BE-6BDB-42EB-AA13-303F9DE6A77E}"/>
    <cellStyle name="Comma 892" xfId="1132" xr:uid="{06279597-7A5F-404B-BC24-5DEA32650683}"/>
    <cellStyle name="Comma 892 2" xfId="2170" xr:uid="{4518B62B-6521-45BB-B6DA-9E6D31ED45CC}"/>
    <cellStyle name="Comma 892 2 2" xfId="4228" xr:uid="{9976C939-EB9B-46C1-899B-BB520C4ED99A}"/>
    <cellStyle name="Comma 892 2 2 2" xfId="9461" xr:uid="{DE20EE21-1711-4DD2-B57E-B5B02CBC4BDE}"/>
    <cellStyle name="Comma 892 2 2 2 2" xfId="19813" xr:uid="{7D8A925B-F064-4ECF-8A69-483BE397797E}"/>
    <cellStyle name="Comma 892 2 2 3" xfId="14638" xr:uid="{3707A808-BAE9-4077-8B4E-D7037A5DB71D}"/>
    <cellStyle name="Comma 892 2 3" xfId="7403" xr:uid="{27C237FF-955F-4D39-85B9-2142FE6B8508}"/>
    <cellStyle name="Comma 892 2 3 2" xfId="17755" xr:uid="{7DEF3192-C10C-482E-8712-855703B6D452}"/>
    <cellStyle name="Comma 892 2 4" xfId="12580" xr:uid="{60E201B5-8D65-412D-85ED-4849D755E33E}"/>
    <cellStyle name="Comma 892 3" xfId="3198" xr:uid="{784A9328-E9A0-4154-A255-BF719C26E227}"/>
    <cellStyle name="Comma 892 3 2" xfId="8431" xr:uid="{A1AC8CB4-B13D-48F9-8DAA-331C47043C3F}"/>
    <cellStyle name="Comma 892 3 2 2" xfId="18783" xr:uid="{2A0188FE-52CE-4B8B-8D8E-B93867CFD35E}"/>
    <cellStyle name="Comma 892 3 3" xfId="13608" xr:uid="{EF4ECDD5-CEC0-4DF9-B546-68ABDACF7A51}"/>
    <cellStyle name="Comma 892 4" xfId="5324" xr:uid="{B425DA5A-B406-4CB3-92AC-5C8E3CCD1798}"/>
    <cellStyle name="Comma 892 4 2" xfId="10500" xr:uid="{E9385202-2A06-4D01-B8B7-5771C86F7546}"/>
    <cellStyle name="Comma 892 4 2 2" xfId="20852" xr:uid="{A5B5E288-D339-4446-8AB7-A5096DB26AE3}"/>
    <cellStyle name="Comma 892 4 3" xfId="15676" xr:uid="{1CCE7EE0-9093-4BAC-9700-5E2CC54711D7}"/>
    <cellStyle name="Comma 892 5" xfId="6372" xr:uid="{68DC3209-E56A-4DE3-858E-767A2A0E8FFA}"/>
    <cellStyle name="Comma 892 5 2" xfId="16724" xr:uid="{240D0453-A3B3-40C3-A4DA-46D81A15407E}"/>
    <cellStyle name="Comma 892 6" xfId="11550" xr:uid="{EE70F11A-37F5-448F-9AA6-8B5FB7ED58E3}"/>
    <cellStyle name="Comma 893" xfId="1133" xr:uid="{D82C00BE-5DDC-481C-B31D-627C523451AF}"/>
    <cellStyle name="Comma 893 2" xfId="2171" xr:uid="{9D6446F4-5B77-4554-96B2-299AC2BCC1A9}"/>
    <cellStyle name="Comma 893 2 2" xfId="4229" xr:uid="{F70C48BB-CDEB-4886-99DB-0FC731E7A51F}"/>
    <cellStyle name="Comma 893 2 2 2" xfId="9462" xr:uid="{52CD4E4E-6A23-419C-9E87-6852A7A8E013}"/>
    <cellStyle name="Comma 893 2 2 2 2" xfId="19814" xr:uid="{036DF91E-41FF-4394-8726-B639D7890153}"/>
    <cellStyle name="Comma 893 2 2 3" xfId="14639" xr:uid="{DEE26FF9-B0E1-4F29-B85B-3092C9BCE79F}"/>
    <cellStyle name="Comma 893 2 3" xfId="7404" xr:uid="{BAB31A3B-3FAF-478C-8024-C6112772AB11}"/>
    <cellStyle name="Comma 893 2 3 2" xfId="17756" xr:uid="{7C1F2B82-52B9-43F9-9712-24D6192BE235}"/>
    <cellStyle name="Comma 893 2 4" xfId="12581" xr:uid="{888D8BAE-5184-459F-9A4A-242B9E59A442}"/>
    <cellStyle name="Comma 893 3" xfId="3199" xr:uid="{C0F032EF-A28C-408D-94EE-0CF6E43A976F}"/>
    <cellStyle name="Comma 893 3 2" xfId="8432" xr:uid="{1FA69549-D2A8-48E4-BF3C-1C3AF15A37B3}"/>
    <cellStyle name="Comma 893 3 2 2" xfId="18784" xr:uid="{DAF3CAEC-29E0-4015-A934-78806EC130CA}"/>
    <cellStyle name="Comma 893 3 3" xfId="13609" xr:uid="{F9FAA717-9F0F-46BA-836B-013F0E4F54F6}"/>
    <cellStyle name="Comma 893 4" xfId="5325" xr:uid="{29A420F4-0C67-4E6D-B1E3-8132F6B2B925}"/>
    <cellStyle name="Comma 893 4 2" xfId="10501" xr:uid="{867425A9-85BC-4A1C-8E9F-F9832E55822A}"/>
    <cellStyle name="Comma 893 4 2 2" xfId="20853" xr:uid="{F364AAA2-5C80-40D9-A6A5-FD1B5034A112}"/>
    <cellStyle name="Comma 893 4 3" xfId="15677" xr:uid="{9E4894F0-B4E9-4952-AE28-6C80E17666D9}"/>
    <cellStyle name="Comma 893 5" xfId="6373" xr:uid="{A65A87E8-2530-4448-AE8A-004E5B99FDFC}"/>
    <cellStyle name="Comma 893 5 2" xfId="16725" xr:uid="{2BE6B48F-870D-4BE3-9177-698C9D1D2CF8}"/>
    <cellStyle name="Comma 893 6" xfId="11551" xr:uid="{14967BC8-6A88-4708-93DD-FC97B9B940C6}"/>
    <cellStyle name="Comma 894" xfId="1134" xr:uid="{6EC63375-1221-41FD-85FD-5DF548D80116}"/>
    <cellStyle name="Comma 894 2" xfId="2172" xr:uid="{4FF0CDB6-E667-4860-8868-4B53844C80A5}"/>
    <cellStyle name="Comma 894 2 2" xfId="4230" xr:uid="{3100D32B-04C2-4FDC-B0CC-9AAA64F664E5}"/>
    <cellStyle name="Comma 894 2 2 2" xfId="9463" xr:uid="{58C7DC68-E42F-4D45-BE3C-050E7CD7D9E8}"/>
    <cellStyle name="Comma 894 2 2 2 2" xfId="19815" xr:uid="{6DD5727F-7A1F-4E16-AB6D-1155ACEE1E84}"/>
    <cellStyle name="Comma 894 2 2 3" xfId="14640" xr:uid="{3DFA7CA9-94F1-46C5-8248-1A4B4F7F0C58}"/>
    <cellStyle name="Comma 894 2 3" xfId="7405" xr:uid="{A907AE39-7C3D-458A-A241-F9E46CCAE0B2}"/>
    <cellStyle name="Comma 894 2 3 2" xfId="17757" xr:uid="{52781D76-93B5-4715-B9EB-06D96D985B56}"/>
    <cellStyle name="Comma 894 2 4" xfId="12582" xr:uid="{F351CEA9-61DD-4249-B28C-CC119039D302}"/>
    <cellStyle name="Comma 894 3" xfId="3200" xr:uid="{499BB89E-0BDF-4EDD-8428-6B183115BB96}"/>
    <cellStyle name="Comma 894 3 2" xfId="8433" xr:uid="{D1490752-19D8-4BB7-AD13-05F35E81C31E}"/>
    <cellStyle name="Comma 894 3 2 2" xfId="18785" xr:uid="{54FF7269-9369-49D8-9F66-08E74BD9996F}"/>
    <cellStyle name="Comma 894 3 3" xfId="13610" xr:uid="{9A0F4495-D172-4E42-ABB7-B6FF0085C524}"/>
    <cellStyle name="Comma 894 4" xfId="5326" xr:uid="{635A5F63-F88F-450A-B998-28A1FF0CC633}"/>
    <cellStyle name="Comma 894 4 2" xfId="10502" xr:uid="{5113AA96-77C7-4749-858A-CBC2854331E8}"/>
    <cellStyle name="Comma 894 4 2 2" xfId="20854" xr:uid="{12C8F3A4-7DAF-427C-986B-19DA3930C7F3}"/>
    <cellStyle name="Comma 894 4 3" xfId="15678" xr:uid="{510A8E8C-9671-46AD-9A8C-635E9CA1571D}"/>
    <cellStyle name="Comma 894 5" xfId="6374" xr:uid="{FC363E01-5D4C-4993-9A1D-0D46A19F5090}"/>
    <cellStyle name="Comma 894 5 2" xfId="16726" xr:uid="{90450344-D27E-4D9F-9780-C71825B8F665}"/>
    <cellStyle name="Comma 894 6" xfId="11552" xr:uid="{782E2EA7-C48B-4B5E-8E1A-65B949695490}"/>
    <cellStyle name="Comma 895" xfId="1135" xr:uid="{72BC37A3-7451-4DD5-9246-95ED0329CFE2}"/>
    <cellStyle name="Comma 895 2" xfId="2173" xr:uid="{7F044833-FE3D-4350-AB05-42F750A81DFD}"/>
    <cellStyle name="Comma 895 2 2" xfId="4231" xr:uid="{75188BD4-450E-4773-A4CD-6B363DBD41D9}"/>
    <cellStyle name="Comma 895 2 2 2" xfId="9464" xr:uid="{C7B72ED9-5D76-4DD7-B5C1-F4E01B131184}"/>
    <cellStyle name="Comma 895 2 2 2 2" xfId="19816" xr:uid="{8122D8BC-5415-49E3-B9F7-A53437A60E26}"/>
    <cellStyle name="Comma 895 2 2 3" xfId="14641" xr:uid="{DFBDD401-2505-4C1A-9AFC-0F4872098614}"/>
    <cellStyle name="Comma 895 2 3" xfId="7406" xr:uid="{9007FD09-C3A4-4768-B3EE-4E35E97C0259}"/>
    <cellStyle name="Comma 895 2 3 2" xfId="17758" xr:uid="{5A41CD75-99AA-4458-BE54-A46D5EA317E1}"/>
    <cellStyle name="Comma 895 2 4" xfId="12583" xr:uid="{9CB33397-DCF8-4009-B19C-BF5690539327}"/>
    <cellStyle name="Comma 895 3" xfId="3201" xr:uid="{28BC97E0-F7DD-4CBE-B9E9-C0377482618B}"/>
    <cellStyle name="Comma 895 3 2" xfId="8434" xr:uid="{FB83E3FD-E38D-4752-A5E0-FD869D86DA9D}"/>
    <cellStyle name="Comma 895 3 2 2" xfId="18786" xr:uid="{FE8DBFAA-71C6-4178-A36F-98F9E2459D06}"/>
    <cellStyle name="Comma 895 3 3" xfId="13611" xr:uid="{EF7AB8EE-5BEC-4779-8C6C-9E5B533AC6F7}"/>
    <cellStyle name="Comma 895 4" xfId="5327" xr:uid="{0FB145E1-C754-4299-ADB4-99DA2CC1BE4C}"/>
    <cellStyle name="Comma 895 4 2" xfId="10503" xr:uid="{28A4AAEC-65FC-431B-A844-E8D6D0916D0E}"/>
    <cellStyle name="Comma 895 4 2 2" xfId="20855" xr:uid="{16521D09-C26B-44F8-96BD-4CDB42EAF12E}"/>
    <cellStyle name="Comma 895 4 3" xfId="15679" xr:uid="{39014CF7-1B32-4BE5-8A01-EC29D5B0E7E9}"/>
    <cellStyle name="Comma 895 5" xfId="6375" xr:uid="{5ABBDC27-1F13-44C8-A7EB-ABBDF9E95E7B}"/>
    <cellStyle name="Comma 895 5 2" xfId="16727" xr:uid="{28B78FC0-AE48-4EB9-A5FA-CA9EC62D7432}"/>
    <cellStyle name="Comma 895 6" xfId="11553" xr:uid="{E5A0A986-C1B2-479D-AA85-4B6374CD92B4}"/>
    <cellStyle name="Comma 896" xfId="1136" xr:uid="{87DBD93E-5EED-4589-9D3D-6CD166D99A00}"/>
    <cellStyle name="Comma 896 2" xfId="2174" xr:uid="{49EE85F8-0AA5-4500-8BF1-16A10D85D1EB}"/>
    <cellStyle name="Comma 896 2 2" xfId="4232" xr:uid="{8B42BCB3-38AD-423B-BCC6-56973E06DE1F}"/>
    <cellStyle name="Comma 896 2 2 2" xfId="9465" xr:uid="{01A5E55A-0D78-486F-B174-FCE02DEEB099}"/>
    <cellStyle name="Comma 896 2 2 2 2" xfId="19817" xr:uid="{8E0CDEBD-9C74-4860-8AAA-FA23B5C6B66C}"/>
    <cellStyle name="Comma 896 2 2 3" xfId="14642" xr:uid="{CEF88A6F-7C98-4484-B730-A159DA56E559}"/>
    <cellStyle name="Comma 896 2 3" xfId="7407" xr:uid="{21FA0112-0699-47CE-A34F-ABAD6B1BB658}"/>
    <cellStyle name="Comma 896 2 3 2" xfId="17759" xr:uid="{51B7B6B5-CA29-468A-8F77-49CB7C3E3B42}"/>
    <cellStyle name="Comma 896 2 4" xfId="12584" xr:uid="{9D9A0292-9F83-4BED-BC92-C6DD4CB0B715}"/>
    <cellStyle name="Comma 896 3" xfId="3202" xr:uid="{D4BF07C4-99F7-494B-A30D-1801419CC542}"/>
    <cellStyle name="Comma 896 3 2" xfId="8435" xr:uid="{9AC8E7F4-2089-483C-A4E7-7467AF86BDFB}"/>
    <cellStyle name="Comma 896 3 2 2" xfId="18787" xr:uid="{B75ACAE7-E0F2-41AF-9A32-35EB939BF2B4}"/>
    <cellStyle name="Comma 896 3 3" xfId="13612" xr:uid="{E1427C57-E3AD-43C3-B92D-FA4E235B0F09}"/>
    <cellStyle name="Comma 896 4" xfId="5328" xr:uid="{5D515008-B18A-43EA-960A-2ED6C1E81388}"/>
    <cellStyle name="Comma 896 4 2" xfId="10504" xr:uid="{3CACB520-C69E-4F2A-8736-08664B135ECA}"/>
    <cellStyle name="Comma 896 4 2 2" xfId="20856" xr:uid="{FD947A06-3418-4074-A7E0-152FDCE93933}"/>
    <cellStyle name="Comma 896 4 3" xfId="15680" xr:uid="{FE800369-6DB4-44C3-97FA-82CB2EF422AF}"/>
    <cellStyle name="Comma 896 5" xfId="6376" xr:uid="{AF34D713-7341-4801-90EC-F6D74B17C20A}"/>
    <cellStyle name="Comma 896 5 2" xfId="16728" xr:uid="{6C69145B-3D72-4FFD-A26F-9300FCAA4571}"/>
    <cellStyle name="Comma 896 6" xfId="11554" xr:uid="{456BC2A4-8892-4154-AD33-E72CF1E4E086}"/>
    <cellStyle name="Comma 897" xfId="1137" xr:uid="{F070C5C9-03EF-4523-BED1-4004630A5485}"/>
    <cellStyle name="Comma 897 2" xfId="2175" xr:uid="{F0815505-8459-419B-9983-93E868EA64EE}"/>
    <cellStyle name="Comma 897 2 2" xfId="4233" xr:uid="{220371E7-87F4-4352-BFD9-70212AB339CF}"/>
    <cellStyle name="Comma 897 2 2 2" xfId="9466" xr:uid="{740FCD8C-3F20-4BB1-B96A-3D1247D507D5}"/>
    <cellStyle name="Comma 897 2 2 2 2" xfId="19818" xr:uid="{5934A445-9EC0-467F-98C3-9328D07BCDA4}"/>
    <cellStyle name="Comma 897 2 2 3" xfId="14643" xr:uid="{6EED2106-FD94-43B2-87D9-C8C129DB1319}"/>
    <cellStyle name="Comma 897 2 3" xfId="7408" xr:uid="{5CE0DA0E-76F2-4424-BB6B-7145CC477E2B}"/>
    <cellStyle name="Comma 897 2 3 2" xfId="17760" xr:uid="{F0397FA9-6F28-49C4-9D8E-3B0CF02BA870}"/>
    <cellStyle name="Comma 897 2 4" xfId="12585" xr:uid="{8D9FD41D-B4CE-4A9C-8CDD-D0AD09FB3D53}"/>
    <cellStyle name="Comma 897 3" xfId="3203" xr:uid="{1A03F1EB-2BB1-42B4-96FE-EB70BB6B8A4C}"/>
    <cellStyle name="Comma 897 3 2" xfId="8436" xr:uid="{E48E9280-67FB-49D7-BB9D-B953BF2DDDFE}"/>
    <cellStyle name="Comma 897 3 2 2" xfId="18788" xr:uid="{912FFC68-22E7-4F30-939A-BF22D0F76CCA}"/>
    <cellStyle name="Comma 897 3 3" xfId="13613" xr:uid="{138865E3-5B6B-466C-AE40-18B951AE8C65}"/>
    <cellStyle name="Comma 897 4" xfId="5329" xr:uid="{4154B1F8-1AB2-4407-833B-444F28BEE865}"/>
    <cellStyle name="Comma 897 4 2" xfId="10505" xr:uid="{A151FD1C-65F3-439A-BD76-C5116AF86B81}"/>
    <cellStyle name="Comma 897 4 2 2" xfId="20857" xr:uid="{4B6B3153-30F9-47D2-93CE-D85FAEA10638}"/>
    <cellStyle name="Comma 897 4 3" xfId="15681" xr:uid="{7A5199DF-711A-4F53-9C57-109107DE638D}"/>
    <cellStyle name="Comma 897 5" xfId="6377" xr:uid="{21025E29-599F-4D74-8022-928A2B3B5124}"/>
    <cellStyle name="Comma 897 5 2" xfId="16729" xr:uid="{C3A5D52E-3D61-492F-BF0B-CBDC6CD60A30}"/>
    <cellStyle name="Comma 897 6" xfId="11555" xr:uid="{ECFB4417-8D30-4A62-BC5A-65F02D143496}"/>
    <cellStyle name="Comma 898" xfId="1138" xr:uid="{EFE0475B-32A8-45DB-826C-16B39DD8C604}"/>
    <cellStyle name="Comma 898 2" xfId="2176" xr:uid="{134F206C-518F-479E-BA4A-EAF4B37226CF}"/>
    <cellStyle name="Comma 898 2 2" xfId="4234" xr:uid="{7D1E66C6-8F96-4304-BEBB-64B90F87F2E7}"/>
    <cellStyle name="Comma 898 2 2 2" xfId="9467" xr:uid="{492EA078-2B03-4A17-9CC3-9DCDF7CD75DD}"/>
    <cellStyle name="Comma 898 2 2 2 2" xfId="19819" xr:uid="{5A13AB41-7F32-4B3A-8560-ED989FA12B6C}"/>
    <cellStyle name="Comma 898 2 2 3" xfId="14644" xr:uid="{F2DBCAFA-F65F-4007-AB58-E47A717A9D60}"/>
    <cellStyle name="Comma 898 2 3" xfId="7409" xr:uid="{0D06845D-227E-481F-A243-317DD112B24C}"/>
    <cellStyle name="Comma 898 2 3 2" xfId="17761" xr:uid="{1C363816-76A5-4634-B4E6-3403BF8D1142}"/>
    <cellStyle name="Comma 898 2 4" xfId="12586" xr:uid="{8A5BAB7C-4C8A-4F90-80CA-3FAA9D66F27D}"/>
    <cellStyle name="Comma 898 3" xfId="3204" xr:uid="{C3C804EB-2AFB-4542-B6CF-9CB880DAA71E}"/>
    <cellStyle name="Comma 898 3 2" xfId="8437" xr:uid="{A66850DE-2F8D-4509-BA44-44CE0F57B013}"/>
    <cellStyle name="Comma 898 3 2 2" xfId="18789" xr:uid="{BDD7397B-6186-4917-95E5-1354ADFB71FF}"/>
    <cellStyle name="Comma 898 3 3" xfId="13614" xr:uid="{C701890C-E595-4970-A181-1633C3E0CE46}"/>
    <cellStyle name="Comma 898 4" xfId="5330" xr:uid="{1EC69873-4AAE-4DA9-8400-2D6A7E445192}"/>
    <cellStyle name="Comma 898 4 2" xfId="10506" xr:uid="{84642B34-F330-46F3-80A1-6649154C6A14}"/>
    <cellStyle name="Comma 898 4 2 2" xfId="20858" xr:uid="{6871E52B-C58E-4BA3-9D49-F2A21AADE28A}"/>
    <cellStyle name="Comma 898 4 3" xfId="15682" xr:uid="{961A3CA9-B6B2-4045-9F01-E1B014D0E23A}"/>
    <cellStyle name="Comma 898 5" xfId="6378" xr:uid="{B389863D-3FBE-4A17-BC6A-CD673695F0FC}"/>
    <cellStyle name="Comma 898 5 2" xfId="16730" xr:uid="{4BE6490E-CEB5-4BF5-A4F0-E5E93BAF71BC}"/>
    <cellStyle name="Comma 898 6" xfId="11556" xr:uid="{9B83F508-C608-4A8A-B07A-874A4193045E}"/>
    <cellStyle name="Comma 899" xfId="1139" xr:uid="{4D8D30F3-6277-4513-A90E-36B83A119819}"/>
    <cellStyle name="Comma 899 2" xfId="2177" xr:uid="{B6E73616-1306-43AF-B7A6-C80EDBAEF510}"/>
    <cellStyle name="Comma 899 2 2" xfId="4235" xr:uid="{41246519-5F83-4E27-8E83-7372FE20B9D0}"/>
    <cellStyle name="Comma 899 2 2 2" xfId="9468" xr:uid="{36E1ED0D-8C94-4FF8-8064-6CFB8612A535}"/>
    <cellStyle name="Comma 899 2 2 2 2" xfId="19820" xr:uid="{91C6F93B-9434-4394-8074-68CB5C6FBDA5}"/>
    <cellStyle name="Comma 899 2 2 3" xfId="14645" xr:uid="{03D952A2-0448-4833-98B4-CAD0C1F053BF}"/>
    <cellStyle name="Comma 899 2 3" xfId="7410" xr:uid="{0C25BCE7-4066-4C58-A077-1FE076B1B23A}"/>
    <cellStyle name="Comma 899 2 3 2" xfId="17762" xr:uid="{DC91ED6A-383F-4E0D-87AC-BF8EA724582C}"/>
    <cellStyle name="Comma 899 2 4" xfId="12587" xr:uid="{48A3C509-B1C9-44BD-BE4C-96B10C4D434F}"/>
    <cellStyle name="Comma 899 3" xfId="3205" xr:uid="{D01118BB-893F-4046-9DC9-1D500B31003A}"/>
    <cellStyle name="Comma 899 3 2" xfId="8438" xr:uid="{548BBC96-49A3-4F19-8596-A1F974010654}"/>
    <cellStyle name="Comma 899 3 2 2" xfId="18790" xr:uid="{B0FEB324-6F3D-46A7-8D9C-50897386D21D}"/>
    <cellStyle name="Comma 899 3 3" xfId="13615" xr:uid="{48CAD277-513B-4714-A4C8-7386B318C370}"/>
    <cellStyle name="Comma 899 4" xfId="5331" xr:uid="{5EC8976A-C195-417D-90BF-5A2A59FEB607}"/>
    <cellStyle name="Comma 899 4 2" xfId="10507" xr:uid="{2933EF7B-A577-4E19-9383-C4A4EA566F5E}"/>
    <cellStyle name="Comma 899 4 2 2" xfId="20859" xr:uid="{A76F98B4-0EF5-4F6E-83F9-36820716118F}"/>
    <cellStyle name="Comma 899 4 3" xfId="15683" xr:uid="{631604A9-A6C8-455A-B939-4372ED227FB6}"/>
    <cellStyle name="Comma 899 5" xfId="6379" xr:uid="{9D89F09E-7138-43E0-87C5-760F8CB7D513}"/>
    <cellStyle name="Comma 899 5 2" xfId="16731" xr:uid="{D51BC9D1-3DF7-4C33-96AC-608FC869C701}"/>
    <cellStyle name="Comma 899 6" xfId="11557" xr:uid="{E8D7B762-19FF-4554-B07D-55B2172C5BE5}"/>
    <cellStyle name="Comma 9" xfId="201" xr:uid="{0B417BF3-55D5-4F0E-91F1-00B5C81CA029}"/>
    <cellStyle name="Comma 9 2" xfId="1287" xr:uid="{D95332D4-63AD-4D56-9D16-681E6A3C2EA6}"/>
    <cellStyle name="Comma 9 2 2" xfId="3345" xr:uid="{B843E342-6F8F-45C5-B06F-2896AFA100C9}"/>
    <cellStyle name="Comma 9 2 2 2" xfId="8578" xr:uid="{48088713-6851-4D29-B1FA-AEB7C8E1175B}"/>
    <cellStyle name="Comma 9 2 2 2 2" xfId="18930" xr:uid="{7081CCB7-A24D-4646-BC9B-897DCA5F0ABC}"/>
    <cellStyle name="Comma 9 2 2 3" xfId="13755" xr:uid="{1227CFB1-8739-4B22-AE7B-219EDE8B3E62}"/>
    <cellStyle name="Comma 9 2 3" xfId="6520" xr:uid="{2161E49A-F945-4751-82C6-3F14CA6C8493}"/>
    <cellStyle name="Comma 9 2 3 2" xfId="16872" xr:uid="{C48B407F-BE8F-42EE-831C-7DA86046251F}"/>
    <cellStyle name="Comma 9 2 4" xfId="11697" xr:uid="{EF7FC77D-D403-42FF-8F62-774E0A702C68}"/>
    <cellStyle name="Comma 9 3" xfId="2315" xr:uid="{4DED934C-58B7-430B-8036-E9EC9ED70A51}"/>
    <cellStyle name="Comma 9 3 2" xfId="7548" xr:uid="{4ADADC4E-1C46-4EE1-BB9A-BD2516E56242}"/>
    <cellStyle name="Comma 9 3 2 2" xfId="17900" xr:uid="{E193AC2B-C5FC-4AA0-9032-0FEF8AE2062A}"/>
    <cellStyle name="Comma 9 3 3" xfId="12725" xr:uid="{9FDD42E2-6B55-4AD4-BCE0-9DBE3254DD8E}"/>
    <cellStyle name="Comma 9 4" xfId="4441" xr:uid="{198EF511-C200-458A-9D68-5C8271AECDFA}"/>
    <cellStyle name="Comma 9 4 2" xfId="9617" xr:uid="{7DD0DAB8-3690-47B9-BB44-364BC8AB1FE6}"/>
    <cellStyle name="Comma 9 4 2 2" xfId="19969" xr:uid="{2E4DECDC-D99B-4E7D-B80C-9AD6D85F71D7}"/>
    <cellStyle name="Comma 9 4 3" xfId="14793" xr:uid="{0F493530-B961-4238-9771-9FF7F1CF5A1D}"/>
    <cellStyle name="Comma 9 5" xfId="5489" xr:uid="{E789512B-7C0B-4C9B-B8A7-EE1D75B5837D}"/>
    <cellStyle name="Comma 9 5 2" xfId="15841" xr:uid="{B1F95E9B-D73A-41AA-8FCE-B6DC3B7DF29D}"/>
    <cellStyle name="Comma 9 6" xfId="10667" xr:uid="{D7300158-AF36-482A-BE22-3EF185E9BA79}"/>
    <cellStyle name="Comma 90" xfId="304" xr:uid="{43A550A1-E5E4-4020-98A9-D3E5432BF125}"/>
    <cellStyle name="Comma 90 2" xfId="1368" xr:uid="{E2886A9D-1971-4401-BC8A-E909FEBE62ED}"/>
    <cellStyle name="Comma 90 2 2" xfId="3426" xr:uid="{FEE8796E-4A4F-46B8-B0CE-7AE6AF87B1D2}"/>
    <cellStyle name="Comma 90 2 2 2" xfId="8659" xr:uid="{0B69F4A9-6280-46E6-91F5-4E006D246432}"/>
    <cellStyle name="Comma 90 2 2 2 2" xfId="19011" xr:uid="{A3FF021C-D4D9-42EC-A874-C7D2BBF1C1E4}"/>
    <cellStyle name="Comma 90 2 2 3" xfId="13836" xr:uid="{94B2BCBE-CC6C-478D-94CD-6BC86B792124}"/>
    <cellStyle name="Comma 90 2 3" xfId="6601" xr:uid="{4616A48F-9919-4638-A84E-16103CFE0AC9}"/>
    <cellStyle name="Comma 90 2 3 2" xfId="16953" xr:uid="{5FF22A57-F287-4B97-8B4A-1010894A73C1}"/>
    <cellStyle name="Comma 90 2 4" xfId="11778" xr:uid="{BC673C34-B9EE-4975-944C-AC4C5CA94602}"/>
    <cellStyle name="Comma 90 3" xfId="2396" xr:uid="{7CA8C4C9-A77F-40FE-B184-E6F5772D4F61}"/>
    <cellStyle name="Comma 90 3 2" xfId="7629" xr:uid="{C5681205-E925-4F18-A819-6555308C9B49}"/>
    <cellStyle name="Comma 90 3 2 2" xfId="17981" xr:uid="{250D634C-82D3-4BEF-AC78-C68A1298142C}"/>
    <cellStyle name="Comma 90 3 3" xfId="12806" xr:uid="{4BB0696F-B8CB-4627-AD77-85A963EC35BA}"/>
    <cellStyle name="Comma 90 4" xfId="4522" xr:uid="{DF1E2311-7D83-48D3-8518-FB3C93FA230F}"/>
    <cellStyle name="Comma 90 4 2" xfId="9698" xr:uid="{E4567038-D070-4B19-B32C-8B97EFEB551B}"/>
    <cellStyle name="Comma 90 4 2 2" xfId="20050" xr:uid="{EE775143-B13D-45A6-BB61-5586CA645A89}"/>
    <cellStyle name="Comma 90 4 3" xfId="14874" xr:uid="{AEA11A5B-6364-4BFA-A49E-A2F70B217567}"/>
    <cellStyle name="Comma 90 5" xfId="5570" xr:uid="{C68FB773-4793-4F08-9D99-EF52C3844C74}"/>
    <cellStyle name="Comma 90 5 2" xfId="15922" xr:uid="{A984C140-3CEF-4D05-9B80-E702EF366681}"/>
    <cellStyle name="Comma 90 6" xfId="10748" xr:uid="{76179CEE-4020-4F58-9A87-DEC9C71955F4}"/>
    <cellStyle name="Comma 900" xfId="1140" xr:uid="{DF6FC738-502D-4C04-AE1F-37BB16EC3398}"/>
    <cellStyle name="Comma 900 2" xfId="2178" xr:uid="{89458137-236C-4D58-8771-2B929CE76FFD}"/>
    <cellStyle name="Comma 900 2 2" xfId="4236" xr:uid="{63A55369-3BDC-43D6-B7E8-BC35C10933D7}"/>
    <cellStyle name="Comma 900 2 2 2" xfId="9469" xr:uid="{49D2B6B4-5924-49D5-B8FF-9E43B88FCC12}"/>
    <cellStyle name="Comma 900 2 2 2 2" xfId="19821" xr:uid="{9D7A94EF-588E-460B-B79B-67C919CA1FE5}"/>
    <cellStyle name="Comma 900 2 2 3" xfId="14646" xr:uid="{FFEAEF53-F337-4229-B0A8-A3E5D0A108C6}"/>
    <cellStyle name="Comma 900 2 3" xfId="7411" xr:uid="{FDAFE1E4-F503-446A-9F88-32D3BDD32424}"/>
    <cellStyle name="Comma 900 2 3 2" xfId="17763" xr:uid="{B871DEE5-8D2D-450B-BB29-11BAD838A3F9}"/>
    <cellStyle name="Comma 900 2 4" xfId="12588" xr:uid="{68126A51-E736-49D2-A4DA-7933D3CBC8E1}"/>
    <cellStyle name="Comma 900 3" xfId="3206" xr:uid="{51B527E2-A701-413D-946E-A3F58F8B0F60}"/>
    <cellStyle name="Comma 900 3 2" xfId="8439" xr:uid="{3A36C772-61BE-44F5-99EC-FB7121730474}"/>
    <cellStyle name="Comma 900 3 2 2" xfId="18791" xr:uid="{47530988-11B1-4669-8754-D557A9B3CFC1}"/>
    <cellStyle name="Comma 900 3 3" xfId="13616" xr:uid="{7A91236D-490F-450F-8606-15EA8A76D21F}"/>
    <cellStyle name="Comma 900 4" xfId="5332" xr:uid="{ABB751EE-60E2-42BD-BD78-64ABF792C97D}"/>
    <cellStyle name="Comma 900 4 2" xfId="10508" xr:uid="{DEB9DF9B-3A7D-47E3-B447-DBB94DF9E310}"/>
    <cellStyle name="Comma 900 4 2 2" xfId="20860" xr:uid="{3378E069-8A90-4D35-9F78-4AA63E4A0D23}"/>
    <cellStyle name="Comma 900 4 3" xfId="15684" xr:uid="{3F84C4EA-7EE2-422D-83F5-3CB179210206}"/>
    <cellStyle name="Comma 900 5" xfId="6380" xr:uid="{D26ED71D-1461-411E-90D7-62669CD6FBC8}"/>
    <cellStyle name="Comma 900 5 2" xfId="16732" xr:uid="{9137D57E-24A4-46B4-9B21-14D35BD4812E}"/>
    <cellStyle name="Comma 900 6" xfId="11558" xr:uid="{9E05F89C-4EB7-4880-BDDB-445B6D4A70BE}"/>
    <cellStyle name="Comma 901" xfId="1141" xr:uid="{3763F0D5-4EAE-494E-A488-462BC032F4E3}"/>
    <cellStyle name="Comma 901 2" xfId="2179" xr:uid="{A4730331-2851-4C7E-9AB5-A13162C363DB}"/>
    <cellStyle name="Comma 901 2 2" xfId="4237" xr:uid="{552ECBD3-B80E-4207-9176-5BFDA5E50F77}"/>
    <cellStyle name="Comma 901 2 2 2" xfId="9470" xr:uid="{B39CDE76-1B53-4EB2-8B0C-833713D07C70}"/>
    <cellStyle name="Comma 901 2 2 2 2" xfId="19822" xr:uid="{4E3B9E7D-136D-4404-A722-662480A6851D}"/>
    <cellStyle name="Comma 901 2 2 3" xfId="14647" xr:uid="{50116BC0-7E7F-4F64-9C09-0103D93E6E15}"/>
    <cellStyle name="Comma 901 2 3" xfId="7412" xr:uid="{5A6787EF-6887-47B5-8F8F-F9DEBF6D84BF}"/>
    <cellStyle name="Comma 901 2 3 2" xfId="17764" xr:uid="{01EA5998-887B-451E-97DE-BB26EF8A74A5}"/>
    <cellStyle name="Comma 901 2 4" xfId="12589" xr:uid="{62915B44-C6C4-4954-974C-8F07A4A160AE}"/>
    <cellStyle name="Comma 901 3" xfId="3207" xr:uid="{F8E38CA6-C144-42C0-9412-A1578F96ED0C}"/>
    <cellStyle name="Comma 901 3 2" xfId="8440" xr:uid="{8E5E5734-132D-40E0-A12D-74A04D0EB70B}"/>
    <cellStyle name="Comma 901 3 2 2" xfId="18792" xr:uid="{E6C9F694-134B-479A-AD53-C6ACD9DAC60B}"/>
    <cellStyle name="Comma 901 3 3" xfId="13617" xr:uid="{42F4C340-C1F2-4CC2-8451-318A160CFC14}"/>
    <cellStyle name="Comma 901 4" xfId="5333" xr:uid="{395ADC8C-AEB8-42CE-9DED-891ED4854953}"/>
    <cellStyle name="Comma 901 4 2" xfId="10509" xr:uid="{A6CE3818-2032-4C48-BD1B-8FBEF8179D6D}"/>
    <cellStyle name="Comma 901 4 2 2" xfId="20861" xr:uid="{24D638C6-A90B-4BFA-A621-A450080F92BA}"/>
    <cellStyle name="Comma 901 4 3" xfId="15685" xr:uid="{2DE3375E-A9FE-4B24-83FA-FB87D5C089BC}"/>
    <cellStyle name="Comma 901 5" xfId="6381" xr:uid="{C724CEB0-CC9F-4552-AFEA-2282686264E3}"/>
    <cellStyle name="Comma 901 5 2" xfId="16733" xr:uid="{A099CE50-DF8F-45B0-B1B9-2D4AB56DF823}"/>
    <cellStyle name="Comma 901 6" xfId="11559" xr:uid="{98024A01-76EB-4CAE-82C0-2FE9E0410455}"/>
    <cellStyle name="Comma 902" xfId="1142" xr:uid="{D2AB9CD7-39E6-4C72-80E5-35D55C7DF795}"/>
    <cellStyle name="Comma 902 2" xfId="2180" xr:uid="{E7953947-ED48-46F9-A2DA-2E388729EBC4}"/>
    <cellStyle name="Comma 902 2 2" xfId="4238" xr:uid="{1B713E2B-83B1-4BEC-ADA1-C20E299D469E}"/>
    <cellStyle name="Comma 902 2 2 2" xfId="9471" xr:uid="{7C199A88-A70C-44F6-AE44-7A8AE19A5D36}"/>
    <cellStyle name="Comma 902 2 2 2 2" xfId="19823" xr:uid="{8DA60553-DB19-4A3A-BB79-5D30BBE493D7}"/>
    <cellStyle name="Comma 902 2 2 3" xfId="14648" xr:uid="{9656A871-C989-41A9-A3E0-EF6EE31BCB5F}"/>
    <cellStyle name="Comma 902 2 3" xfId="7413" xr:uid="{AFDB9B79-442F-475D-99DD-20F0004BD426}"/>
    <cellStyle name="Comma 902 2 3 2" xfId="17765" xr:uid="{0553A265-2C88-4C2A-98F8-6F19B7FD141A}"/>
    <cellStyle name="Comma 902 2 4" xfId="12590" xr:uid="{3BB08522-2504-4993-9D2C-70676C34768E}"/>
    <cellStyle name="Comma 902 3" xfId="3208" xr:uid="{FA1F33E7-A3E6-4033-B2FD-25DCD2972759}"/>
    <cellStyle name="Comma 902 3 2" xfId="8441" xr:uid="{09CD1656-B3CB-47CB-B328-2BBE02B878C2}"/>
    <cellStyle name="Comma 902 3 2 2" xfId="18793" xr:uid="{0EAFCB0A-52B2-49ED-81E2-52244E015D72}"/>
    <cellStyle name="Comma 902 3 3" xfId="13618" xr:uid="{CE00A751-90F1-4FD2-AA3A-51C0B76E310B}"/>
    <cellStyle name="Comma 902 4" xfId="5334" xr:uid="{7004E5FB-EBEB-4EC5-8E71-B057D986FDC7}"/>
    <cellStyle name="Comma 902 4 2" xfId="10510" xr:uid="{A73C6AF5-0CE3-41BD-8B3A-3D21EB82237A}"/>
    <cellStyle name="Comma 902 4 2 2" xfId="20862" xr:uid="{D07B9A9F-89EE-4C17-A44C-6F017501DB93}"/>
    <cellStyle name="Comma 902 4 3" xfId="15686" xr:uid="{D8CA2AB7-09BF-4A0F-BBA9-ACE9FDE103FD}"/>
    <cellStyle name="Comma 902 5" xfId="6382" xr:uid="{BD0B3800-B8B8-4110-AFEC-C6A7A8B33A5A}"/>
    <cellStyle name="Comma 902 5 2" xfId="16734" xr:uid="{3FCBE5E3-7E0F-44EB-AAA6-76C139CF2B13}"/>
    <cellStyle name="Comma 902 6" xfId="11560" xr:uid="{94A895B2-1305-488E-8C17-8E2E1A6EE7B9}"/>
    <cellStyle name="Comma 903" xfId="1143" xr:uid="{F9220388-261C-455B-AF16-EC3F9049A2F1}"/>
    <cellStyle name="Comma 903 2" xfId="2181" xr:uid="{ACEC06EF-7B46-4D08-9726-A6C80816DF5F}"/>
    <cellStyle name="Comma 903 2 2" xfId="4239" xr:uid="{50943DBD-9BF4-4367-B506-EFBB6106509B}"/>
    <cellStyle name="Comma 903 2 2 2" xfId="9472" xr:uid="{C6E86FB5-31B0-4846-BB39-425FDF86B8B6}"/>
    <cellStyle name="Comma 903 2 2 2 2" xfId="19824" xr:uid="{EB794F78-07DC-4233-AD45-1DAADA077D9E}"/>
    <cellStyle name="Comma 903 2 2 3" xfId="14649" xr:uid="{B4F97F3D-8052-42AF-B19E-486A72FE25D2}"/>
    <cellStyle name="Comma 903 2 3" xfId="7414" xr:uid="{FEC99CFB-F129-43AC-AE70-B2D39348B965}"/>
    <cellStyle name="Comma 903 2 3 2" xfId="17766" xr:uid="{9CAA5D6B-67B3-4815-9112-9126DA2D91CC}"/>
    <cellStyle name="Comma 903 2 4" xfId="12591" xr:uid="{EB7DA5B2-3C47-45D0-BF65-9F26AB863110}"/>
    <cellStyle name="Comma 903 3" xfId="3209" xr:uid="{2C122D34-B2BD-4A87-BAC4-0155AB2DC8C2}"/>
    <cellStyle name="Comma 903 3 2" xfId="8442" xr:uid="{19DD6711-4E4C-4FE9-970A-256F23A7AF97}"/>
    <cellStyle name="Comma 903 3 2 2" xfId="18794" xr:uid="{60940B3F-C868-4008-A4D4-A909A1EF6C73}"/>
    <cellStyle name="Comma 903 3 3" xfId="13619" xr:uid="{8CC897D7-A9BD-4326-A0BB-39BCB233B381}"/>
    <cellStyle name="Comma 903 4" xfId="5335" xr:uid="{2059FEA9-C984-4BBF-95C2-13FA9D95854F}"/>
    <cellStyle name="Comma 903 4 2" xfId="10511" xr:uid="{DF3429FE-EE1A-4776-A58A-371868219FA7}"/>
    <cellStyle name="Comma 903 4 2 2" xfId="20863" xr:uid="{05A57279-AE9E-4304-8A78-F34980283743}"/>
    <cellStyle name="Comma 903 4 3" xfId="15687" xr:uid="{E4029B83-0E94-422A-9844-7D3CECD6B886}"/>
    <cellStyle name="Comma 903 5" xfId="6383" xr:uid="{9B2E230F-D575-4841-985F-F87276F58483}"/>
    <cellStyle name="Comma 903 5 2" xfId="16735" xr:uid="{48526BE0-D3C4-48DC-B632-DC5E690852C1}"/>
    <cellStyle name="Comma 903 6" xfId="11561" xr:uid="{87E7A0EC-F687-4285-93A3-DA7EFE072EF9}"/>
    <cellStyle name="Comma 904" xfId="1144" xr:uid="{4B1B2358-0203-40AE-996F-8D77B76D1F70}"/>
    <cellStyle name="Comma 904 2" xfId="2182" xr:uid="{18CC3C5A-4705-4495-9917-255E13526D21}"/>
    <cellStyle name="Comma 904 2 2" xfId="4240" xr:uid="{85701341-BFBA-4E77-8737-C162CCD3E5E8}"/>
    <cellStyle name="Comma 904 2 2 2" xfId="9473" xr:uid="{61EDBB55-FF18-4C0A-ABDA-CA96638E8854}"/>
    <cellStyle name="Comma 904 2 2 2 2" xfId="19825" xr:uid="{E8FFFC66-CD52-47A3-924C-25C5C1B989FD}"/>
    <cellStyle name="Comma 904 2 2 3" xfId="14650" xr:uid="{854B9D6E-26EC-4DCB-9613-425C722D56BB}"/>
    <cellStyle name="Comma 904 2 3" xfId="7415" xr:uid="{706B7533-3248-482A-ADD0-C252A43083EF}"/>
    <cellStyle name="Comma 904 2 3 2" xfId="17767" xr:uid="{17B7F6E0-7150-4790-930B-47F6172A992F}"/>
    <cellStyle name="Comma 904 2 4" xfId="12592" xr:uid="{21924884-D6B1-4697-970A-E1C8C2460E44}"/>
    <cellStyle name="Comma 904 3" xfId="3210" xr:uid="{EC6AECE0-F71C-4EA4-B002-09718AC76C5F}"/>
    <cellStyle name="Comma 904 3 2" xfId="8443" xr:uid="{F3D4C4B7-D150-44B4-B383-EAA45E8A690A}"/>
    <cellStyle name="Comma 904 3 2 2" xfId="18795" xr:uid="{1D8017EA-7523-489A-911E-2272B613FC57}"/>
    <cellStyle name="Comma 904 3 3" xfId="13620" xr:uid="{85B04324-54F3-4464-A75A-53E786ED33CC}"/>
    <cellStyle name="Comma 904 4" xfId="5336" xr:uid="{E89D64AE-1F23-4615-8A52-87CF5C9496CF}"/>
    <cellStyle name="Comma 904 4 2" xfId="10512" xr:uid="{3011D386-AA3D-4AD8-B234-7C60D29189EB}"/>
    <cellStyle name="Comma 904 4 2 2" xfId="20864" xr:uid="{5A702D80-014D-4AC3-9E49-BA757647F411}"/>
    <cellStyle name="Comma 904 4 3" xfId="15688" xr:uid="{3F27F091-E013-4E3D-A339-09E8A03077D8}"/>
    <cellStyle name="Comma 904 5" xfId="6384" xr:uid="{D8906478-BE5A-4A3D-A6CE-695191EAF7E4}"/>
    <cellStyle name="Comma 904 5 2" xfId="16736" xr:uid="{0836A164-BC50-43B7-A3CD-7E30170E3796}"/>
    <cellStyle name="Comma 904 6" xfId="11562" xr:uid="{CB314FFA-D38D-4620-8864-ECDE49F20DF6}"/>
    <cellStyle name="Comma 905" xfId="1145" xr:uid="{F7A34768-5DB3-44B0-A0D1-694C0D610F67}"/>
    <cellStyle name="Comma 905 2" xfId="2183" xr:uid="{71D3961A-06FC-4EF4-BA9D-A8C2A3051BD7}"/>
    <cellStyle name="Comma 905 2 2" xfId="4241" xr:uid="{C9D9A240-2519-4635-A9D5-74C758E7E938}"/>
    <cellStyle name="Comma 905 2 2 2" xfId="9474" xr:uid="{7E78C9DE-800E-4CBA-99FF-9ADFA4B36D72}"/>
    <cellStyle name="Comma 905 2 2 2 2" xfId="19826" xr:uid="{54E515BC-4311-44E0-BEDC-5D6681D27036}"/>
    <cellStyle name="Comma 905 2 2 3" xfId="14651" xr:uid="{B3734EB0-CFFC-4898-9F05-893F6447F7A7}"/>
    <cellStyle name="Comma 905 2 3" xfId="7416" xr:uid="{07240115-0960-4F6F-A3DA-B5D2592ED705}"/>
    <cellStyle name="Comma 905 2 3 2" xfId="17768" xr:uid="{18B21ABE-5790-4EAF-B228-310F2E42D017}"/>
    <cellStyle name="Comma 905 2 4" xfId="12593" xr:uid="{D144E398-F774-462B-B8FB-61E45608F4AB}"/>
    <cellStyle name="Comma 905 3" xfId="3211" xr:uid="{37CB60EB-0C76-48F9-A5CA-866C0E4F9E65}"/>
    <cellStyle name="Comma 905 3 2" xfId="8444" xr:uid="{9660725C-B6F0-432E-B7E8-122989DA0111}"/>
    <cellStyle name="Comma 905 3 2 2" xfId="18796" xr:uid="{94EFEFBC-A690-4A1D-AC89-20F520EEDC44}"/>
    <cellStyle name="Comma 905 3 3" xfId="13621" xr:uid="{74BC84F5-2EC6-4F88-A1F5-83ECA4011C7E}"/>
    <cellStyle name="Comma 905 4" xfId="5337" xr:uid="{63541C31-5187-4C05-B710-557CC27E3A18}"/>
    <cellStyle name="Comma 905 4 2" xfId="10513" xr:uid="{CD01493C-0BC4-47BD-AEA5-FAB200674808}"/>
    <cellStyle name="Comma 905 4 2 2" xfId="20865" xr:uid="{899FF2D2-2CDE-48C9-AEBC-84B5B3BF738B}"/>
    <cellStyle name="Comma 905 4 3" xfId="15689" xr:uid="{F8CB0220-E703-43C2-B595-F10917EBF56E}"/>
    <cellStyle name="Comma 905 5" xfId="6385" xr:uid="{8F9590F7-E27A-402E-B517-88844820ABE0}"/>
    <cellStyle name="Comma 905 5 2" xfId="16737" xr:uid="{6B1860A8-02D8-403A-91C2-BA0C3288BAF5}"/>
    <cellStyle name="Comma 905 6" xfId="11563" xr:uid="{FB73DE65-2934-49BC-B568-FBA1F5AE6356}"/>
    <cellStyle name="Comma 906" xfId="1146" xr:uid="{8DE6887D-82E4-4C85-885F-0B4CF669FBE5}"/>
    <cellStyle name="Comma 906 2" xfId="2184" xr:uid="{C63E31FB-F7D9-40C6-8C73-71019AEC41DE}"/>
    <cellStyle name="Comma 906 2 2" xfId="4242" xr:uid="{D993853C-58BA-499B-8F70-90FB29FFE8DD}"/>
    <cellStyle name="Comma 906 2 2 2" xfId="9475" xr:uid="{15E10349-77B1-429C-85C1-BC45F3684C8D}"/>
    <cellStyle name="Comma 906 2 2 2 2" xfId="19827" xr:uid="{4FD48012-8CD7-4E2F-88AC-16CD2FE4F384}"/>
    <cellStyle name="Comma 906 2 2 3" xfId="14652" xr:uid="{CC618BA1-A540-4815-BECB-CC77F78C06E5}"/>
    <cellStyle name="Comma 906 2 3" xfId="7417" xr:uid="{78B0547D-51F4-44BB-9767-3B42173B00F0}"/>
    <cellStyle name="Comma 906 2 3 2" xfId="17769" xr:uid="{20823FCC-DABC-46EB-8F8C-6626E7C0055F}"/>
    <cellStyle name="Comma 906 2 4" xfId="12594" xr:uid="{CC234428-DC92-47FE-924B-9F5891BBD143}"/>
    <cellStyle name="Comma 906 3" xfId="3212" xr:uid="{2800D4B1-F92C-499B-86EE-2B3BA7CED49A}"/>
    <cellStyle name="Comma 906 3 2" xfId="8445" xr:uid="{5A03A796-A676-4B4C-A400-B6139B9A922D}"/>
    <cellStyle name="Comma 906 3 2 2" xfId="18797" xr:uid="{46BC9FF9-6377-4F6E-92DF-16139D0DAAFB}"/>
    <cellStyle name="Comma 906 3 3" xfId="13622" xr:uid="{7096F9AA-CB1B-481F-8796-EED974308AB3}"/>
    <cellStyle name="Comma 906 4" xfId="5338" xr:uid="{056C8D5B-E729-4863-878A-990E8898440A}"/>
    <cellStyle name="Comma 906 4 2" xfId="10514" xr:uid="{FCD5FE81-D7D9-4F20-BAA8-AA384DB6E8E8}"/>
    <cellStyle name="Comma 906 4 2 2" xfId="20866" xr:uid="{89D3E3C2-A7F4-49C2-BEA7-8232BBB8BB12}"/>
    <cellStyle name="Comma 906 4 3" xfId="15690" xr:uid="{1475954B-8F99-479A-86C5-26A6954A4D7E}"/>
    <cellStyle name="Comma 906 5" xfId="6386" xr:uid="{9936CB44-EEDF-46FB-BC6F-0C4DAADE751F}"/>
    <cellStyle name="Comma 906 5 2" xfId="16738" xr:uid="{FD6208AF-B9ED-4DEF-97E7-C73F39C2F5E1}"/>
    <cellStyle name="Comma 906 6" xfId="11564" xr:uid="{6271A961-65A7-4448-B6AC-C0161464A424}"/>
    <cellStyle name="Comma 907" xfId="1147" xr:uid="{CC8F0A5B-7392-4C87-AF34-69116FFB8CA1}"/>
    <cellStyle name="Comma 907 2" xfId="2185" xr:uid="{99C802EB-D6AD-4BD0-AC74-E454472DA532}"/>
    <cellStyle name="Comma 907 2 2" xfId="4243" xr:uid="{558FB060-F818-4E16-B01A-5871F66E95D8}"/>
    <cellStyle name="Comma 907 2 2 2" xfId="9476" xr:uid="{2620B2E9-976F-467D-AA39-BEF26E998685}"/>
    <cellStyle name="Comma 907 2 2 2 2" xfId="19828" xr:uid="{5C7415A5-1842-45FA-AD1C-99B940FA83F5}"/>
    <cellStyle name="Comma 907 2 2 3" xfId="14653" xr:uid="{EB048871-23D5-4D2E-8CE6-71CD46966984}"/>
    <cellStyle name="Comma 907 2 3" xfId="7418" xr:uid="{CA5652BB-06F2-4190-AE10-04FCC72DE84D}"/>
    <cellStyle name="Comma 907 2 3 2" xfId="17770" xr:uid="{CAA083EE-61CA-4A32-A706-BC95AB431CB1}"/>
    <cellStyle name="Comma 907 2 4" xfId="12595" xr:uid="{139EC866-622E-4866-B27E-06B4048FC400}"/>
    <cellStyle name="Comma 907 3" xfId="3213" xr:uid="{3CEE9718-5E53-43B0-B34E-7F378A100A26}"/>
    <cellStyle name="Comma 907 3 2" xfId="8446" xr:uid="{14A9B129-F5C3-4E33-B215-81B377B31C37}"/>
    <cellStyle name="Comma 907 3 2 2" xfId="18798" xr:uid="{F6BF3570-DCAF-414E-AE16-DED66F206298}"/>
    <cellStyle name="Comma 907 3 3" xfId="13623" xr:uid="{6750FEF7-AEF1-4432-B4F4-44A5B7623881}"/>
    <cellStyle name="Comma 907 4" xfId="5339" xr:uid="{EFC7CF37-57B8-4F1E-9575-4BA68E5520D3}"/>
    <cellStyle name="Comma 907 4 2" xfId="10515" xr:uid="{2897E569-1A19-4B23-A1CE-19133231A581}"/>
    <cellStyle name="Comma 907 4 2 2" xfId="20867" xr:uid="{1BF224DD-A1ED-4EC3-B028-E2E576ACAE75}"/>
    <cellStyle name="Comma 907 4 3" xfId="15691" xr:uid="{FB6DA18E-5938-47C9-A8BC-773B1F7F97AE}"/>
    <cellStyle name="Comma 907 5" xfId="6387" xr:uid="{9364D311-D9DA-4A40-9FC5-019A5219E7F2}"/>
    <cellStyle name="Comma 907 5 2" xfId="16739" xr:uid="{9C8B16D1-94C1-44B3-876D-1AE2C9669BD8}"/>
    <cellStyle name="Comma 907 6" xfId="11565" xr:uid="{53B43E57-538B-4220-96F8-1B4245CF2886}"/>
    <cellStyle name="Comma 908" xfId="1148" xr:uid="{7AFAF6A0-9915-4B0F-BA1F-63459610C437}"/>
    <cellStyle name="Comma 908 2" xfId="2186" xr:uid="{C5997784-91FC-4931-9D6A-EDA95B2163BE}"/>
    <cellStyle name="Comma 908 2 2" xfId="4244" xr:uid="{A0068722-93ED-44CC-B18D-4A2731C60F91}"/>
    <cellStyle name="Comma 908 2 2 2" xfId="9477" xr:uid="{0B8E075C-90BA-4643-83DB-FF501FD1AE81}"/>
    <cellStyle name="Comma 908 2 2 2 2" xfId="19829" xr:uid="{B63FCFDA-2929-4A7C-9EBA-FA3D14DF99FC}"/>
    <cellStyle name="Comma 908 2 2 3" xfId="14654" xr:uid="{B4BF785B-3A2E-4100-A9FE-C4C2E13ACE3B}"/>
    <cellStyle name="Comma 908 2 3" xfId="7419" xr:uid="{9CC1E107-27DC-41C7-A576-92616675858B}"/>
    <cellStyle name="Comma 908 2 3 2" xfId="17771" xr:uid="{E2780C10-B2F8-4EA8-8A70-C8B6DE0C6BD5}"/>
    <cellStyle name="Comma 908 2 4" xfId="12596" xr:uid="{6E388DF3-7773-4BCF-A55A-1078774A57B3}"/>
    <cellStyle name="Comma 908 3" xfId="3214" xr:uid="{DD80FF9F-78DD-480A-B31D-0DE18CD22B4C}"/>
    <cellStyle name="Comma 908 3 2" xfId="8447" xr:uid="{E71F9FBD-4C0E-46B0-9013-CD7C37AE9E4A}"/>
    <cellStyle name="Comma 908 3 2 2" xfId="18799" xr:uid="{6E271360-6DB4-4EA7-B91B-469C3E676343}"/>
    <cellStyle name="Comma 908 3 3" xfId="13624" xr:uid="{FFBDC19D-D7EE-47D8-85E7-FCD640797F0C}"/>
    <cellStyle name="Comma 908 4" xfId="5340" xr:uid="{BEB21D47-D7D7-4AB7-A486-DB0475EF2F0A}"/>
    <cellStyle name="Comma 908 4 2" xfId="10516" xr:uid="{1D9B7B03-A5AF-4A56-90BF-41085E625D45}"/>
    <cellStyle name="Comma 908 4 2 2" xfId="20868" xr:uid="{5A4C7734-BC8C-4FF5-B4A7-B42C5F8AA85B}"/>
    <cellStyle name="Comma 908 4 3" xfId="15692" xr:uid="{5231F6D8-DAC9-4CEE-9CCB-702BDE8F6AAC}"/>
    <cellStyle name="Comma 908 5" xfId="6388" xr:uid="{0616EEEB-A3B5-4053-8810-3626F77010A4}"/>
    <cellStyle name="Comma 908 5 2" xfId="16740" xr:uid="{1417902B-A11E-4655-BA6E-E1D536923775}"/>
    <cellStyle name="Comma 908 6" xfId="11566" xr:uid="{534EF4A0-C3DE-44B6-A05E-005B547D3A07}"/>
    <cellStyle name="Comma 909" xfId="1149" xr:uid="{AF43962F-CF7C-4B8C-9609-37F5D8E0986A}"/>
    <cellStyle name="Comma 909 2" xfId="2187" xr:uid="{42E740FF-D74E-4961-84A3-6F88674FDB41}"/>
    <cellStyle name="Comma 909 2 2" xfId="4245" xr:uid="{F7A50636-8D78-4CCB-B23C-D95A51AE5D30}"/>
    <cellStyle name="Comma 909 2 2 2" xfId="9478" xr:uid="{19B4F66D-4725-4023-91C9-495FD1F8E64C}"/>
    <cellStyle name="Comma 909 2 2 2 2" xfId="19830" xr:uid="{F3BD7919-E6F9-4575-B660-07AB7CCC309F}"/>
    <cellStyle name="Comma 909 2 2 3" xfId="14655" xr:uid="{E151E239-63CA-4182-9256-46144A8199FE}"/>
    <cellStyle name="Comma 909 2 3" xfId="7420" xr:uid="{C546742F-A6C5-4C5C-9747-4FC897B5CAD0}"/>
    <cellStyle name="Comma 909 2 3 2" xfId="17772" xr:uid="{8434B7ED-BD14-473D-88C6-2FCFB3AE44AD}"/>
    <cellStyle name="Comma 909 2 4" xfId="12597" xr:uid="{88224E8A-AD49-439C-9D50-7D3E2E0E016B}"/>
    <cellStyle name="Comma 909 3" xfId="3215" xr:uid="{4E08A254-3AA2-4F62-9B50-630AB2EE7541}"/>
    <cellStyle name="Comma 909 3 2" xfId="8448" xr:uid="{F295D041-D6F0-48FC-A5DD-AEF958BA2C7D}"/>
    <cellStyle name="Comma 909 3 2 2" xfId="18800" xr:uid="{42FF7A88-6679-401C-83DB-DBBD6640324D}"/>
    <cellStyle name="Comma 909 3 3" xfId="13625" xr:uid="{C5B96558-DAE4-4A1B-AE94-7350FEC73058}"/>
    <cellStyle name="Comma 909 4" xfId="5341" xr:uid="{E012A34A-04D5-491C-9279-E74635D5728A}"/>
    <cellStyle name="Comma 909 4 2" xfId="10517" xr:uid="{8EE52D50-A056-4D79-9415-5ACA9D6A7AFB}"/>
    <cellStyle name="Comma 909 4 2 2" xfId="20869" xr:uid="{E04DE8B7-0E42-47EF-9C3F-6F1898BE61EE}"/>
    <cellStyle name="Comma 909 4 3" xfId="15693" xr:uid="{FF3A336E-FA1F-4087-BC4B-52C4D965DB74}"/>
    <cellStyle name="Comma 909 5" xfId="6389" xr:uid="{50200CA2-8CFC-44F2-A181-C0D7CD63AE78}"/>
    <cellStyle name="Comma 909 5 2" xfId="16741" xr:uid="{D8EF000D-BD32-4C62-B009-E1651EC33D7E}"/>
    <cellStyle name="Comma 909 6" xfId="11567" xr:uid="{806D0394-1BA2-4316-BF1D-E719D2513DA0}"/>
    <cellStyle name="Comma 91" xfId="305" xr:uid="{079D1E42-628E-49CF-B2F9-D92C9F5B1FB9}"/>
    <cellStyle name="Comma 91 2" xfId="1369" xr:uid="{8357E2FB-1A45-4BE9-BEB7-7CF2F04F5126}"/>
    <cellStyle name="Comma 91 2 2" xfId="3427" xr:uid="{759A0D9E-4844-44AB-8173-02E5AC145AA3}"/>
    <cellStyle name="Comma 91 2 2 2" xfId="8660" xr:uid="{EE59580E-D5A8-4E01-BE3E-CA740624D67D}"/>
    <cellStyle name="Comma 91 2 2 2 2" xfId="19012" xr:uid="{B9FB90C2-8929-41D9-9A1E-3934B1AA2644}"/>
    <cellStyle name="Comma 91 2 2 3" xfId="13837" xr:uid="{250AE029-E440-4394-A7BE-BC84DF8F360D}"/>
    <cellStyle name="Comma 91 2 3" xfId="6602" xr:uid="{D8494076-A45D-4360-81F2-3961D810D8D0}"/>
    <cellStyle name="Comma 91 2 3 2" xfId="16954" xr:uid="{CAA290A9-8FB5-4768-ABC6-74BCB997247B}"/>
    <cellStyle name="Comma 91 2 4" xfId="11779" xr:uid="{BF97D486-5387-4304-AF86-2C271CFAB6D2}"/>
    <cellStyle name="Comma 91 3" xfId="2397" xr:uid="{F2556B3C-A1F6-470E-ACA7-090426121CD1}"/>
    <cellStyle name="Comma 91 3 2" xfId="7630" xr:uid="{BE092152-3245-4059-A8BF-906E4C490363}"/>
    <cellStyle name="Comma 91 3 2 2" xfId="17982" xr:uid="{D3FD328D-65F9-495D-9E04-FDC815567F92}"/>
    <cellStyle name="Comma 91 3 3" xfId="12807" xr:uid="{F1DDFA42-E615-4A38-B61B-0C4F02335DC4}"/>
    <cellStyle name="Comma 91 4" xfId="4523" xr:uid="{66EC97D7-4E30-4E93-8540-C4797B810503}"/>
    <cellStyle name="Comma 91 4 2" xfId="9699" xr:uid="{6D33F02B-CB80-4405-B2EA-4E98145ECDEB}"/>
    <cellStyle name="Comma 91 4 2 2" xfId="20051" xr:uid="{3A687D8C-0E09-4CA8-933B-8EADF94DF5DA}"/>
    <cellStyle name="Comma 91 4 3" xfId="14875" xr:uid="{A518BF25-94F5-44A8-B572-0168C70352D1}"/>
    <cellStyle name="Comma 91 5" xfId="5571" xr:uid="{7A6FD808-3AAC-4F24-9523-79CA455C5B72}"/>
    <cellStyle name="Comma 91 5 2" xfId="15923" xr:uid="{B19E6F6D-A7EA-4359-9666-6C135342C4AF}"/>
    <cellStyle name="Comma 91 6" xfId="10749" xr:uid="{83A8154B-EA66-4257-8387-A4D8C276D032}"/>
    <cellStyle name="Comma 910" xfId="1150" xr:uid="{A0CCAAE1-F95C-47B4-AC54-53DA31C2798D}"/>
    <cellStyle name="Comma 910 2" xfId="2188" xr:uid="{12A0A762-9E3B-4941-852C-33C2745821B7}"/>
    <cellStyle name="Comma 910 2 2" xfId="4246" xr:uid="{BB9BB395-FB60-430E-A45B-BB281F492E32}"/>
    <cellStyle name="Comma 910 2 2 2" xfId="9479" xr:uid="{A0DB9E0D-9A15-41AE-8F03-F19E7A1F971B}"/>
    <cellStyle name="Comma 910 2 2 2 2" xfId="19831" xr:uid="{42504DAE-E769-4ABE-8785-4F71593B144C}"/>
    <cellStyle name="Comma 910 2 2 3" xfId="14656" xr:uid="{A8E0C256-4456-4F86-8B54-5B982DDC5F7E}"/>
    <cellStyle name="Comma 910 2 3" xfId="7421" xr:uid="{27FA45B2-729D-4B76-ACD5-FCF928D11701}"/>
    <cellStyle name="Comma 910 2 3 2" xfId="17773" xr:uid="{694E8514-70A7-4E8B-ACE6-8B0B8EB3C8E7}"/>
    <cellStyle name="Comma 910 2 4" xfId="12598" xr:uid="{9B8AB98F-1B15-43E2-BA08-27546893C2D7}"/>
    <cellStyle name="Comma 910 3" xfId="3216" xr:uid="{123BB10B-E5A2-4ED7-AA9D-C12ADAFA8981}"/>
    <cellStyle name="Comma 910 3 2" xfId="8449" xr:uid="{B677CFE7-9D3B-49D0-B8B5-D5A33A84F347}"/>
    <cellStyle name="Comma 910 3 2 2" xfId="18801" xr:uid="{36A59822-5A2F-4BB6-BC67-9EF29EE38F0C}"/>
    <cellStyle name="Comma 910 3 3" xfId="13626" xr:uid="{E276A204-B99E-462A-8AC7-7F3723E955D8}"/>
    <cellStyle name="Comma 910 4" xfId="5342" xr:uid="{F119279D-73E3-464D-95B0-0208ED09C763}"/>
    <cellStyle name="Comma 910 4 2" xfId="10518" xr:uid="{B5C2A1FE-2CEB-4AFB-9390-CC6D7B7941C5}"/>
    <cellStyle name="Comma 910 4 2 2" xfId="20870" xr:uid="{EDF4312F-532B-4785-96C0-460D24D8C111}"/>
    <cellStyle name="Comma 910 4 3" xfId="15694" xr:uid="{AD17D709-B384-47ED-AA9D-62330AA5A355}"/>
    <cellStyle name="Comma 910 5" xfId="6390" xr:uid="{3F335754-DE2E-4E01-A441-12ECCA786366}"/>
    <cellStyle name="Comma 910 5 2" xfId="16742" xr:uid="{EEB15C47-968F-4D4B-B419-C7EE0E065EDB}"/>
    <cellStyle name="Comma 910 6" xfId="11568" xr:uid="{DCCDAC4C-E0A3-4953-9E0A-2C5EE9122AB7}"/>
    <cellStyle name="Comma 911" xfId="1151" xr:uid="{58C1E42D-5A7B-4B49-93A4-BA8B06ADB16D}"/>
    <cellStyle name="Comma 911 2" xfId="2189" xr:uid="{7BB043AA-96CF-48BF-A014-3C170065CE2E}"/>
    <cellStyle name="Comma 911 2 2" xfId="4247" xr:uid="{3F89FD73-18AC-4B6E-A636-AB49ADE7F577}"/>
    <cellStyle name="Comma 911 2 2 2" xfId="9480" xr:uid="{C4EC5304-8483-4758-A86B-D5F301903FBD}"/>
    <cellStyle name="Comma 911 2 2 2 2" xfId="19832" xr:uid="{D14E794F-7CA0-4EA3-BA5B-CB5EA8227AE5}"/>
    <cellStyle name="Comma 911 2 2 3" xfId="14657" xr:uid="{EB4A80A5-2281-4729-BAEF-2C5DC87E1052}"/>
    <cellStyle name="Comma 911 2 3" xfId="7422" xr:uid="{3B192DBF-12FD-4B72-8F64-4EC92B928E4C}"/>
    <cellStyle name="Comma 911 2 3 2" xfId="17774" xr:uid="{ADBFEDDB-276D-406E-9D0E-44506B2AB7F4}"/>
    <cellStyle name="Comma 911 2 4" xfId="12599" xr:uid="{4469E2D9-98D3-4A86-8DDD-43394278EF4A}"/>
    <cellStyle name="Comma 911 3" xfId="3217" xr:uid="{4DDB102C-7C03-41DB-BBF0-E46ECAFF6E8A}"/>
    <cellStyle name="Comma 911 3 2" xfId="8450" xr:uid="{182F0B17-1603-49AD-AFE0-3AE7F4327BDA}"/>
    <cellStyle name="Comma 911 3 2 2" xfId="18802" xr:uid="{8171CED0-C390-4B0C-BBC5-2889CF5509AD}"/>
    <cellStyle name="Comma 911 3 3" xfId="13627" xr:uid="{D181DB65-240D-4F5A-B694-659E921BC3BE}"/>
    <cellStyle name="Comma 911 4" xfId="5343" xr:uid="{03C114FF-E77D-4A05-B475-454EF4B3C4F9}"/>
    <cellStyle name="Comma 911 4 2" xfId="10519" xr:uid="{11DA187E-7E9E-434B-A6E9-A96CF554BF07}"/>
    <cellStyle name="Comma 911 4 2 2" xfId="20871" xr:uid="{8BA70D10-1D58-4627-8299-2DEB89DE0A02}"/>
    <cellStyle name="Comma 911 4 3" xfId="15695" xr:uid="{D14C8029-C509-4430-83ED-5431F43BF0E3}"/>
    <cellStyle name="Comma 911 5" xfId="6391" xr:uid="{3DD0EECE-5CEB-43B1-9BE5-78B8D59C40E4}"/>
    <cellStyle name="Comma 911 5 2" xfId="16743" xr:uid="{9104F4A6-6D03-4586-892A-1AF22C5E116A}"/>
    <cellStyle name="Comma 911 6" xfId="11569" xr:uid="{D62C4F78-BD22-4C77-A521-076F3F414289}"/>
    <cellStyle name="Comma 912" xfId="1152" xr:uid="{88DD90D7-D175-4753-9F41-9636538C1375}"/>
    <cellStyle name="Comma 912 2" xfId="2190" xr:uid="{DCDCDDB9-B776-4618-9D2F-004A07F0303D}"/>
    <cellStyle name="Comma 912 2 2" xfId="4248" xr:uid="{6D80EAEB-B550-43A5-B654-436F338302FA}"/>
    <cellStyle name="Comma 912 2 2 2" xfId="9481" xr:uid="{51D1673D-B92A-44A9-BAAB-D905343E29CA}"/>
    <cellStyle name="Comma 912 2 2 2 2" xfId="19833" xr:uid="{CA9B03EE-D4B2-42D8-866A-69125FE77AB0}"/>
    <cellStyle name="Comma 912 2 2 3" xfId="14658" xr:uid="{DD26A4A6-B015-4303-9C90-35DE04B39D9D}"/>
    <cellStyle name="Comma 912 2 3" xfId="7423" xr:uid="{6A4AA1C9-DA35-45C7-9BD6-67BBD2AD9735}"/>
    <cellStyle name="Comma 912 2 3 2" xfId="17775" xr:uid="{77AEEE23-EADD-4A94-9045-E17F7025453A}"/>
    <cellStyle name="Comma 912 2 4" xfId="12600" xr:uid="{1B3A2806-1593-46AD-A4AC-B4C29A3AB7ED}"/>
    <cellStyle name="Comma 912 3" xfId="3218" xr:uid="{8D770360-F856-4569-B483-CBE128DE2A7E}"/>
    <cellStyle name="Comma 912 3 2" xfId="8451" xr:uid="{B4105B83-F2A7-418E-88FD-C6722289C0DD}"/>
    <cellStyle name="Comma 912 3 2 2" xfId="18803" xr:uid="{9040ED85-CDA8-4FBC-9C32-3A9FA340CCBC}"/>
    <cellStyle name="Comma 912 3 3" xfId="13628" xr:uid="{CD20E61A-0CDC-4D0F-A31B-6311E9B4BEFD}"/>
    <cellStyle name="Comma 912 4" xfId="5344" xr:uid="{13773074-E08D-45A7-ABF5-D9B9E8CFE215}"/>
    <cellStyle name="Comma 912 4 2" xfId="10520" xr:uid="{533F4FE5-BD6A-41BB-BBB2-B5E7FB5B068C}"/>
    <cellStyle name="Comma 912 4 2 2" xfId="20872" xr:uid="{25F4D260-0611-4FF6-B845-5B357915819B}"/>
    <cellStyle name="Comma 912 4 3" xfId="15696" xr:uid="{F53C460B-88E4-450A-B461-834AB0DD55DF}"/>
    <cellStyle name="Comma 912 5" xfId="6392" xr:uid="{739C6BD0-9674-4521-AD55-AB2DA47086C6}"/>
    <cellStyle name="Comma 912 5 2" xfId="16744" xr:uid="{5EDB6C64-21C2-4068-B3FE-156B2AD053E4}"/>
    <cellStyle name="Comma 912 6" xfId="11570" xr:uid="{BA37EF77-BAFC-4BAB-98D3-D0BDF2038E69}"/>
    <cellStyle name="Comma 913" xfId="1153" xr:uid="{224BC121-2241-4627-8E9A-040A26464C0E}"/>
    <cellStyle name="Comma 913 2" xfId="2191" xr:uid="{7535C62E-5281-4BEF-A827-92EAFF7CF430}"/>
    <cellStyle name="Comma 913 2 2" xfId="4249" xr:uid="{8F0E7CCE-1524-420D-A751-7057C5735C69}"/>
    <cellStyle name="Comma 913 2 2 2" xfId="9482" xr:uid="{1503C8E5-0049-448C-98FF-FED9E83CFA24}"/>
    <cellStyle name="Comma 913 2 2 2 2" xfId="19834" xr:uid="{6B1AD468-D0F6-4091-98B2-7EF6871E6377}"/>
    <cellStyle name="Comma 913 2 2 3" xfId="14659" xr:uid="{3D2197FD-07F5-49DA-8BB0-D9C19E4BB5EF}"/>
    <cellStyle name="Comma 913 2 3" xfId="7424" xr:uid="{4E041E49-34CF-4C04-ABA1-D0ABC5433786}"/>
    <cellStyle name="Comma 913 2 3 2" xfId="17776" xr:uid="{C38567D3-E670-4188-A920-BC68175D0106}"/>
    <cellStyle name="Comma 913 2 4" xfId="12601" xr:uid="{071327D0-4D58-4769-B743-40B56A8F927C}"/>
    <cellStyle name="Comma 913 3" xfId="3219" xr:uid="{0AB51771-ACB3-441A-B5EB-F5192270D791}"/>
    <cellStyle name="Comma 913 3 2" xfId="8452" xr:uid="{B0656949-98AA-4BEE-A49C-84D02B0C8620}"/>
    <cellStyle name="Comma 913 3 2 2" xfId="18804" xr:uid="{55124D08-D630-4D60-B5B6-8F7431B72ECB}"/>
    <cellStyle name="Comma 913 3 3" xfId="13629" xr:uid="{295992CF-AAFF-4660-974B-000789DEE445}"/>
    <cellStyle name="Comma 913 4" xfId="5345" xr:uid="{AAFFF8A3-6F2B-4A76-BEB1-203600B65BC6}"/>
    <cellStyle name="Comma 913 4 2" xfId="10521" xr:uid="{3D865F12-CE3E-4562-A004-74AE2FFD3E6F}"/>
    <cellStyle name="Comma 913 4 2 2" xfId="20873" xr:uid="{76808DAC-5A23-491F-ADC8-84B609973CE6}"/>
    <cellStyle name="Comma 913 4 3" xfId="15697" xr:uid="{7A4921FC-EDFF-4815-9A8F-7D129EB309FD}"/>
    <cellStyle name="Comma 913 5" xfId="6393" xr:uid="{3F33E2CB-E7EF-4181-8A1C-F7618DC0FA5E}"/>
    <cellStyle name="Comma 913 5 2" xfId="16745" xr:uid="{40BF584A-B0A1-4CFE-9F5F-02D189705F93}"/>
    <cellStyle name="Comma 913 6" xfId="11571" xr:uid="{C0B25E3F-64E1-4833-B6C7-FAB663D0A9C2}"/>
    <cellStyle name="Comma 914" xfId="1154" xr:uid="{3CFE376C-2663-4484-9020-21C4AAB3E1D1}"/>
    <cellStyle name="Comma 914 2" xfId="2192" xr:uid="{F1BD17DC-3850-43EB-8AA3-B250ECECCD6F}"/>
    <cellStyle name="Comma 914 2 2" xfId="4250" xr:uid="{ABE1C6B1-C8E2-45EE-971A-F6DC558065F0}"/>
    <cellStyle name="Comma 914 2 2 2" xfId="9483" xr:uid="{61618E66-5217-46D1-8303-83E62526342A}"/>
    <cellStyle name="Comma 914 2 2 2 2" xfId="19835" xr:uid="{D39CC57D-08BE-4A65-8816-08185A4DFF73}"/>
    <cellStyle name="Comma 914 2 2 3" xfId="14660" xr:uid="{4BD4D93D-813C-4A92-9340-3343543DA6B3}"/>
    <cellStyle name="Comma 914 2 3" xfId="7425" xr:uid="{74690D7E-314E-4E9A-89DE-E456C5F14C84}"/>
    <cellStyle name="Comma 914 2 3 2" xfId="17777" xr:uid="{159FA27F-0EDD-4F30-97AE-6D407A0E41EF}"/>
    <cellStyle name="Comma 914 2 4" xfId="12602" xr:uid="{2DC496AE-A0CC-4FFF-BFAE-DEA6CD713262}"/>
    <cellStyle name="Comma 914 3" xfId="3220" xr:uid="{B4B94AC2-5064-43B3-B0EC-B31635DACD1B}"/>
    <cellStyle name="Comma 914 3 2" xfId="8453" xr:uid="{C4953ECE-E5FB-4AEC-A748-DFAC4AF58A3A}"/>
    <cellStyle name="Comma 914 3 2 2" xfId="18805" xr:uid="{F9F09F14-F2E5-409D-B4AD-497C42B11E51}"/>
    <cellStyle name="Comma 914 3 3" xfId="13630" xr:uid="{91A97882-846C-4521-ABDC-8F71A780ACBD}"/>
    <cellStyle name="Comma 914 4" xfId="5346" xr:uid="{250E0484-BB02-4C2F-B8B5-5381CB10258D}"/>
    <cellStyle name="Comma 914 4 2" xfId="10522" xr:uid="{70B47A9A-65C2-48B1-A6A7-65552C5FD6C7}"/>
    <cellStyle name="Comma 914 4 2 2" xfId="20874" xr:uid="{83D1182F-E0BD-4598-99CF-D449700B3093}"/>
    <cellStyle name="Comma 914 4 3" xfId="15698" xr:uid="{F6F6575D-BBD0-4057-8123-B765507FB100}"/>
    <cellStyle name="Comma 914 5" xfId="6394" xr:uid="{A735770B-E859-4C0B-A21E-4CF060392FEA}"/>
    <cellStyle name="Comma 914 5 2" xfId="16746" xr:uid="{49CE31A1-C9E0-4ADE-A672-7CAF8F56EBE2}"/>
    <cellStyle name="Comma 914 6" xfId="11572" xr:uid="{7F2639CC-F795-4F42-9C29-A1A9B151FA45}"/>
    <cellStyle name="Comma 915" xfId="1155" xr:uid="{A17789F7-2CD7-426A-8F7E-48EFF7F5330E}"/>
    <cellStyle name="Comma 915 2" xfId="2193" xr:uid="{C2C17634-6425-4506-BAFD-5E40546C5C24}"/>
    <cellStyle name="Comma 915 2 2" xfId="4251" xr:uid="{FEA9FF0F-0159-4049-8A10-E0874002F0AB}"/>
    <cellStyle name="Comma 915 2 2 2" xfId="9484" xr:uid="{D94A3F79-54BD-439B-ADB2-41757C2DD4E8}"/>
    <cellStyle name="Comma 915 2 2 2 2" xfId="19836" xr:uid="{AB647854-B2F3-4689-BFE8-7524BDBDC675}"/>
    <cellStyle name="Comma 915 2 2 3" xfId="14661" xr:uid="{D349583D-3F2F-4037-858A-79471CAA7D1A}"/>
    <cellStyle name="Comma 915 2 3" xfId="7426" xr:uid="{971A391A-BCA8-4B51-8C69-5FBE550BFEB3}"/>
    <cellStyle name="Comma 915 2 3 2" xfId="17778" xr:uid="{E128CA50-AFFA-40AA-8CE3-C5D4631228B9}"/>
    <cellStyle name="Comma 915 2 4" xfId="12603" xr:uid="{2538D35B-D978-4658-AC0B-4376649479EF}"/>
    <cellStyle name="Comma 915 3" xfId="3221" xr:uid="{53397B12-F34F-4542-83A8-82600979DA41}"/>
    <cellStyle name="Comma 915 3 2" xfId="8454" xr:uid="{0DEEEC83-5423-48ED-BD35-5E1F83424E7B}"/>
    <cellStyle name="Comma 915 3 2 2" xfId="18806" xr:uid="{182231A1-2079-458D-941A-453F4528C916}"/>
    <cellStyle name="Comma 915 3 3" xfId="13631" xr:uid="{2100FC44-351C-4B52-B279-7F0C1AFF483E}"/>
    <cellStyle name="Comma 915 4" xfId="5347" xr:uid="{EB28F203-27DA-4EC9-AA51-71D25D952400}"/>
    <cellStyle name="Comma 915 4 2" xfId="10523" xr:uid="{6BD5E218-D92C-4287-9A6E-A9B8CF7FD1C3}"/>
    <cellStyle name="Comma 915 4 2 2" xfId="20875" xr:uid="{D649EC0C-5230-4540-9134-7346A125BD91}"/>
    <cellStyle name="Comma 915 4 3" xfId="15699" xr:uid="{A4023889-47A2-493A-A0AF-CDCA018279B4}"/>
    <cellStyle name="Comma 915 5" xfId="6395" xr:uid="{EB34C2D5-7679-410A-B167-5DE6AAEE8094}"/>
    <cellStyle name="Comma 915 5 2" xfId="16747" xr:uid="{40A21F9A-C798-4A79-9532-EE08C3168287}"/>
    <cellStyle name="Comma 915 6" xfId="11573" xr:uid="{45626A95-C4A2-4E34-A806-86E4A5B54F6F}"/>
    <cellStyle name="Comma 916" xfId="1156" xr:uid="{5DCF5E75-710C-4B40-9B43-DE25A639A89D}"/>
    <cellStyle name="Comma 916 2" xfId="2194" xr:uid="{1CA8D6EE-A17C-4B41-B7EB-2C107CB79123}"/>
    <cellStyle name="Comma 916 2 2" xfId="4252" xr:uid="{D93CF31B-C754-446D-9787-9C5619E043E6}"/>
    <cellStyle name="Comma 916 2 2 2" xfId="9485" xr:uid="{C8420679-B5AC-4532-AFCB-38DAD95F3AAB}"/>
    <cellStyle name="Comma 916 2 2 2 2" xfId="19837" xr:uid="{6FF73E49-8A64-45D7-8747-6597D15B1E26}"/>
    <cellStyle name="Comma 916 2 2 3" xfId="14662" xr:uid="{99AEB0C3-EFBA-4297-91BF-8B79A78FF8B2}"/>
    <cellStyle name="Comma 916 2 3" xfId="7427" xr:uid="{6BA8D08A-69A4-44D3-ABF2-F69E51F6EEE4}"/>
    <cellStyle name="Comma 916 2 3 2" xfId="17779" xr:uid="{B665290C-07C7-42A9-9DF9-E2DAFB1DE3A6}"/>
    <cellStyle name="Comma 916 2 4" xfId="12604" xr:uid="{AB53C1C2-704F-48B9-B9BC-DF54221DD1A8}"/>
    <cellStyle name="Comma 916 3" xfId="3222" xr:uid="{241CD645-1A94-4FE8-8745-D2260BF04296}"/>
    <cellStyle name="Comma 916 3 2" xfId="8455" xr:uid="{7500DB97-7505-4AC8-BF6E-7694A0AACBB5}"/>
    <cellStyle name="Comma 916 3 2 2" xfId="18807" xr:uid="{78DA943A-5F73-40EF-B8C3-6392F618D70B}"/>
    <cellStyle name="Comma 916 3 3" xfId="13632" xr:uid="{41161489-358B-406D-9F37-AB731D1101BF}"/>
    <cellStyle name="Comma 916 4" xfId="5348" xr:uid="{1CFF3574-36F2-4691-B6D5-5B533FEC8700}"/>
    <cellStyle name="Comma 916 4 2" xfId="10524" xr:uid="{FF5500FE-5297-4678-B340-ABFF59897CA1}"/>
    <cellStyle name="Comma 916 4 2 2" xfId="20876" xr:uid="{3BD84DC5-A0E2-459F-AFE4-196EB1E4E534}"/>
    <cellStyle name="Comma 916 4 3" xfId="15700" xr:uid="{C824B95A-56C5-4874-A817-669F082317BD}"/>
    <cellStyle name="Comma 916 5" xfId="6396" xr:uid="{9A9626E9-DFA8-40DC-B2CD-3FCD9272AF62}"/>
    <cellStyle name="Comma 916 5 2" xfId="16748" xr:uid="{16E0774F-8F71-4173-A1D9-E72BD8583463}"/>
    <cellStyle name="Comma 916 6" xfId="11574" xr:uid="{3F6E667D-A371-4BF0-86BF-435C06D43715}"/>
    <cellStyle name="Comma 917" xfId="1157" xr:uid="{951F4E0B-97FB-4DE3-8ECF-DB28FE814640}"/>
    <cellStyle name="Comma 917 2" xfId="2195" xr:uid="{641140A4-16C7-479C-9C0A-650769FF103A}"/>
    <cellStyle name="Comma 917 2 2" xfId="4253" xr:uid="{3697CC5F-CB04-4ACC-9954-FCFB5DD54EFD}"/>
    <cellStyle name="Comma 917 2 2 2" xfId="9486" xr:uid="{AC41C0C9-5138-4975-9175-27CBE92E3697}"/>
    <cellStyle name="Comma 917 2 2 2 2" xfId="19838" xr:uid="{BD8531C8-AE33-45CF-81BB-7AF5C802655A}"/>
    <cellStyle name="Comma 917 2 2 3" xfId="14663" xr:uid="{E4533D9A-A51D-45A7-9980-9A6CCF78A30E}"/>
    <cellStyle name="Comma 917 2 3" xfId="7428" xr:uid="{7443D308-A6BF-447A-A8D1-49CACDC82F0B}"/>
    <cellStyle name="Comma 917 2 3 2" xfId="17780" xr:uid="{DFC5DA3B-7B84-455A-898B-8A2B911B289E}"/>
    <cellStyle name="Comma 917 2 4" xfId="12605" xr:uid="{2C5286D8-99B4-451A-9E0D-B64959ED0002}"/>
    <cellStyle name="Comma 917 3" xfId="3223" xr:uid="{8FA93574-3A9B-4066-96EF-E34C842C7DEF}"/>
    <cellStyle name="Comma 917 3 2" xfId="8456" xr:uid="{7B9BEC32-1D3C-4AE1-9D9A-1EBACC7C57E5}"/>
    <cellStyle name="Comma 917 3 2 2" xfId="18808" xr:uid="{CF636318-1E37-40C3-A8CD-5E10389D12A6}"/>
    <cellStyle name="Comma 917 3 3" xfId="13633" xr:uid="{53718EAB-ACA7-4112-9243-8D945B21D1CA}"/>
    <cellStyle name="Comma 917 4" xfId="5349" xr:uid="{8B50FCA3-EA5C-47BD-81A9-D7C571280FF1}"/>
    <cellStyle name="Comma 917 4 2" xfId="10525" xr:uid="{B38F9573-F363-4BC3-B1D0-1A552379C47E}"/>
    <cellStyle name="Comma 917 4 2 2" xfId="20877" xr:uid="{7943E0F5-7476-459D-89E9-707916EED8BC}"/>
    <cellStyle name="Comma 917 4 3" xfId="15701" xr:uid="{4563E0A6-EAAC-4C95-BF49-EB08B54C5FB8}"/>
    <cellStyle name="Comma 917 5" xfId="6397" xr:uid="{9A3556F7-EDF9-4281-A5E4-673ACE2CA8DA}"/>
    <cellStyle name="Comma 917 5 2" xfId="16749" xr:uid="{BC9AE0BC-A0F3-42BA-B759-734A276EBC26}"/>
    <cellStyle name="Comma 917 6" xfId="11575" xr:uid="{0F69BA79-2DBA-417B-A7F1-4E807EB5DC94}"/>
    <cellStyle name="Comma 918" xfId="1158" xr:uid="{6CFD5F50-6377-4881-A319-B94F06694029}"/>
    <cellStyle name="Comma 918 2" xfId="2196" xr:uid="{D102210D-645A-4C57-A7D8-9CEDB8AFF970}"/>
    <cellStyle name="Comma 918 2 2" xfId="4254" xr:uid="{4D013807-4C20-4FCC-B17B-14B81E7A5F10}"/>
    <cellStyle name="Comma 918 2 2 2" xfId="9487" xr:uid="{C92F8918-E1DE-47E6-B3B3-DED9C0D41E05}"/>
    <cellStyle name="Comma 918 2 2 2 2" xfId="19839" xr:uid="{071EAC5F-1570-4F1B-8819-F37DD82F4873}"/>
    <cellStyle name="Comma 918 2 2 3" xfId="14664" xr:uid="{7A7BBA8E-01FB-4347-B67F-6D07718751E1}"/>
    <cellStyle name="Comma 918 2 3" xfId="7429" xr:uid="{3FB33745-4047-48EB-9307-0D2C9A2035D4}"/>
    <cellStyle name="Comma 918 2 3 2" xfId="17781" xr:uid="{F63C808A-B485-4520-96D8-FC7166E18D79}"/>
    <cellStyle name="Comma 918 2 4" xfId="12606" xr:uid="{3929BA60-559C-4C64-A936-9091A95EC874}"/>
    <cellStyle name="Comma 918 3" xfId="3224" xr:uid="{942C8C2A-AF64-499F-B7DD-D41C78BFD9D5}"/>
    <cellStyle name="Comma 918 3 2" xfId="8457" xr:uid="{A97F593F-43DD-4BA0-9721-F01BD1B10887}"/>
    <cellStyle name="Comma 918 3 2 2" xfId="18809" xr:uid="{814B2FF3-99B8-48E8-911A-3B15073746C2}"/>
    <cellStyle name="Comma 918 3 3" xfId="13634" xr:uid="{C6DAC9C4-E179-47BF-9F72-AB9A3939DD14}"/>
    <cellStyle name="Comma 918 4" xfId="5350" xr:uid="{2FE8FB0D-BF8C-4729-AC0E-DB004E84973B}"/>
    <cellStyle name="Comma 918 4 2" xfId="10526" xr:uid="{F830AEA1-A80E-4E86-9CF8-789991FFB671}"/>
    <cellStyle name="Comma 918 4 2 2" xfId="20878" xr:uid="{EAE83F04-C8AC-4C9B-80BA-D55CD01E6083}"/>
    <cellStyle name="Comma 918 4 3" xfId="15702" xr:uid="{620C67E6-9D5A-4CE9-BF1A-F4AAC4938151}"/>
    <cellStyle name="Comma 918 5" xfId="6398" xr:uid="{4E8793F2-D05D-4DA0-8768-15B6F4B486D6}"/>
    <cellStyle name="Comma 918 5 2" xfId="16750" xr:uid="{0803FF09-48AC-45DC-8A54-188A13E20FAA}"/>
    <cellStyle name="Comma 918 6" xfId="11576" xr:uid="{707F9CEC-573F-4C20-BBE4-7E66DFCC0B18}"/>
    <cellStyle name="Comma 919" xfId="1159" xr:uid="{8C64E652-2830-415B-9D57-96B7A7954067}"/>
    <cellStyle name="Comma 919 2" xfId="2197" xr:uid="{0F772B7D-4804-4E9B-B5D0-2D1E3B29B380}"/>
    <cellStyle name="Comma 919 2 2" xfId="4255" xr:uid="{8E59FC5D-962F-455D-BCF1-D96934CA6D16}"/>
    <cellStyle name="Comma 919 2 2 2" xfId="9488" xr:uid="{C73347E3-72DE-4F77-A8D1-B927685660A5}"/>
    <cellStyle name="Comma 919 2 2 2 2" xfId="19840" xr:uid="{8E35D6B2-D847-48F0-9787-5B90525605C5}"/>
    <cellStyle name="Comma 919 2 2 3" xfId="14665" xr:uid="{0A28ACE2-9481-4B5D-A281-F8DB5C8DEC90}"/>
    <cellStyle name="Comma 919 2 3" xfId="7430" xr:uid="{77A6C2E2-1A2E-4BF7-8A38-30EA4490CF1F}"/>
    <cellStyle name="Comma 919 2 3 2" xfId="17782" xr:uid="{5B2DFECD-C5F5-4DEE-9298-012C289712A9}"/>
    <cellStyle name="Comma 919 2 4" xfId="12607" xr:uid="{C5E152DB-69EE-4012-B062-2A420F0CB387}"/>
    <cellStyle name="Comma 919 3" xfId="3225" xr:uid="{B6A7F85B-89FB-4EB1-BD6B-58B1DFA4D4D0}"/>
    <cellStyle name="Comma 919 3 2" xfId="8458" xr:uid="{09032C0F-8A3E-44F9-83C5-7D89E420372D}"/>
    <cellStyle name="Comma 919 3 2 2" xfId="18810" xr:uid="{6586C3FB-AC31-48A0-85B8-4C9CCFCFE61A}"/>
    <cellStyle name="Comma 919 3 3" xfId="13635" xr:uid="{216C3C91-EA45-4453-9430-836B039D51AE}"/>
    <cellStyle name="Comma 919 4" xfId="5351" xr:uid="{372782A8-6905-4954-8340-38456EEC1D67}"/>
    <cellStyle name="Comma 919 4 2" xfId="10527" xr:uid="{2566CB36-3E9A-401E-B82C-7C438EA37154}"/>
    <cellStyle name="Comma 919 4 2 2" xfId="20879" xr:uid="{59747BE6-628D-4BD0-8897-CEA519836446}"/>
    <cellStyle name="Comma 919 4 3" xfId="15703" xr:uid="{9469DB80-4DA9-41BB-BF40-B8609DA113B3}"/>
    <cellStyle name="Comma 919 5" xfId="6399" xr:uid="{4D48FC7B-6ED3-4AB0-9C3B-2D001634F8B6}"/>
    <cellStyle name="Comma 919 5 2" xfId="16751" xr:uid="{9075709A-00CF-4ADB-885B-20C785632F61}"/>
    <cellStyle name="Comma 919 6" xfId="11577" xr:uid="{0D4FF045-B125-4E84-84E1-A2D3F4F24426}"/>
    <cellStyle name="Comma 92" xfId="306" xr:uid="{719259CA-A972-4874-8374-B53117138154}"/>
    <cellStyle name="Comma 92 2" xfId="1370" xr:uid="{49CB2383-C2AA-4A62-A6F5-9F645DA145C9}"/>
    <cellStyle name="Comma 92 2 2" xfId="3428" xr:uid="{421713ED-6338-4D66-96BD-30619B6754CC}"/>
    <cellStyle name="Comma 92 2 2 2" xfId="8661" xr:uid="{D71C1597-3762-465F-8B07-B2238B6926F8}"/>
    <cellStyle name="Comma 92 2 2 2 2" xfId="19013" xr:uid="{CF4C822A-B38C-4C7F-9282-7623FB902CA3}"/>
    <cellStyle name="Comma 92 2 2 3" xfId="13838" xr:uid="{F52A4304-C48D-466C-AB35-CC6A7ABCDC2E}"/>
    <cellStyle name="Comma 92 2 3" xfId="6603" xr:uid="{0252ECE0-1D76-4020-9EA9-0C5683945475}"/>
    <cellStyle name="Comma 92 2 3 2" xfId="16955" xr:uid="{B562D7E1-AF76-4AB4-BA82-3AEE49B35419}"/>
    <cellStyle name="Comma 92 2 4" xfId="11780" xr:uid="{8D7060B4-4A6A-48D8-907A-25B9C7A59735}"/>
    <cellStyle name="Comma 92 3" xfId="2398" xr:uid="{40DBF799-1D24-4D34-AA37-3DD2EB807C99}"/>
    <cellStyle name="Comma 92 3 2" xfId="7631" xr:uid="{A1721900-5E33-4251-84A6-0C603C7BA783}"/>
    <cellStyle name="Comma 92 3 2 2" xfId="17983" xr:uid="{AF58B69C-FE93-4FAB-AAC6-DD739D9512C3}"/>
    <cellStyle name="Comma 92 3 3" xfId="12808" xr:uid="{C3387087-C2D6-40E9-A5DC-95CA2AA78EA3}"/>
    <cellStyle name="Comma 92 4" xfId="4524" xr:uid="{2CD2C8D7-95E9-42F0-ADA8-2826A3751E4C}"/>
    <cellStyle name="Comma 92 4 2" xfId="9700" xr:uid="{63BB8CFB-C252-4DD4-A805-05E9952E3BFA}"/>
    <cellStyle name="Comma 92 4 2 2" xfId="20052" xr:uid="{736D90E6-1FBA-4D65-A7CC-1E1F570AD4E8}"/>
    <cellStyle name="Comma 92 4 3" xfId="14876" xr:uid="{ECC1FDFA-4836-4A4D-8CDF-FB7AFA3D1765}"/>
    <cellStyle name="Comma 92 5" xfId="5572" xr:uid="{038B6619-F577-4102-BA10-DCCB259A1942}"/>
    <cellStyle name="Comma 92 5 2" xfId="15924" xr:uid="{A30EC045-FE3D-4B95-B071-AA0D1836347B}"/>
    <cellStyle name="Comma 92 6" xfId="10750" xr:uid="{7CB411B7-8C7C-492F-A1DF-1C7C3B3CD8A8}"/>
    <cellStyle name="Comma 920" xfId="1160" xr:uid="{B80E0D96-45CB-40BC-BFDB-6F7D5C02DB3C}"/>
    <cellStyle name="Comma 920 2" xfId="2198" xr:uid="{8FDC965A-6F32-4097-A559-33CC13DD9648}"/>
    <cellStyle name="Comma 920 2 2" xfId="4256" xr:uid="{BFA211B9-8824-455C-9C2C-FCD880D0218C}"/>
    <cellStyle name="Comma 920 2 2 2" xfId="9489" xr:uid="{0E014E2F-3E05-4173-9A21-71E5028982EA}"/>
    <cellStyle name="Comma 920 2 2 2 2" xfId="19841" xr:uid="{3573FA1E-73DE-4DCF-A92D-8E01919F6F68}"/>
    <cellStyle name="Comma 920 2 2 3" xfId="14666" xr:uid="{B3666B1D-1D95-4FAF-88DF-9359EA61F78A}"/>
    <cellStyle name="Comma 920 2 3" xfId="7431" xr:uid="{A9834980-DFA1-4D92-AEA3-E0D33B7BCF6E}"/>
    <cellStyle name="Comma 920 2 3 2" xfId="17783" xr:uid="{1A7861F3-D981-46EC-92F8-556F22FB3054}"/>
    <cellStyle name="Comma 920 2 4" xfId="12608" xr:uid="{ADCE386F-AD84-4397-B8D5-614D8DD88881}"/>
    <cellStyle name="Comma 920 3" xfId="3226" xr:uid="{72BC79BC-55DE-46C0-9308-55498632D288}"/>
    <cellStyle name="Comma 920 3 2" xfId="8459" xr:uid="{4676A10C-3C04-48F2-B679-FEF5A7E3BB77}"/>
    <cellStyle name="Comma 920 3 2 2" xfId="18811" xr:uid="{5190C587-121F-427C-91C3-80038CF69047}"/>
    <cellStyle name="Comma 920 3 3" xfId="13636" xr:uid="{B34D09D4-59A2-49E0-B351-EEA9DEE6F1BE}"/>
    <cellStyle name="Comma 920 4" xfId="5352" xr:uid="{2FE809D4-2FEB-4A1F-A6CD-6BBB743A6432}"/>
    <cellStyle name="Comma 920 4 2" xfId="10528" xr:uid="{5D2E86D4-1B7B-4CAA-B8FB-EA3CF29098AC}"/>
    <cellStyle name="Comma 920 4 2 2" xfId="20880" xr:uid="{8E0042B1-06B4-4AE4-81EA-B1040203A9E2}"/>
    <cellStyle name="Comma 920 4 3" xfId="15704" xr:uid="{71D66B9F-1CCE-4280-A0C1-B1F63BDD9A53}"/>
    <cellStyle name="Comma 920 5" xfId="6400" xr:uid="{A5153BEB-655D-421E-8B5B-150DF7F7E3E2}"/>
    <cellStyle name="Comma 920 5 2" xfId="16752" xr:uid="{4B25CB34-CF28-4605-9519-A5F25F65029F}"/>
    <cellStyle name="Comma 920 6" xfId="11578" xr:uid="{287FEC7F-E383-4568-9DE9-7AA187846584}"/>
    <cellStyle name="Comma 921" xfId="1161" xr:uid="{C02250FC-ED67-43C6-ACEF-8DEC491082B0}"/>
    <cellStyle name="Comma 921 2" xfId="2199" xr:uid="{F43E0482-65C5-4C70-9B93-892572C4CCEA}"/>
    <cellStyle name="Comma 921 2 2" xfId="4257" xr:uid="{FF9A8F82-78C0-4170-92E2-6819F93C0B77}"/>
    <cellStyle name="Comma 921 2 2 2" xfId="9490" xr:uid="{A6175234-1B84-4CA5-8BDB-2C7825AB5E26}"/>
    <cellStyle name="Comma 921 2 2 2 2" xfId="19842" xr:uid="{169EBD9E-3C32-431F-AD16-E105483330F2}"/>
    <cellStyle name="Comma 921 2 2 3" xfId="14667" xr:uid="{365D83B1-7BD8-42D9-854E-8B681C331006}"/>
    <cellStyle name="Comma 921 2 3" xfId="7432" xr:uid="{CC256122-0261-4F61-B70F-1DF21050E36A}"/>
    <cellStyle name="Comma 921 2 3 2" xfId="17784" xr:uid="{8F8019F7-D47F-4139-91D1-EDE5E0DD37DD}"/>
    <cellStyle name="Comma 921 2 4" xfId="12609" xr:uid="{7CE71EA5-14F0-424B-A00B-861BCF3F70FB}"/>
    <cellStyle name="Comma 921 3" xfId="3227" xr:uid="{AD6ED6EC-BDA9-4477-B9B7-886BBE5F8669}"/>
    <cellStyle name="Comma 921 3 2" xfId="8460" xr:uid="{4BEA6E35-ECAE-4E4A-A92C-A080994CAB0F}"/>
    <cellStyle name="Comma 921 3 2 2" xfId="18812" xr:uid="{FBEBA7EE-174C-4BF4-8246-C78AA747EA34}"/>
    <cellStyle name="Comma 921 3 3" xfId="13637" xr:uid="{156C9350-5CFF-4C62-ADD7-AEA72727FEFA}"/>
    <cellStyle name="Comma 921 4" xfId="5353" xr:uid="{75DFA970-C2E3-4857-8758-1B0FBF8EDA2D}"/>
    <cellStyle name="Comma 921 4 2" xfId="10529" xr:uid="{8ADEA034-C23F-465C-8B99-70C3AEB5132E}"/>
    <cellStyle name="Comma 921 4 2 2" xfId="20881" xr:uid="{2C8735E9-93D6-4732-9D6D-E7980552380F}"/>
    <cellStyle name="Comma 921 4 3" xfId="15705" xr:uid="{FCEF0F50-D936-4039-BC75-C35F8EAD858B}"/>
    <cellStyle name="Comma 921 5" xfId="6401" xr:uid="{AB8EB474-FB38-4675-97D6-039F4833A908}"/>
    <cellStyle name="Comma 921 5 2" xfId="16753" xr:uid="{F71873F8-1B36-4E02-A073-B52FBF759689}"/>
    <cellStyle name="Comma 921 6" xfId="11579" xr:uid="{B4C93780-D195-4916-904B-3839727B590F}"/>
    <cellStyle name="Comma 922" xfId="1162" xr:uid="{4017F18C-C7D0-4B5C-A8B5-074A99177674}"/>
    <cellStyle name="Comma 922 2" xfId="2200" xr:uid="{4E8720B7-82F8-4727-A014-BFC14EC57999}"/>
    <cellStyle name="Comma 922 2 2" xfId="4258" xr:uid="{394D7EAC-5B25-437F-95E6-C1724579D40D}"/>
    <cellStyle name="Comma 922 2 2 2" xfId="9491" xr:uid="{E1A8EDBC-3709-4EB6-B17C-BA0AA3E52E1C}"/>
    <cellStyle name="Comma 922 2 2 2 2" xfId="19843" xr:uid="{1A672362-CBE1-4BF0-8F17-3177200A19A1}"/>
    <cellStyle name="Comma 922 2 2 3" xfId="14668" xr:uid="{FFF51A96-ED92-4051-B9EE-87CAFD18BCAC}"/>
    <cellStyle name="Comma 922 2 3" xfId="7433" xr:uid="{8B7C250A-C963-46E4-B86C-D960C9D3A820}"/>
    <cellStyle name="Comma 922 2 3 2" xfId="17785" xr:uid="{F91E0323-24EB-4B5E-8D67-44FF5C3136FB}"/>
    <cellStyle name="Comma 922 2 4" xfId="12610" xr:uid="{E1EEE6E3-DD7C-4388-9D8B-A4D12B45427F}"/>
    <cellStyle name="Comma 922 3" xfId="3228" xr:uid="{6C9AF215-70C5-4395-9CB0-0857140DCCBD}"/>
    <cellStyle name="Comma 922 3 2" xfId="8461" xr:uid="{058C49AE-94EB-43A1-B742-CCAD99132A5D}"/>
    <cellStyle name="Comma 922 3 2 2" xfId="18813" xr:uid="{6A19A3FE-93AC-4BF1-B698-7241D9934B7B}"/>
    <cellStyle name="Comma 922 3 3" xfId="13638" xr:uid="{22D30E80-8277-460D-B2A8-C9888E0F4C88}"/>
    <cellStyle name="Comma 922 4" xfId="5354" xr:uid="{018D05C4-7CDA-4BB1-AA1D-D6F5CEF8176B}"/>
    <cellStyle name="Comma 922 4 2" xfId="10530" xr:uid="{14D87D2D-D4B5-4C61-B0BD-0EBF585613F6}"/>
    <cellStyle name="Comma 922 4 2 2" xfId="20882" xr:uid="{3666EF09-FC9B-49F1-A7E5-038FE1044BD7}"/>
    <cellStyle name="Comma 922 4 3" xfId="15706" xr:uid="{033A88DF-0E8A-4263-BD0E-7741FA874A27}"/>
    <cellStyle name="Comma 922 5" xfId="6402" xr:uid="{95FC477C-3CB3-4D28-BCC1-C4134D81BFF7}"/>
    <cellStyle name="Comma 922 5 2" xfId="16754" xr:uid="{E05B1E4D-E22E-480D-8CB7-A4A0DFC5475D}"/>
    <cellStyle name="Comma 922 6" xfId="11580" xr:uid="{8CBDD01D-FF09-4DFA-ADFE-471709BB03C5}"/>
    <cellStyle name="Comma 923" xfId="1163" xr:uid="{F29CC67F-5541-4C6A-BCC2-D9C681158627}"/>
    <cellStyle name="Comma 923 2" xfId="2201" xr:uid="{FBA61012-2BF8-477B-B49A-39C3E5DC0DC3}"/>
    <cellStyle name="Comma 923 2 2" xfId="4259" xr:uid="{F2797534-AC6B-4800-B72F-CAC212043B61}"/>
    <cellStyle name="Comma 923 2 2 2" xfId="9492" xr:uid="{B5AD0D45-E430-4698-9F1F-DE8B04B365DF}"/>
    <cellStyle name="Comma 923 2 2 2 2" xfId="19844" xr:uid="{0A737464-BA8C-4A2E-9455-5E2C972303F1}"/>
    <cellStyle name="Comma 923 2 2 3" xfId="14669" xr:uid="{9D4D5625-1341-4DEF-8A05-5EB23FF038E1}"/>
    <cellStyle name="Comma 923 2 3" xfId="7434" xr:uid="{B8A8AA58-D7DA-4216-92A4-B325CE643F0F}"/>
    <cellStyle name="Comma 923 2 3 2" xfId="17786" xr:uid="{3DF6E02B-27F1-4C36-BACA-9B61E68FA8CC}"/>
    <cellStyle name="Comma 923 2 4" xfId="12611" xr:uid="{188F13B8-3748-49DA-91CB-A55B3EE32F52}"/>
    <cellStyle name="Comma 923 3" xfId="3229" xr:uid="{042FD223-3DF3-436B-8CB1-B0F97419097E}"/>
    <cellStyle name="Comma 923 3 2" xfId="8462" xr:uid="{D1272CD7-C5DD-42B6-913E-AB12ECDA619C}"/>
    <cellStyle name="Comma 923 3 2 2" xfId="18814" xr:uid="{7833A1C2-123C-4F5A-B4B1-390D060978F4}"/>
    <cellStyle name="Comma 923 3 3" xfId="13639" xr:uid="{DC8DC5F9-2934-4C24-9766-E341C5215541}"/>
    <cellStyle name="Comma 923 4" xfId="5355" xr:uid="{18C5543C-43EF-4DEA-8DA7-30283064273C}"/>
    <cellStyle name="Comma 923 4 2" xfId="10531" xr:uid="{44DD2FB7-C6F8-4149-9174-DA777BFEDE71}"/>
    <cellStyle name="Comma 923 4 2 2" xfId="20883" xr:uid="{E7F038EB-D7CF-4394-BEA7-A9315ABDE79F}"/>
    <cellStyle name="Comma 923 4 3" xfId="15707" xr:uid="{1ABCA74D-4BC7-4B0B-A420-72A1107D4442}"/>
    <cellStyle name="Comma 923 5" xfId="6403" xr:uid="{FB371852-7B45-4532-93B8-EB26BFCA528D}"/>
    <cellStyle name="Comma 923 5 2" xfId="16755" xr:uid="{A30B120F-7C14-4B25-9656-2C99253EFDF9}"/>
    <cellStyle name="Comma 923 6" xfId="11581" xr:uid="{E8B4EE97-8816-4255-B663-A830537C0146}"/>
    <cellStyle name="Comma 924" xfId="1164" xr:uid="{D1D964AF-4C86-4009-9C84-029B12EE465A}"/>
    <cellStyle name="Comma 924 2" xfId="2202" xr:uid="{1FA52FB6-CBA4-4FC7-ADAA-E361A910B8BC}"/>
    <cellStyle name="Comma 924 2 2" xfId="4260" xr:uid="{394E0BC4-3FB4-4F32-AC20-7BE7A028529D}"/>
    <cellStyle name="Comma 924 2 2 2" xfId="9493" xr:uid="{87D11F34-F3DC-41F4-8930-BF3C2F15941C}"/>
    <cellStyle name="Comma 924 2 2 2 2" xfId="19845" xr:uid="{E07DF179-51BE-4BF8-A3DC-96C60C0440A0}"/>
    <cellStyle name="Comma 924 2 2 3" xfId="14670" xr:uid="{4D3B4DD8-4C05-426D-9320-79DD3D6D5151}"/>
    <cellStyle name="Comma 924 2 3" xfId="7435" xr:uid="{DF938BAE-8ED0-4FA1-80B1-8734F183A7CC}"/>
    <cellStyle name="Comma 924 2 3 2" xfId="17787" xr:uid="{29C0017E-AC03-4E9F-8301-B74A4B943398}"/>
    <cellStyle name="Comma 924 2 4" xfId="12612" xr:uid="{DBC5EE16-FDA0-4447-B0E6-22279EB2FF75}"/>
    <cellStyle name="Comma 924 3" xfId="3230" xr:uid="{93E2B80F-1ADC-484A-B88F-AC6F556C19D7}"/>
    <cellStyle name="Comma 924 3 2" xfId="8463" xr:uid="{6AA70D3F-4DE3-49E8-940C-75912C7527F2}"/>
    <cellStyle name="Comma 924 3 2 2" xfId="18815" xr:uid="{683E4F24-F1F2-4BC2-93A7-05A21597FC22}"/>
    <cellStyle name="Comma 924 3 3" xfId="13640" xr:uid="{620FA6B9-0F50-4C48-B176-C7D8D8AE3DAE}"/>
    <cellStyle name="Comma 924 4" xfId="5356" xr:uid="{C636B9C2-5F99-48AE-ACBE-9C7B75F11FE4}"/>
    <cellStyle name="Comma 924 4 2" xfId="10532" xr:uid="{329CD258-0BEC-43E3-8E2F-73A439C2E217}"/>
    <cellStyle name="Comma 924 4 2 2" xfId="20884" xr:uid="{BE09E5BD-4639-425C-B67B-2071AC6BEDF0}"/>
    <cellStyle name="Comma 924 4 3" xfId="15708" xr:uid="{B2703FC5-5524-44EE-877C-BEA5B46FEDE0}"/>
    <cellStyle name="Comma 924 5" xfId="6404" xr:uid="{A36E8822-0863-434F-9802-99D0C0F935BD}"/>
    <cellStyle name="Comma 924 5 2" xfId="16756" xr:uid="{8586ABB5-EB0D-46DE-9C2B-C75AAD5CE797}"/>
    <cellStyle name="Comma 924 6" xfId="11582" xr:uid="{CEBDF41A-004D-4A84-BA70-6C065A5C0A65}"/>
    <cellStyle name="Comma 925" xfId="1165" xr:uid="{CFCEF022-5DBC-4E84-B898-9346F51BB779}"/>
    <cellStyle name="Comma 925 2" xfId="2203" xr:uid="{0F54B139-4F2A-4416-B2A0-A69E556B6A83}"/>
    <cellStyle name="Comma 925 2 2" xfId="4261" xr:uid="{938F1A38-9C8B-4B37-BDDC-718E891D27B1}"/>
    <cellStyle name="Comma 925 2 2 2" xfId="9494" xr:uid="{EAE09118-9A39-4B64-BA23-FC4D0FC39EBD}"/>
    <cellStyle name="Comma 925 2 2 2 2" xfId="19846" xr:uid="{69F77BCB-142F-4E01-9C88-D8AB50F5AD1F}"/>
    <cellStyle name="Comma 925 2 2 3" xfId="14671" xr:uid="{B18012D4-7390-4068-8B8D-9A9AD72B82BE}"/>
    <cellStyle name="Comma 925 2 3" xfId="7436" xr:uid="{844B0222-6A26-4564-B40A-6F207C4C34BB}"/>
    <cellStyle name="Comma 925 2 3 2" xfId="17788" xr:uid="{3A4B89E0-1D06-429C-8037-1CD016233796}"/>
    <cellStyle name="Comma 925 2 4" xfId="12613" xr:uid="{7E921B6E-CE03-48DA-B23C-D55174FC9026}"/>
    <cellStyle name="Comma 925 3" xfId="3231" xr:uid="{F7FC1F21-F05C-4A30-B468-E2FFF2672D7F}"/>
    <cellStyle name="Comma 925 3 2" xfId="8464" xr:uid="{61D176BF-1C8B-4F3A-A9C1-A1A78B219278}"/>
    <cellStyle name="Comma 925 3 2 2" xfId="18816" xr:uid="{2A6A66D3-DE1C-4416-8EC4-6D70EEFD018C}"/>
    <cellStyle name="Comma 925 3 3" xfId="13641" xr:uid="{F8C124FC-946C-4315-8138-E75C9EA97F8D}"/>
    <cellStyle name="Comma 925 4" xfId="5357" xr:uid="{AA3693C1-A8B7-49F4-87C8-DFDBEDF4918C}"/>
    <cellStyle name="Comma 925 4 2" xfId="10533" xr:uid="{01232655-8792-4814-8FBF-BFC677064CF6}"/>
    <cellStyle name="Comma 925 4 2 2" xfId="20885" xr:uid="{EB925291-AC94-4104-B716-857F0BCC1F84}"/>
    <cellStyle name="Comma 925 4 3" xfId="15709" xr:uid="{9C3513CC-DFD7-4D9B-AB16-6CB0CCEE3BC5}"/>
    <cellStyle name="Comma 925 5" xfId="6405" xr:uid="{1A800AE6-9F09-4CF5-BDAC-02986130B448}"/>
    <cellStyle name="Comma 925 5 2" xfId="16757" xr:uid="{59A46B8D-D4C3-46FF-9835-665B7F43EE1D}"/>
    <cellStyle name="Comma 925 6" xfId="11583" xr:uid="{681B9BBA-B9A7-4A9A-B904-D5A7B1035CC8}"/>
    <cellStyle name="Comma 926" xfId="1166" xr:uid="{A1B4E320-4CD0-406D-8290-5E17615EB650}"/>
    <cellStyle name="Comma 926 2" xfId="2204" xr:uid="{A3CA031F-01F4-443F-A689-AAA80989373B}"/>
    <cellStyle name="Comma 926 2 2" xfId="4262" xr:uid="{66648787-A637-467C-B45B-E2527E99939F}"/>
    <cellStyle name="Comma 926 2 2 2" xfId="9495" xr:uid="{3E92FC22-89AB-453E-BFA6-CB32801C62B5}"/>
    <cellStyle name="Comma 926 2 2 2 2" xfId="19847" xr:uid="{8DBB20C7-0B26-4578-9C5C-6BA87FC9297F}"/>
    <cellStyle name="Comma 926 2 2 3" xfId="14672" xr:uid="{77758978-8CE1-44AF-BCF1-6CE98104F03E}"/>
    <cellStyle name="Comma 926 2 3" xfId="7437" xr:uid="{D6CD9452-DA7B-4BA2-B147-760A0B1CD9A0}"/>
    <cellStyle name="Comma 926 2 3 2" xfId="17789" xr:uid="{B1DACDA4-9F21-4F8B-AE3F-A7D16BFD4EBC}"/>
    <cellStyle name="Comma 926 2 4" xfId="12614" xr:uid="{E5580FF1-3157-4147-8881-7BD59C54DC58}"/>
    <cellStyle name="Comma 926 3" xfId="3232" xr:uid="{B52070F3-5293-4D24-9FF2-9C70441CCE65}"/>
    <cellStyle name="Comma 926 3 2" xfId="8465" xr:uid="{F29B959A-5833-4B4E-B57E-7F0DB5FE564F}"/>
    <cellStyle name="Comma 926 3 2 2" xfId="18817" xr:uid="{226BBFAF-AAC7-43B8-921E-37DADE444DB0}"/>
    <cellStyle name="Comma 926 3 3" xfId="13642" xr:uid="{E6150F0A-CC63-4B08-8CA1-99B63B4E55A0}"/>
    <cellStyle name="Comma 926 4" xfId="5358" xr:uid="{2FC28FD7-DF37-4436-B3FE-CDEEBAE2E90C}"/>
    <cellStyle name="Comma 926 4 2" xfId="10534" xr:uid="{68116CD7-5AD1-4331-A045-BB42B59218B9}"/>
    <cellStyle name="Comma 926 4 2 2" xfId="20886" xr:uid="{64FB404B-32B4-4127-9203-A4D3731BDDC2}"/>
    <cellStyle name="Comma 926 4 3" xfId="15710" xr:uid="{ADA529CD-87C5-4522-9BCD-AAE3A9A054F2}"/>
    <cellStyle name="Comma 926 5" xfId="6406" xr:uid="{607F5D97-35B4-4F22-99FF-6A4D0BDFD52B}"/>
    <cellStyle name="Comma 926 5 2" xfId="16758" xr:uid="{8369AEE0-8CD6-4512-B960-674BF3E2D68F}"/>
    <cellStyle name="Comma 926 6" xfId="11584" xr:uid="{C6306755-A2B0-494F-B85D-C159CDA64E5E}"/>
    <cellStyle name="Comma 927" xfId="1167" xr:uid="{94F3C32F-12AF-4037-8E73-9E58A1EB1BC5}"/>
    <cellStyle name="Comma 927 2" xfId="2205" xr:uid="{59E2E0DE-89AC-46CE-851E-FC1FE000EB37}"/>
    <cellStyle name="Comma 927 2 2" xfId="4263" xr:uid="{CDCB617C-70CD-4893-B435-5FDD84DB9FB0}"/>
    <cellStyle name="Comma 927 2 2 2" xfId="9496" xr:uid="{8FFEC03C-35BD-436C-8B18-B5848DF45D8B}"/>
    <cellStyle name="Comma 927 2 2 2 2" xfId="19848" xr:uid="{5BE2E621-5AC6-4DF5-B1DC-A47ABF357C7A}"/>
    <cellStyle name="Comma 927 2 2 3" xfId="14673" xr:uid="{0E35DFCE-FE23-4EC4-9747-65E7754A94A7}"/>
    <cellStyle name="Comma 927 2 3" xfId="7438" xr:uid="{D2813B54-BC95-4AF1-9A62-A813F40F8F21}"/>
    <cellStyle name="Comma 927 2 3 2" xfId="17790" xr:uid="{F8EBC6D9-D236-4A05-94DC-C21A5C860C34}"/>
    <cellStyle name="Comma 927 2 4" xfId="12615" xr:uid="{91DBD2AE-9F54-42BB-8523-D8E5C00689AD}"/>
    <cellStyle name="Comma 927 3" xfId="3233" xr:uid="{16A16A2F-A516-447E-8539-778B74283E72}"/>
    <cellStyle name="Comma 927 3 2" xfId="8466" xr:uid="{10A80C2C-F438-45C8-93A5-507D621953E7}"/>
    <cellStyle name="Comma 927 3 2 2" xfId="18818" xr:uid="{2CED0682-0BFF-4EEA-B33F-4AFC4D4B7A9A}"/>
    <cellStyle name="Comma 927 3 3" xfId="13643" xr:uid="{8EED8CAA-151D-4BD3-9DCC-455BD9698C63}"/>
    <cellStyle name="Comma 927 4" xfId="5359" xr:uid="{8542F3B8-BEDE-4091-BACC-A2A228ADD223}"/>
    <cellStyle name="Comma 927 4 2" xfId="10535" xr:uid="{93EE776A-2077-4A2E-BA22-F47C3F97E69E}"/>
    <cellStyle name="Comma 927 4 2 2" xfId="20887" xr:uid="{F965F890-34C9-4172-8C49-7471E3796819}"/>
    <cellStyle name="Comma 927 4 3" xfId="15711" xr:uid="{AC808C79-CFBE-4B31-81C1-9C2CF4A6114C}"/>
    <cellStyle name="Comma 927 5" xfId="6407" xr:uid="{BD387246-C0DC-48EE-9E7B-E117F64C9EC5}"/>
    <cellStyle name="Comma 927 5 2" xfId="16759" xr:uid="{B230BF54-57EE-4BBE-9F28-1451E44F08A3}"/>
    <cellStyle name="Comma 927 6" xfId="11585" xr:uid="{A84FEA3E-A4DA-4177-82BC-8EFBFFDA3DBC}"/>
    <cellStyle name="Comma 928" xfId="1168" xr:uid="{2B920012-4F1C-416F-B189-0A77D9A59CA2}"/>
    <cellStyle name="Comma 928 2" xfId="2206" xr:uid="{F27277E4-D7FF-48E8-AEEB-6F272F648BE0}"/>
    <cellStyle name="Comma 928 2 2" xfId="4264" xr:uid="{42439928-4A5B-4D47-BEC4-BB12BF5AB2AD}"/>
    <cellStyle name="Comma 928 2 2 2" xfId="9497" xr:uid="{B0C638AD-9ABB-447B-AFAD-BC58CDC6C535}"/>
    <cellStyle name="Comma 928 2 2 2 2" xfId="19849" xr:uid="{FE92070F-A93B-4E7C-AFE9-636AD9157272}"/>
    <cellStyle name="Comma 928 2 2 3" xfId="14674" xr:uid="{02334A5B-74F5-4833-BFB5-2DBA894E9D92}"/>
    <cellStyle name="Comma 928 2 3" xfId="7439" xr:uid="{49542E97-37A5-4482-9493-73690B89ADBC}"/>
    <cellStyle name="Comma 928 2 3 2" xfId="17791" xr:uid="{CB895B65-AEF0-4E0D-BAC7-E481604BB2B5}"/>
    <cellStyle name="Comma 928 2 4" xfId="12616" xr:uid="{65906E57-FC56-4139-9799-3525EB919891}"/>
    <cellStyle name="Comma 928 3" xfId="3234" xr:uid="{4813DBF7-E1B0-479C-9B9D-02C49186E4A8}"/>
    <cellStyle name="Comma 928 3 2" xfId="8467" xr:uid="{673E79FA-FCBD-4F19-8D8F-293BA358FC43}"/>
    <cellStyle name="Comma 928 3 2 2" xfId="18819" xr:uid="{AE87C28D-65D8-47A0-92D4-470685E89051}"/>
    <cellStyle name="Comma 928 3 3" xfId="13644" xr:uid="{677209C7-BFF5-4BE1-9B27-065687AA3966}"/>
    <cellStyle name="Comma 928 4" xfId="5360" xr:uid="{3430A04B-9F52-4DCE-8700-8BAB0772347C}"/>
    <cellStyle name="Comma 928 4 2" xfId="10536" xr:uid="{8950187A-CE09-4354-B0A6-FF32058F2430}"/>
    <cellStyle name="Comma 928 4 2 2" xfId="20888" xr:uid="{554FD85C-2532-4106-9D74-4112E1C276C3}"/>
    <cellStyle name="Comma 928 4 3" xfId="15712" xr:uid="{02FD58B7-6D34-4251-9BAC-310FEF9FDCB8}"/>
    <cellStyle name="Comma 928 5" xfId="6408" xr:uid="{F63342B7-3D7E-4840-B48C-1902CF035E99}"/>
    <cellStyle name="Comma 928 5 2" xfId="16760" xr:uid="{6A6F8DBF-4413-487D-8B1D-28B8E308B7F6}"/>
    <cellStyle name="Comma 928 6" xfId="11586" xr:uid="{B049F504-9F6D-4DB0-A328-2C89EEE69ED2}"/>
    <cellStyle name="Comma 929" xfId="1169" xr:uid="{FF1A41F1-1789-404E-8708-B8A01DF7432F}"/>
    <cellStyle name="Comma 929 2" xfId="2207" xr:uid="{0A8DDEA5-DDCF-4643-ACDA-C01915FEBFB9}"/>
    <cellStyle name="Comma 929 2 2" xfId="4265" xr:uid="{F302BAA8-56F3-43F4-8D04-9ADFA85E7BEC}"/>
    <cellStyle name="Comma 929 2 2 2" xfId="9498" xr:uid="{44BBE8E6-47CA-421C-9F90-8E5A9A6B6582}"/>
    <cellStyle name="Comma 929 2 2 2 2" xfId="19850" xr:uid="{03DF967A-02DB-4E8D-A865-6ECB036E7F6D}"/>
    <cellStyle name="Comma 929 2 2 3" xfId="14675" xr:uid="{1D9D0F2E-311D-4951-AC86-5AA7521E3985}"/>
    <cellStyle name="Comma 929 2 3" xfId="7440" xr:uid="{F69C9434-71AE-4302-8472-68EFEB7D3229}"/>
    <cellStyle name="Comma 929 2 3 2" xfId="17792" xr:uid="{8A373184-FC13-4D94-9DD2-E1F3C3311273}"/>
    <cellStyle name="Comma 929 2 4" xfId="12617" xr:uid="{30F113FB-82DB-40A2-BC59-BDFDA5410879}"/>
    <cellStyle name="Comma 929 3" xfId="3235" xr:uid="{E9A3A5A0-4540-44EE-9DF5-56BC64AE3DA1}"/>
    <cellStyle name="Comma 929 3 2" xfId="8468" xr:uid="{17CE82C0-7E47-472C-A4B6-445F4E9FC89F}"/>
    <cellStyle name="Comma 929 3 2 2" xfId="18820" xr:uid="{C55B826B-5D13-4026-AC34-16B8795D0F15}"/>
    <cellStyle name="Comma 929 3 3" xfId="13645" xr:uid="{BB9E9A1E-DF3B-4F84-869A-44B88D224CD2}"/>
    <cellStyle name="Comma 929 4" xfId="5361" xr:uid="{A7B6BBA6-17A1-42E1-82CC-8E9860DFFAD2}"/>
    <cellStyle name="Comma 929 4 2" xfId="10537" xr:uid="{1545FBCB-FF3C-45B8-BB28-E2C35CA38A02}"/>
    <cellStyle name="Comma 929 4 2 2" xfId="20889" xr:uid="{DF5DA60C-482A-4877-9C65-52968E02847A}"/>
    <cellStyle name="Comma 929 4 3" xfId="15713" xr:uid="{01F90D87-20FF-4D23-B62E-1A7C03D1E283}"/>
    <cellStyle name="Comma 929 5" xfId="6409" xr:uid="{1E69D477-445D-4028-B005-39102B7947E5}"/>
    <cellStyle name="Comma 929 5 2" xfId="16761" xr:uid="{79D1F5F6-D230-47AF-92A7-11F9F8789F50}"/>
    <cellStyle name="Comma 929 6" xfId="11587" xr:uid="{8E4B1497-65E6-4779-A550-54E2FFE5D196}"/>
    <cellStyle name="Comma 93" xfId="307" xr:uid="{FA7B0CF3-F102-4C58-B083-673929D060A6}"/>
    <cellStyle name="Comma 93 2" xfId="1371" xr:uid="{3F63EE57-EEC3-4063-A1F7-46C3C3566FB7}"/>
    <cellStyle name="Comma 93 2 2" xfId="3429" xr:uid="{467AC940-F32F-4BCC-A905-D5C792F6E41E}"/>
    <cellStyle name="Comma 93 2 2 2" xfId="8662" xr:uid="{B34D3EE6-80EC-4B0D-9FD5-6969F6A66DA2}"/>
    <cellStyle name="Comma 93 2 2 2 2" xfId="19014" xr:uid="{F870ACC0-6BBE-4A3D-BE88-FCCF8E28A435}"/>
    <cellStyle name="Comma 93 2 2 3" xfId="13839" xr:uid="{ED74E1D4-4232-4FE0-B377-FDE0B5A0450F}"/>
    <cellStyle name="Comma 93 2 3" xfId="6604" xr:uid="{44364EDB-EE7D-4E12-9083-B2F339C24337}"/>
    <cellStyle name="Comma 93 2 3 2" xfId="16956" xr:uid="{C57F0B17-5FFE-4B80-A613-041D75183E1A}"/>
    <cellStyle name="Comma 93 2 4" xfId="11781" xr:uid="{8F32F313-743C-4170-8080-03E1E2CB3A08}"/>
    <cellStyle name="Comma 93 3" xfId="2399" xr:uid="{8E874835-9B2A-4C45-95BD-65AD4AACF284}"/>
    <cellStyle name="Comma 93 3 2" xfId="7632" xr:uid="{827E8315-8798-4EAF-86CC-6B92DFD912CD}"/>
    <cellStyle name="Comma 93 3 2 2" xfId="17984" xr:uid="{9B1B20BC-63F5-46FC-9031-FE8F0ECBC542}"/>
    <cellStyle name="Comma 93 3 3" xfId="12809" xr:uid="{3E92F29F-AFA8-4F2D-93DC-04C2EDBC97F2}"/>
    <cellStyle name="Comma 93 4" xfId="4525" xr:uid="{A7987454-B87F-47ED-8615-01441974FC50}"/>
    <cellStyle name="Comma 93 4 2" xfId="9701" xr:uid="{AAB5805B-EB0E-447B-B927-E3E8AFCAA5F5}"/>
    <cellStyle name="Comma 93 4 2 2" xfId="20053" xr:uid="{9EA30C47-854F-42AE-AEA9-2BDA7A91A061}"/>
    <cellStyle name="Comma 93 4 3" xfId="14877" xr:uid="{6F5D803F-A580-44DB-8F22-D7B8AE424489}"/>
    <cellStyle name="Comma 93 5" xfId="5573" xr:uid="{1C362DB0-1B6B-4FA0-9050-70396B16BB47}"/>
    <cellStyle name="Comma 93 5 2" xfId="15925" xr:uid="{4EF13AAD-9C99-4C60-BDBD-019E6355AD9E}"/>
    <cellStyle name="Comma 93 6" xfId="10751" xr:uid="{4BCE5EE3-62C8-4030-A282-027C614679B9}"/>
    <cellStyle name="Comma 930" xfId="1170" xr:uid="{47700334-4D66-4AB3-B1D4-2754D479878D}"/>
    <cellStyle name="Comma 930 2" xfId="2208" xr:uid="{2BF3FA89-6C45-4877-AE52-A7224D7542B4}"/>
    <cellStyle name="Comma 930 2 2" xfId="4266" xr:uid="{202FC8DD-D6AD-4597-846D-55FDA78697A4}"/>
    <cellStyle name="Comma 930 2 2 2" xfId="9499" xr:uid="{7973B0E9-A97F-4ECA-8A77-FCACD06C3C35}"/>
    <cellStyle name="Comma 930 2 2 2 2" xfId="19851" xr:uid="{40F68E03-B9D7-4BB9-9A23-7F114259E14D}"/>
    <cellStyle name="Comma 930 2 2 3" xfId="14676" xr:uid="{A9A63B23-E6E9-49D0-8B6A-16F2368E0FCD}"/>
    <cellStyle name="Comma 930 2 3" xfId="7441" xr:uid="{2258D7CA-76F3-44A2-92AD-56077030FA27}"/>
    <cellStyle name="Comma 930 2 3 2" xfId="17793" xr:uid="{160D6500-F9F3-4AD4-AB23-82577E9C4BF4}"/>
    <cellStyle name="Comma 930 2 4" xfId="12618" xr:uid="{0866B5C4-3394-4799-BBCB-7A2725874912}"/>
    <cellStyle name="Comma 930 3" xfId="3236" xr:uid="{CB105695-4BE7-4C32-AF90-33118821B204}"/>
    <cellStyle name="Comma 930 3 2" xfId="8469" xr:uid="{F223CC6A-659C-4236-8AC8-555AF72083D5}"/>
    <cellStyle name="Comma 930 3 2 2" xfId="18821" xr:uid="{FD37A460-6E16-4281-A8AD-94A86B0E3E73}"/>
    <cellStyle name="Comma 930 3 3" xfId="13646" xr:uid="{A583F5B8-B71E-4FCF-8107-39E740B8D097}"/>
    <cellStyle name="Comma 930 4" xfId="5362" xr:uid="{BCC2EB0F-802A-48E0-BDA4-DB184EC60DD9}"/>
    <cellStyle name="Comma 930 4 2" xfId="10538" xr:uid="{194F4CFB-44E0-4351-B855-0F2ED37F3925}"/>
    <cellStyle name="Comma 930 4 2 2" xfId="20890" xr:uid="{E2E9FF80-8743-4E6A-A3CF-4FC0D44CA560}"/>
    <cellStyle name="Comma 930 4 3" xfId="15714" xr:uid="{1C2A06E7-5FEC-4101-8732-E53713C428E1}"/>
    <cellStyle name="Comma 930 5" xfId="6410" xr:uid="{8557A9BE-BCE1-4EF4-AC1E-DA61AD4044CF}"/>
    <cellStyle name="Comma 930 5 2" xfId="16762" xr:uid="{D86AB308-B8AA-486F-97C3-46CE06A35724}"/>
    <cellStyle name="Comma 930 6" xfId="11588" xr:uid="{41D770B2-9485-49D7-858C-E0D84FA97920}"/>
    <cellStyle name="Comma 931" xfId="1171" xr:uid="{10C1B770-66F1-4A70-8734-335839184F27}"/>
    <cellStyle name="Comma 931 2" xfId="2209" xr:uid="{BD0DBF45-2F23-480E-A8D2-7BDD9929559D}"/>
    <cellStyle name="Comma 931 2 2" xfId="4267" xr:uid="{314A989E-3F27-4CAD-910F-944745EE28D9}"/>
    <cellStyle name="Comma 931 2 2 2" xfId="9500" xr:uid="{BA106817-4DF3-4CA3-A471-D9D6926C0F7C}"/>
    <cellStyle name="Comma 931 2 2 2 2" xfId="19852" xr:uid="{A123A69A-3088-46F4-BF0B-E2C1D3ED0075}"/>
    <cellStyle name="Comma 931 2 2 3" xfId="14677" xr:uid="{8018E2A9-11E9-4A0E-9FC3-B9940182DF31}"/>
    <cellStyle name="Comma 931 2 3" xfId="7442" xr:uid="{F49E88EB-627F-457A-BF45-22DFFD17CB79}"/>
    <cellStyle name="Comma 931 2 3 2" xfId="17794" xr:uid="{BA9410E2-3384-4BA7-AF41-CE03966EC05B}"/>
    <cellStyle name="Comma 931 2 4" xfId="12619" xr:uid="{73C78BDB-195B-40B4-A4B5-21262D4891F3}"/>
    <cellStyle name="Comma 931 3" xfId="3237" xr:uid="{7A2A202A-5C49-4A4E-AE15-AC75AAB711DE}"/>
    <cellStyle name="Comma 931 3 2" xfId="8470" xr:uid="{70FF5E05-C66B-44E6-8FFA-77F984B7C771}"/>
    <cellStyle name="Comma 931 3 2 2" xfId="18822" xr:uid="{AC91A890-7EC6-47FE-8413-D28E20D76897}"/>
    <cellStyle name="Comma 931 3 3" xfId="13647" xr:uid="{18AD4FE4-5705-471C-987F-F68DAA6FD478}"/>
    <cellStyle name="Comma 931 4" xfId="5363" xr:uid="{4E422E87-076F-4DC6-B614-3720F1CD77B3}"/>
    <cellStyle name="Comma 931 4 2" xfId="10539" xr:uid="{415375AA-A74F-4FE1-8996-D9206B84B0A9}"/>
    <cellStyle name="Comma 931 4 2 2" xfId="20891" xr:uid="{5A076008-869B-42E0-B3A7-E85092164D8E}"/>
    <cellStyle name="Comma 931 4 3" xfId="15715" xr:uid="{B2023C46-B86C-4E88-9E34-F0A922393B4B}"/>
    <cellStyle name="Comma 931 5" xfId="6411" xr:uid="{072281C5-A623-4007-9ECF-7E84D3BD74E7}"/>
    <cellStyle name="Comma 931 5 2" xfId="16763" xr:uid="{DEF3E288-5BB7-4404-B773-5FE18B80EA74}"/>
    <cellStyle name="Comma 931 6" xfId="11589" xr:uid="{94B5BDE1-5B78-4910-B0A5-A7FC8ED1F4C8}"/>
    <cellStyle name="Comma 932" xfId="1172" xr:uid="{2BF4C716-3390-44BB-A3E7-46AC6D9ADDC2}"/>
    <cellStyle name="Comma 932 2" xfId="2210" xr:uid="{7E043AD7-4F23-468E-851F-340C55542614}"/>
    <cellStyle name="Comma 932 2 2" xfId="4268" xr:uid="{D82F9343-8C4F-46EA-B38B-F25DD501CAEC}"/>
    <cellStyle name="Comma 932 2 2 2" xfId="9501" xr:uid="{D765D00D-70C6-44DD-B584-55B593B021BC}"/>
    <cellStyle name="Comma 932 2 2 2 2" xfId="19853" xr:uid="{882AB4D3-4597-4554-9A09-BEB813D3F15A}"/>
    <cellStyle name="Comma 932 2 2 3" xfId="14678" xr:uid="{8D22AE13-B234-4F49-B6C7-9F2EE80EF511}"/>
    <cellStyle name="Comma 932 2 3" xfId="7443" xr:uid="{6861C96A-6A8C-46A8-ADFB-3D44D4A8E650}"/>
    <cellStyle name="Comma 932 2 3 2" xfId="17795" xr:uid="{6DFE23B8-B5E3-4416-A451-FC1A4589C739}"/>
    <cellStyle name="Comma 932 2 4" xfId="12620" xr:uid="{83C4944D-6F2E-4BA5-B05C-B667CD337C9F}"/>
    <cellStyle name="Comma 932 3" xfId="3238" xr:uid="{FD4D6931-26AE-44FA-8F5F-5E709C4D8784}"/>
    <cellStyle name="Comma 932 3 2" xfId="8471" xr:uid="{9FFA6165-E50B-481E-8E62-E493C0A30188}"/>
    <cellStyle name="Comma 932 3 2 2" xfId="18823" xr:uid="{9CD2F5AE-AB40-46B1-9761-CC4454EB2655}"/>
    <cellStyle name="Comma 932 3 3" xfId="13648" xr:uid="{A2DB4662-475B-4BBC-96F1-44CDF116D64B}"/>
    <cellStyle name="Comma 932 4" xfId="5364" xr:uid="{AC86E431-BCEF-4E9B-A522-9946C4971767}"/>
    <cellStyle name="Comma 932 4 2" xfId="10540" xr:uid="{84187424-2B01-4D93-B91C-8DB817353B4D}"/>
    <cellStyle name="Comma 932 4 2 2" xfId="20892" xr:uid="{5DB467C3-F8EC-4CBF-BEC6-9FCB6717B54F}"/>
    <cellStyle name="Comma 932 4 3" xfId="15716" xr:uid="{9CE17DD6-F249-49C4-80E8-CDF2A5B54009}"/>
    <cellStyle name="Comma 932 5" xfId="6412" xr:uid="{1BC30686-4EEC-467B-860A-CF64B565A102}"/>
    <cellStyle name="Comma 932 5 2" xfId="16764" xr:uid="{725B5584-1B6F-4D12-8CD9-B7550439F6B5}"/>
    <cellStyle name="Comma 932 6" xfId="11590" xr:uid="{A66E6E30-F211-4357-AA26-44A42EDFDA0F}"/>
    <cellStyle name="Comma 933" xfId="1173" xr:uid="{CC3900F8-7882-4656-825C-E576D77C3F2B}"/>
    <cellStyle name="Comma 933 2" xfId="2211" xr:uid="{11F0E670-C8A9-4557-B6EC-65929D678F70}"/>
    <cellStyle name="Comma 933 2 2" xfId="4269" xr:uid="{F8784ED3-769E-4791-8284-8520AE64D6C5}"/>
    <cellStyle name="Comma 933 2 2 2" xfId="9502" xr:uid="{95730E55-EFF8-4639-9F91-675808132349}"/>
    <cellStyle name="Comma 933 2 2 2 2" xfId="19854" xr:uid="{605A01CE-4BBC-4C91-9D44-8FB15DE01B7D}"/>
    <cellStyle name="Comma 933 2 2 3" xfId="14679" xr:uid="{FB5AAE19-8683-4029-B3BD-2B9BD7A1A099}"/>
    <cellStyle name="Comma 933 2 3" xfId="7444" xr:uid="{F2EE32CD-1513-4750-9958-782B1CBA0542}"/>
    <cellStyle name="Comma 933 2 3 2" xfId="17796" xr:uid="{5E02526E-577E-405B-A97E-612EC0B027DC}"/>
    <cellStyle name="Comma 933 2 4" xfId="12621" xr:uid="{1C352524-CC49-4838-B9DB-98B22D896596}"/>
    <cellStyle name="Comma 933 3" xfId="3239" xr:uid="{26CB19AD-79C1-4FFF-AA0D-2F78F31B045C}"/>
    <cellStyle name="Comma 933 3 2" xfId="8472" xr:uid="{06351C3D-9B20-40FE-B6EB-771CD1914675}"/>
    <cellStyle name="Comma 933 3 2 2" xfId="18824" xr:uid="{0CCC1CC7-DC5C-4B1F-8E8A-ADA13C3CEC9F}"/>
    <cellStyle name="Comma 933 3 3" xfId="13649" xr:uid="{25D43B2A-7B6A-406E-91C0-A0A0933571EF}"/>
    <cellStyle name="Comma 933 4" xfId="5365" xr:uid="{F9C6E9AF-0C08-435F-872D-CD8A295118C5}"/>
    <cellStyle name="Comma 933 4 2" xfId="10541" xr:uid="{12C251AB-454B-48F6-8633-5F0EA83B84B6}"/>
    <cellStyle name="Comma 933 4 2 2" xfId="20893" xr:uid="{80225C69-7BEF-4195-AF6D-4898FEA06D57}"/>
    <cellStyle name="Comma 933 4 3" xfId="15717" xr:uid="{216262DE-20E6-4FB0-A84C-A896C9AB98AE}"/>
    <cellStyle name="Comma 933 5" xfId="6413" xr:uid="{4C8BD541-9F9A-45A5-B93D-0DEEEB86C79F}"/>
    <cellStyle name="Comma 933 5 2" xfId="16765" xr:uid="{1D6A8396-5E1E-4C43-9EA0-13171D220DA2}"/>
    <cellStyle name="Comma 933 6" xfId="11591" xr:uid="{94BA207E-51BA-45D4-9338-817C97A8CA5F}"/>
    <cellStyle name="Comma 934" xfId="1174" xr:uid="{2AFBF03B-391C-48FA-BA24-602217BEA2BC}"/>
    <cellStyle name="Comma 934 2" xfId="2212" xr:uid="{405BBC36-D4FF-4027-A91B-93CA1E073B8E}"/>
    <cellStyle name="Comma 934 2 2" xfId="4270" xr:uid="{D0AAA3A7-2FAD-46A6-A4EB-5A1CEA5347D2}"/>
    <cellStyle name="Comma 934 2 2 2" xfId="9503" xr:uid="{15D8A1C1-8931-4D64-B651-F8F5044AB153}"/>
    <cellStyle name="Comma 934 2 2 2 2" xfId="19855" xr:uid="{84461757-22DA-4D76-ADB0-B88AA3B28B41}"/>
    <cellStyle name="Comma 934 2 2 3" xfId="14680" xr:uid="{0658F083-654E-4EAB-8E53-30733D10DC45}"/>
    <cellStyle name="Comma 934 2 3" xfId="7445" xr:uid="{93B98E95-C129-4340-A932-A68FC07040DF}"/>
    <cellStyle name="Comma 934 2 3 2" xfId="17797" xr:uid="{FFBD10A7-ACEF-463C-BB78-DDAFF6FDAAEA}"/>
    <cellStyle name="Comma 934 2 4" xfId="12622" xr:uid="{3AE80DE7-B4BE-4BE1-B440-18BA980F3D7D}"/>
    <cellStyle name="Comma 934 3" xfId="3240" xr:uid="{032D5F7F-5A1A-427C-A3A0-A642BDFCF6CB}"/>
    <cellStyle name="Comma 934 3 2" xfId="8473" xr:uid="{FC7E5663-4B34-4BA4-93B8-772BBB73D86A}"/>
    <cellStyle name="Comma 934 3 2 2" xfId="18825" xr:uid="{11984562-AC1D-4F93-AA88-D91A716458C5}"/>
    <cellStyle name="Comma 934 3 3" xfId="13650" xr:uid="{221F6A2E-6E22-4A96-8F89-F28432D5F2ED}"/>
    <cellStyle name="Comma 934 4" xfId="5366" xr:uid="{B43E9FDA-1535-4E44-9023-6EE1A40F8EB8}"/>
    <cellStyle name="Comma 934 4 2" xfId="10542" xr:uid="{4F4E7453-8AAB-4ABA-AF59-6F1FA39228EF}"/>
    <cellStyle name="Comma 934 4 2 2" xfId="20894" xr:uid="{5DDDAB59-6B3E-4632-A232-38168734ABB3}"/>
    <cellStyle name="Comma 934 4 3" xfId="15718" xr:uid="{32A09B4A-C77F-48D9-851A-728EC7D60701}"/>
    <cellStyle name="Comma 934 5" xfId="6414" xr:uid="{CE4A42C9-F2CB-4A97-9612-D1D971D49FEE}"/>
    <cellStyle name="Comma 934 5 2" xfId="16766" xr:uid="{E0E424D4-67DC-4946-A509-09E430679002}"/>
    <cellStyle name="Comma 934 6" xfId="11592" xr:uid="{D77E812E-4D1B-41CE-BD45-EF24F98442DB}"/>
    <cellStyle name="Comma 935" xfId="1175" xr:uid="{2C46A837-E840-4964-B779-8684592D8C89}"/>
    <cellStyle name="Comma 935 2" xfId="2213" xr:uid="{2A055D3D-4A38-450F-BC71-073DF9F6DE07}"/>
    <cellStyle name="Comma 935 2 2" xfId="4271" xr:uid="{6DEC201B-EEC2-4032-BC91-687CD6130C35}"/>
    <cellStyle name="Comma 935 2 2 2" xfId="9504" xr:uid="{8635A331-741B-4F31-B639-BD3236720922}"/>
    <cellStyle name="Comma 935 2 2 2 2" xfId="19856" xr:uid="{79E2EF55-A619-47F1-ADC3-4FD57E045242}"/>
    <cellStyle name="Comma 935 2 2 3" xfId="14681" xr:uid="{5987A32D-40FD-4B5D-9E1B-75E6D551ECDD}"/>
    <cellStyle name="Comma 935 2 3" xfId="7446" xr:uid="{C2F5C686-3796-47F5-A071-CCAA8E9962BA}"/>
    <cellStyle name="Comma 935 2 3 2" xfId="17798" xr:uid="{6DCBF9EB-3C25-41CF-A134-CD148F8EAD24}"/>
    <cellStyle name="Comma 935 2 4" xfId="12623" xr:uid="{900DE638-00B5-4385-9C45-66069858BDF2}"/>
    <cellStyle name="Comma 935 3" xfId="3241" xr:uid="{17A61D54-36CE-4C96-9601-0C1BD826C736}"/>
    <cellStyle name="Comma 935 3 2" xfId="8474" xr:uid="{3A3B928B-5C6B-4637-ABBC-A2557DD89CBB}"/>
    <cellStyle name="Comma 935 3 2 2" xfId="18826" xr:uid="{F0F825C4-5361-40FD-B2DD-09C96DF478B5}"/>
    <cellStyle name="Comma 935 3 3" xfId="13651" xr:uid="{A39E7028-D82A-4856-A454-AB0DE61F1D48}"/>
    <cellStyle name="Comma 935 4" xfId="5367" xr:uid="{603A0990-79B1-43EC-BA46-F6BD4F265AC2}"/>
    <cellStyle name="Comma 935 4 2" xfId="10543" xr:uid="{40EC369A-F3B5-4703-973C-4343DE0E0219}"/>
    <cellStyle name="Comma 935 4 2 2" xfId="20895" xr:uid="{7E3A8CB1-1516-40B2-9405-AE46E5155543}"/>
    <cellStyle name="Comma 935 4 3" xfId="15719" xr:uid="{3C1A2242-8003-4725-972D-103A88D2BA55}"/>
    <cellStyle name="Comma 935 5" xfId="6415" xr:uid="{5D27A953-AAF2-4C1E-B209-1786532AB7E8}"/>
    <cellStyle name="Comma 935 5 2" xfId="16767" xr:uid="{2916C5CB-7F3F-421C-B0BF-FA5CE145BAC8}"/>
    <cellStyle name="Comma 935 6" xfId="11593" xr:uid="{D9D0748C-3231-47CB-9EC0-E0B04E5D54B2}"/>
    <cellStyle name="Comma 936" xfId="1176" xr:uid="{4EC6B0D1-D907-4C8D-87AD-F5BEE9051995}"/>
    <cellStyle name="Comma 936 2" xfId="2214" xr:uid="{FCD5CD3C-A04D-4A05-9CCF-8C9DE6845031}"/>
    <cellStyle name="Comma 936 2 2" xfId="4272" xr:uid="{BA4C6669-3BB1-4E33-87D8-817C01D3DD64}"/>
    <cellStyle name="Comma 936 2 2 2" xfId="9505" xr:uid="{5A797E98-5362-490C-838B-DDE3E409152F}"/>
    <cellStyle name="Comma 936 2 2 2 2" xfId="19857" xr:uid="{E53746CD-833C-45A7-8901-7187F8C6986E}"/>
    <cellStyle name="Comma 936 2 2 3" xfId="14682" xr:uid="{DC4774CC-C19E-42FD-B7D5-185D57978427}"/>
    <cellStyle name="Comma 936 2 3" xfId="7447" xr:uid="{819E1045-2CE3-4672-B819-E0F549C54722}"/>
    <cellStyle name="Comma 936 2 3 2" xfId="17799" xr:uid="{976F62D6-7022-4DBA-AE47-4C605EC07382}"/>
    <cellStyle name="Comma 936 2 4" xfId="12624" xr:uid="{EF6B9E6F-D17C-495D-A6C9-7A7FC96F9329}"/>
    <cellStyle name="Comma 936 3" xfId="3242" xr:uid="{5F576AF1-A463-4997-A4B8-523E7EF4637B}"/>
    <cellStyle name="Comma 936 3 2" xfId="8475" xr:uid="{A25A8E16-1C21-41A3-8292-870E7BC36659}"/>
    <cellStyle name="Comma 936 3 2 2" xfId="18827" xr:uid="{FDEB46BA-8787-443E-8AB6-E6975D250711}"/>
    <cellStyle name="Comma 936 3 3" xfId="13652" xr:uid="{0BA0B740-B673-487F-98C9-145B17B91D88}"/>
    <cellStyle name="Comma 936 4" xfId="5368" xr:uid="{875AB71B-4000-4A81-9BA4-8912F5EB1AAA}"/>
    <cellStyle name="Comma 936 4 2" xfId="10544" xr:uid="{E299FB59-31B8-42CC-A81E-976C847782E0}"/>
    <cellStyle name="Comma 936 4 2 2" xfId="20896" xr:uid="{91EA9C17-39CA-47E4-9B14-B934994469D1}"/>
    <cellStyle name="Comma 936 4 3" xfId="15720" xr:uid="{B261D42D-E87E-4EF3-A4F2-5BCD0A0EECA7}"/>
    <cellStyle name="Comma 936 5" xfId="6416" xr:uid="{7E6B7BCD-88E4-4D28-B990-B0B576EEF4AB}"/>
    <cellStyle name="Comma 936 5 2" xfId="16768" xr:uid="{7E64B27C-F440-47CE-9BD1-3D0FD0BBFD94}"/>
    <cellStyle name="Comma 936 6" xfId="11594" xr:uid="{1A98EE3D-5E3D-4BDD-A7F2-44AEE1A79B7B}"/>
    <cellStyle name="Comma 937" xfId="1177" xr:uid="{94FD259F-7F2C-4278-AA26-16E580573BF1}"/>
    <cellStyle name="Comma 937 2" xfId="2215" xr:uid="{635BAC87-C02E-4409-A249-7E71C6C5FDE2}"/>
    <cellStyle name="Comma 937 2 2" xfId="4273" xr:uid="{53C1FF8C-C4FE-48EE-B332-77CB193FE1AA}"/>
    <cellStyle name="Comma 937 2 2 2" xfId="9506" xr:uid="{6EF96897-8C32-436A-84A9-45F6CD91687A}"/>
    <cellStyle name="Comma 937 2 2 2 2" xfId="19858" xr:uid="{4B8FF215-CAA2-4548-A187-4BA20B41E813}"/>
    <cellStyle name="Comma 937 2 2 3" xfId="14683" xr:uid="{7A1318D7-7BE9-4731-A5D3-5EE873CE4F8A}"/>
    <cellStyle name="Comma 937 2 3" xfId="7448" xr:uid="{987638D9-AD55-414C-B661-7A084B1CE94E}"/>
    <cellStyle name="Comma 937 2 3 2" xfId="17800" xr:uid="{67E54A9F-264B-4FE0-81A3-4DE7A15891A4}"/>
    <cellStyle name="Comma 937 2 4" xfId="12625" xr:uid="{F06DD358-81F1-4BBB-B47D-6B17EDBAD6A0}"/>
    <cellStyle name="Comma 937 3" xfId="3243" xr:uid="{CF7C54F1-6FCB-4DC9-9E82-CC14EA34DFC3}"/>
    <cellStyle name="Comma 937 3 2" xfId="8476" xr:uid="{5B6C1144-7128-4C1D-A61A-598F38BA975D}"/>
    <cellStyle name="Comma 937 3 2 2" xfId="18828" xr:uid="{E657A61A-000A-4707-A815-49C17D03F5DB}"/>
    <cellStyle name="Comma 937 3 3" xfId="13653" xr:uid="{4640AD4E-09DA-4B47-87D8-4AF26D444DB0}"/>
    <cellStyle name="Comma 937 4" xfId="5369" xr:uid="{43D17890-7443-4CCD-89D4-C4972936AE19}"/>
    <cellStyle name="Comma 937 4 2" xfId="10545" xr:uid="{2822D2D3-4910-48AC-ACED-791F7DCB13FE}"/>
    <cellStyle name="Comma 937 4 2 2" xfId="20897" xr:uid="{F645C0A8-D652-469A-A5A5-B4FD229AA1BD}"/>
    <cellStyle name="Comma 937 4 3" xfId="15721" xr:uid="{0B58868C-6506-4C4E-A968-01EA8A8F31D3}"/>
    <cellStyle name="Comma 937 5" xfId="6417" xr:uid="{51415F75-5893-415F-B3C0-870EBC5C8BE0}"/>
    <cellStyle name="Comma 937 5 2" xfId="16769" xr:uid="{20519443-1702-4A43-ADD7-9811B56EEA9E}"/>
    <cellStyle name="Comma 937 6" xfId="11595" xr:uid="{F313D776-1A10-41A7-BC62-1E0619AA287D}"/>
    <cellStyle name="Comma 938" xfId="1178" xr:uid="{457075AB-3A45-426D-B5D2-B19B3A21164E}"/>
    <cellStyle name="Comma 938 2" xfId="2216" xr:uid="{56A3AD36-A4C9-4850-960D-56E9178695FA}"/>
    <cellStyle name="Comma 938 2 2" xfId="4274" xr:uid="{2CD1BCCF-7861-4D14-8223-81382DCD5E89}"/>
    <cellStyle name="Comma 938 2 2 2" xfId="9507" xr:uid="{45C7E902-CCC3-4CB5-B7CD-E83BFE24B899}"/>
    <cellStyle name="Comma 938 2 2 2 2" xfId="19859" xr:uid="{E836F7D9-7298-47E7-8BCA-61257170AB4E}"/>
    <cellStyle name="Comma 938 2 2 3" xfId="14684" xr:uid="{9551902F-D39D-4CEA-93F6-4A00AA746C35}"/>
    <cellStyle name="Comma 938 2 3" xfId="7449" xr:uid="{57C286BB-FF15-40A4-A78A-8FD0C973400B}"/>
    <cellStyle name="Comma 938 2 3 2" xfId="17801" xr:uid="{702B8DA8-BA47-4054-98D5-A8D70178AF3A}"/>
    <cellStyle name="Comma 938 2 4" xfId="12626" xr:uid="{5E347A7B-2348-45E2-8866-425272D3D78D}"/>
    <cellStyle name="Comma 938 3" xfId="3244" xr:uid="{E714FAA0-A241-431F-90B1-7F4924A05DA6}"/>
    <cellStyle name="Comma 938 3 2" xfId="8477" xr:uid="{B03148C4-87A3-4FA3-BD9F-662BE5BEB4AA}"/>
    <cellStyle name="Comma 938 3 2 2" xfId="18829" xr:uid="{9B7CC828-5799-401B-8302-148AB196866D}"/>
    <cellStyle name="Comma 938 3 3" xfId="13654" xr:uid="{670526CA-327F-48F3-B099-8D382C134927}"/>
    <cellStyle name="Comma 938 4" xfId="5370" xr:uid="{FBDBD8A2-1067-49EA-AC25-BB3FD738D15C}"/>
    <cellStyle name="Comma 938 4 2" xfId="10546" xr:uid="{504F585B-DE4C-495D-942D-84D04E212979}"/>
    <cellStyle name="Comma 938 4 2 2" xfId="20898" xr:uid="{3E0245CB-0156-443B-9C32-30FFB3772343}"/>
    <cellStyle name="Comma 938 4 3" xfId="15722" xr:uid="{CFEBBCB5-795B-4515-96BB-068055CD2C76}"/>
    <cellStyle name="Comma 938 5" xfId="6418" xr:uid="{34EF94EA-DB21-4A50-A245-654BBD5BD402}"/>
    <cellStyle name="Comma 938 5 2" xfId="16770" xr:uid="{CF92BE33-6BE8-4436-9673-6C69A18103ED}"/>
    <cellStyle name="Comma 938 6" xfId="11596" xr:uid="{9BF65D91-F5EA-4AA3-B052-1FB7DADE6D9C}"/>
    <cellStyle name="Comma 939" xfId="1179" xr:uid="{BA25C9F8-F4D9-482C-9337-D66055505596}"/>
    <cellStyle name="Comma 939 2" xfId="2217" xr:uid="{D0F281CB-58C1-4CA0-8A83-E016F140C087}"/>
    <cellStyle name="Comma 939 2 2" xfId="4275" xr:uid="{359D5491-861A-483A-9747-9FA6FAB38C37}"/>
    <cellStyle name="Comma 939 2 2 2" xfId="9508" xr:uid="{4F1F77F0-DE94-4032-8FAA-5B9F90512065}"/>
    <cellStyle name="Comma 939 2 2 2 2" xfId="19860" xr:uid="{2E63E49B-07C7-4CDE-A7E9-4E0347734DC8}"/>
    <cellStyle name="Comma 939 2 2 3" xfId="14685" xr:uid="{006225F9-9586-4CCF-8E65-F3AB350CF0EC}"/>
    <cellStyle name="Comma 939 2 3" xfId="7450" xr:uid="{60E4ED3A-0270-46F9-8FC8-274462CA0426}"/>
    <cellStyle name="Comma 939 2 3 2" xfId="17802" xr:uid="{11A1F70A-D9BC-4DC3-904B-14FD8C3B2FB1}"/>
    <cellStyle name="Comma 939 2 4" xfId="12627" xr:uid="{A48AC2EB-BEF2-4094-AAA9-6A12B5006FB4}"/>
    <cellStyle name="Comma 939 3" xfId="3245" xr:uid="{438D2FAB-8E31-42DA-B632-E8238EBAF6A6}"/>
    <cellStyle name="Comma 939 3 2" xfId="8478" xr:uid="{18765A92-59FD-4B7D-BEF7-7C7788CA05F5}"/>
    <cellStyle name="Comma 939 3 2 2" xfId="18830" xr:uid="{8EFDDA57-6473-4607-81EC-72B1879D8A12}"/>
    <cellStyle name="Comma 939 3 3" xfId="13655" xr:uid="{A347CB12-C3B5-4D27-BDC8-842ECA544204}"/>
    <cellStyle name="Comma 939 4" xfId="5371" xr:uid="{F7EFBE08-6F76-4AF7-8B8E-F7EBE6D4E5AE}"/>
    <cellStyle name="Comma 939 4 2" xfId="10547" xr:uid="{9912D30E-41C3-46DE-9E22-18396457E263}"/>
    <cellStyle name="Comma 939 4 2 2" xfId="20899" xr:uid="{5AFEF0E3-3BB2-47FB-AC94-43608F7D019F}"/>
    <cellStyle name="Comma 939 4 3" xfId="15723" xr:uid="{811C564F-C29A-49E8-A311-304464183E48}"/>
    <cellStyle name="Comma 939 5" xfId="6419" xr:uid="{56CC72A1-6890-4EF2-9E1F-1C6B873FA6B3}"/>
    <cellStyle name="Comma 939 5 2" xfId="16771" xr:uid="{D5E8325C-8387-4DA2-BCFB-BD93A1600CD4}"/>
    <cellStyle name="Comma 939 6" xfId="11597" xr:uid="{17EEFCF1-3C61-4D16-A3B6-861AAFBB34DB}"/>
    <cellStyle name="Comma 94" xfId="308" xr:uid="{687658B6-67FF-4160-805B-DD37621ABE1D}"/>
    <cellStyle name="Comma 94 2" xfId="1372" xr:uid="{6CDC8791-AF01-4225-B9BC-8185472DB5AA}"/>
    <cellStyle name="Comma 94 2 2" xfId="3430" xr:uid="{C0FD3820-FCF3-4CBC-B3EC-9FD57C920037}"/>
    <cellStyle name="Comma 94 2 2 2" xfId="8663" xr:uid="{F0C31620-D37A-4926-8D82-C82C33394457}"/>
    <cellStyle name="Comma 94 2 2 2 2" xfId="19015" xr:uid="{A102EE54-894E-46E0-A2A5-0FB383E1B0A7}"/>
    <cellStyle name="Comma 94 2 2 3" xfId="13840" xr:uid="{19B6910C-9EC7-4681-A37D-054174AFF7B2}"/>
    <cellStyle name="Comma 94 2 3" xfId="6605" xr:uid="{6E76B54C-A1C7-4C4A-9922-E89B360247C3}"/>
    <cellStyle name="Comma 94 2 3 2" xfId="16957" xr:uid="{C948CA7C-10DB-4C0B-890A-F503062945EA}"/>
    <cellStyle name="Comma 94 2 4" xfId="11782" xr:uid="{973909B4-E140-43C9-8576-F7C6DD4E8E2B}"/>
    <cellStyle name="Comma 94 3" xfId="2400" xr:uid="{51C99B75-CB0A-433B-BC9D-9D14A2391982}"/>
    <cellStyle name="Comma 94 3 2" xfId="7633" xr:uid="{5F11612D-28A1-49D5-B220-C1C4ED855B41}"/>
    <cellStyle name="Comma 94 3 2 2" xfId="17985" xr:uid="{6710CBB0-32A3-41E8-946A-B2FDC793C839}"/>
    <cellStyle name="Comma 94 3 3" xfId="12810" xr:uid="{5A871D60-7149-4585-B815-1D1086CABA34}"/>
    <cellStyle name="Comma 94 4" xfId="4526" xr:uid="{2BBFFC01-4250-490E-A67C-8A618EE0DB51}"/>
    <cellStyle name="Comma 94 4 2" xfId="9702" xr:uid="{2F875CD9-B1E6-4F5D-85C5-A31E9EBC3D63}"/>
    <cellStyle name="Comma 94 4 2 2" xfId="20054" xr:uid="{070F8447-000B-4399-9011-853F8ED01E22}"/>
    <cellStyle name="Comma 94 4 3" xfId="14878" xr:uid="{ECE5AEB0-D09A-4B1F-9938-073E49002B8C}"/>
    <cellStyle name="Comma 94 5" xfId="5574" xr:uid="{1CFD0307-D99F-4BDE-9C79-E7353BA9ADFB}"/>
    <cellStyle name="Comma 94 5 2" xfId="15926" xr:uid="{B1E1B764-7D5E-4EC1-9295-B79816ED6425}"/>
    <cellStyle name="Comma 94 6" xfId="10752" xr:uid="{0B0F9B04-6654-45F5-B049-224438B2B0A7}"/>
    <cellStyle name="Comma 940" xfId="1180" xr:uid="{5CF87DD2-8121-4A9D-B22D-6EB10848A13C}"/>
    <cellStyle name="Comma 940 2" xfId="2218" xr:uid="{E274EE59-3EB6-4DE8-99BD-15B28262DDF5}"/>
    <cellStyle name="Comma 940 2 2" xfId="4276" xr:uid="{A99DC509-3942-47E7-BCF0-A413BE70CCFA}"/>
    <cellStyle name="Comma 940 2 2 2" xfId="9509" xr:uid="{E5B1C30A-F303-4C2C-94B6-627C323EE439}"/>
    <cellStyle name="Comma 940 2 2 2 2" xfId="19861" xr:uid="{D162629C-6363-417F-BCCF-DB902832C816}"/>
    <cellStyle name="Comma 940 2 2 3" xfId="14686" xr:uid="{64BE6EE6-711E-4B35-A773-5569E131E469}"/>
    <cellStyle name="Comma 940 2 3" xfId="7451" xr:uid="{B9505985-0F3C-402B-913A-11CD9B763DEA}"/>
    <cellStyle name="Comma 940 2 3 2" xfId="17803" xr:uid="{8BB81254-8356-4164-8040-1A3617361BB4}"/>
    <cellStyle name="Comma 940 2 4" xfId="12628" xr:uid="{B8ED4E6E-9164-4830-832F-6109D1A4EC28}"/>
    <cellStyle name="Comma 940 3" xfId="3246" xr:uid="{AEDA126C-29C5-428C-BFE8-E21E71EC6281}"/>
    <cellStyle name="Comma 940 3 2" xfId="8479" xr:uid="{839C75E2-90CE-42D9-8DB2-D8652BC49EC3}"/>
    <cellStyle name="Comma 940 3 2 2" xfId="18831" xr:uid="{8AFB08B0-B8F7-48EE-BBC9-D88C86268BCD}"/>
    <cellStyle name="Comma 940 3 3" xfId="13656" xr:uid="{61B8344A-58AD-43C3-AA53-ACA0BE9D1897}"/>
    <cellStyle name="Comma 940 4" xfId="5372" xr:uid="{5BBC0D90-6833-4F6D-B390-E8DADCABA776}"/>
    <cellStyle name="Comma 940 4 2" xfId="10548" xr:uid="{D14B6524-75FD-4CE9-9666-B0589F816B66}"/>
    <cellStyle name="Comma 940 4 2 2" xfId="20900" xr:uid="{8CA23EB7-66AA-4CA5-B877-6BBC9CFD3BD2}"/>
    <cellStyle name="Comma 940 4 3" xfId="15724" xr:uid="{B79F626D-6D1A-4806-8163-6DE6AAA4DF4D}"/>
    <cellStyle name="Comma 940 5" xfId="6420" xr:uid="{65A343F5-7125-43D2-B1D9-A0CDD3A86605}"/>
    <cellStyle name="Comma 940 5 2" xfId="16772" xr:uid="{691CAFF5-438A-47EF-A197-7D8D6F589298}"/>
    <cellStyle name="Comma 940 6" xfId="11598" xr:uid="{8411BE85-4205-4ECC-9AB5-362482E84D18}"/>
    <cellStyle name="Comma 941" xfId="1181" xr:uid="{75C2A582-70C2-465A-A23E-7C0A1A4E15AE}"/>
    <cellStyle name="Comma 941 2" xfId="2219" xr:uid="{1A9A93E7-7257-4B8B-9A33-6F385F992993}"/>
    <cellStyle name="Comma 941 2 2" xfId="4277" xr:uid="{9D854503-7525-4516-A5DF-750BFBEF12C4}"/>
    <cellStyle name="Comma 941 2 2 2" xfId="9510" xr:uid="{08C9AE74-1A76-436F-80D6-A6C9F21AC857}"/>
    <cellStyle name="Comma 941 2 2 2 2" xfId="19862" xr:uid="{B2B977C3-EA5F-4674-BBBF-B653CD49E01F}"/>
    <cellStyle name="Comma 941 2 2 3" xfId="14687" xr:uid="{43D9269F-9373-4379-9531-831D9E47CD28}"/>
    <cellStyle name="Comma 941 2 3" xfId="7452" xr:uid="{5B999E7A-B941-4128-94C6-903BA9B54FF4}"/>
    <cellStyle name="Comma 941 2 3 2" xfId="17804" xr:uid="{5429B5A8-F17E-4AC9-B776-A2AF95810B98}"/>
    <cellStyle name="Comma 941 2 4" xfId="12629" xr:uid="{03FE07CF-151D-4B7D-8300-53DCF2725A13}"/>
    <cellStyle name="Comma 941 3" xfId="3247" xr:uid="{2ECB9EDD-DE3C-4B4F-B3E9-66DE32A570B7}"/>
    <cellStyle name="Comma 941 3 2" xfId="8480" xr:uid="{8A66ABA0-4D8A-414C-86CC-4CC1248BDCBC}"/>
    <cellStyle name="Comma 941 3 2 2" xfId="18832" xr:uid="{BBA41C80-D7EB-49F1-AF02-F960124D2A12}"/>
    <cellStyle name="Comma 941 3 3" xfId="13657" xr:uid="{3C5B9681-50A3-4673-8F13-9C121B71E4B8}"/>
    <cellStyle name="Comma 941 4" xfId="5373" xr:uid="{770812DC-0479-4EE2-AF57-64B1BD494789}"/>
    <cellStyle name="Comma 941 4 2" xfId="10549" xr:uid="{38565023-C975-4462-BDAB-F781AF8AB5CF}"/>
    <cellStyle name="Comma 941 4 2 2" xfId="20901" xr:uid="{6E370B14-37DF-4C56-92B1-DE366FAF5F8C}"/>
    <cellStyle name="Comma 941 4 3" xfId="15725" xr:uid="{A051B778-C40D-47E6-B1B7-86EA098724E2}"/>
    <cellStyle name="Comma 941 5" xfId="6421" xr:uid="{7BE5D0DC-7ACC-4C88-B09C-4F3660B4FA28}"/>
    <cellStyle name="Comma 941 5 2" xfId="16773" xr:uid="{762D13CB-BB0D-49FF-A21C-19E5EBA4D7F6}"/>
    <cellStyle name="Comma 941 6" xfId="11599" xr:uid="{31924991-80F3-4CDD-AEAF-1CB8C1D2AAAA}"/>
    <cellStyle name="Comma 942" xfId="1182" xr:uid="{6394B946-DD47-4C44-9FE9-87B7A62ADDC2}"/>
    <cellStyle name="Comma 942 2" xfId="2220" xr:uid="{F2F546EB-9A20-4F6E-8BC7-7904AA9DFD11}"/>
    <cellStyle name="Comma 942 2 2" xfId="4278" xr:uid="{0F7C7DEB-B941-4ECC-8622-657BB3D612E1}"/>
    <cellStyle name="Comma 942 2 2 2" xfId="9511" xr:uid="{39950761-218B-45C7-9C27-E29FB3F80A4B}"/>
    <cellStyle name="Comma 942 2 2 2 2" xfId="19863" xr:uid="{B385162F-A3BA-48B2-A882-E30ECC6AF59B}"/>
    <cellStyle name="Comma 942 2 2 3" xfId="14688" xr:uid="{DD419439-657A-4689-B390-4585C31311D5}"/>
    <cellStyle name="Comma 942 2 3" xfId="7453" xr:uid="{6DD64DFE-CF62-409E-87C1-CD4265045162}"/>
    <cellStyle name="Comma 942 2 3 2" xfId="17805" xr:uid="{BFC6D35C-379F-40D8-B06D-5ABF9F87A2F2}"/>
    <cellStyle name="Comma 942 2 4" xfId="12630" xr:uid="{9F3505DB-AEF1-4BA3-986A-EB8980BCBD02}"/>
    <cellStyle name="Comma 942 3" xfId="3248" xr:uid="{97CEACB7-7F78-4AB7-831A-1C9B184E03AA}"/>
    <cellStyle name="Comma 942 3 2" xfId="8481" xr:uid="{4A48090D-630A-4AA5-A798-8DD94020184D}"/>
    <cellStyle name="Comma 942 3 2 2" xfId="18833" xr:uid="{8F9ACCE2-2F36-4BAF-A42B-A9C2A6717520}"/>
    <cellStyle name="Comma 942 3 3" xfId="13658" xr:uid="{DD6A19E9-1AB1-4502-997D-ECA2085F5E4A}"/>
    <cellStyle name="Comma 942 4" xfId="5374" xr:uid="{EAE257F3-5029-4FF0-B11A-FAB3E9BC60BC}"/>
    <cellStyle name="Comma 942 4 2" xfId="10550" xr:uid="{452F60DF-5BC1-41F7-B2BC-7AF53F9D557A}"/>
    <cellStyle name="Comma 942 4 2 2" xfId="20902" xr:uid="{9977EF53-BB7F-42A3-8D9D-643690AC7447}"/>
    <cellStyle name="Comma 942 4 3" xfId="15726" xr:uid="{480CA326-619D-4D31-83B7-61574461941E}"/>
    <cellStyle name="Comma 942 5" xfId="6422" xr:uid="{94838324-AD34-4432-B165-9B89360611F9}"/>
    <cellStyle name="Comma 942 5 2" xfId="16774" xr:uid="{8B91A33C-35B8-44DE-8AE6-AB01E708B6DD}"/>
    <cellStyle name="Comma 942 6" xfId="11600" xr:uid="{A0AD4941-7C14-42F7-8FAB-96DD69E81776}"/>
    <cellStyle name="Comma 943" xfId="1183" xr:uid="{E775A35A-4712-45AC-ACDC-77435FB67C77}"/>
    <cellStyle name="Comma 943 2" xfId="2221" xr:uid="{1BC81FF6-45EE-4CEA-BCC4-224B80B5E8BA}"/>
    <cellStyle name="Comma 943 2 2" xfId="4279" xr:uid="{987CE858-C948-4696-A3AD-735769A88CFC}"/>
    <cellStyle name="Comma 943 2 2 2" xfId="9512" xr:uid="{8ED3D11D-6AE8-4CE9-92D1-568C7B6A76FE}"/>
    <cellStyle name="Comma 943 2 2 2 2" xfId="19864" xr:uid="{3999CA6C-0630-48A2-8A11-03B8711A22A2}"/>
    <cellStyle name="Comma 943 2 2 3" xfId="14689" xr:uid="{1707C029-58AC-4D18-9036-B64AD2F49815}"/>
    <cellStyle name="Comma 943 2 3" xfId="7454" xr:uid="{244A3497-2D0D-4FD8-91BE-FD489A62387F}"/>
    <cellStyle name="Comma 943 2 3 2" xfId="17806" xr:uid="{A110D4FD-CFD9-4732-A3C4-AD9008142AD1}"/>
    <cellStyle name="Comma 943 2 4" xfId="12631" xr:uid="{233309B3-7DF3-4545-BF6C-462C1B734A84}"/>
    <cellStyle name="Comma 943 3" xfId="3249" xr:uid="{0F632CEB-EF82-4FDA-98EC-07C31A54B2BF}"/>
    <cellStyle name="Comma 943 3 2" xfId="8482" xr:uid="{E606A6AB-9CC3-4040-AE70-D2C2C9BCE68C}"/>
    <cellStyle name="Comma 943 3 2 2" xfId="18834" xr:uid="{23BEFF53-F8E3-4EA1-B0EF-5EE0C256A652}"/>
    <cellStyle name="Comma 943 3 3" xfId="13659" xr:uid="{E78247A5-BB5C-4B65-8102-2EB74E1EDFAF}"/>
    <cellStyle name="Comma 943 4" xfId="5375" xr:uid="{2906B484-6EF0-4B58-919E-6E4C97C6B497}"/>
    <cellStyle name="Comma 943 4 2" xfId="10551" xr:uid="{DC9430F1-7C8C-45EC-80AA-5BB8B36DDC2F}"/>
    <cellStyle name="Comma 943 4 2 2" xfId="20903" xr:uid="{BBBF4E22-54A9-47D6-93B9-D3E382A8D894}"/>
    <cellStyle name="Comma 943 4 3" xfId="15727" xr:uid="{2739B9D9-660A-4B90-92B9-623AA063A20E}"/>
    <cellStyle name="Comma 943 5" xfId="6423" xr:uid="{9941A338-4420-4AAC-A6BB-EF198D07556A}"/>
    <cellStyle name="Comma 943 5 2" xfId="16775" xr:uid="{7D3064FB-D388-42DB-B4ED-E9787B132333}"/>
    <cellStyle name="Comma 943 6" xfId="11601" xr:uid="{F4337C70-61EA-4FE1-A074-A8E6BC1F4ADD}"/>
    <cellStyle name="Comma 944" xfId="1184" xr:uid="{1F993B81-AB8F-40F3-8E75-0CC5C1B15282}"/>
    <cellStyle name="Comma 944 2" xfId="2222" xr:uid="{BA8686E3-9F08-4F21-A6F7-5AD262C52B08}"/>
    <cellStyle name="Comma 944 2 2" xfId="4280" xr:uid="{592E3134-5F9B-4627-B88A-CF9573DBE486}"/>
    <cellStyle name="Comma 944 2 2 2" xfId="9513" xr:uid="{76D9A493-0A69-4B62-8B08-A5315FAB3569}"/>
    <cellStyle name="Comma 944 2 2 2 2" xfId="19865" xr:uid="{1A6FDD65-19C8-482F-AC0C-FBCACF6A5D08}"/>
    <cellStyle name="Comma 944 2 2 3" xfId="14690" xr:uid="{E3BABEE9-1B82-44FE-AC34-AAC8E776C471}"/>
    <cellStyle name="Comma 944 2 3" xfId="7455" xr:uid="{7C79DC78-B9AF-4970-91D0-F5A1C1E33B5C}"/>
    <cellStyle name="Comma 944 2 3 2" xfId="17807" xr:uid="{E147CDC5-3C53-44B3-8CC3-851718FAF855}"/>
    <cellStyle name="Comma 944 2 4" xfId="12632" xr:uid="{F2CF1475-1649-4E6B-B984-CC8F9A1C3A04}"/>
    <cellStyle name="Comma 944 3" xfId="3250" xr:uid="{629E7655-D0F1-453B-8339-3CEDE778BF6F}"/>
    <cellStyle name="Comma 944 3 2" xfId="8483" xr:uid="{CDDD6C60-DF01-483E-9808-DFE7DF8D8E61}"/>
    <cellStyle name="Comma 944 3 2 2" xfId="18835" xr:uid="{2EDABFF7-9C74-40FD-B3BA-737260424AA7}"/>
    <cellStyle name="Comma 944 3 3" xfId="13660" xr:uid="{59A1042E-2ACC-452E-8E9E-8FDB45B18B82}"/>
    <cellStyle name="Comma 944 4" xfId="5376" xr:uid="{12D2496F-5634-4B91-AC3F-D1FCEEAF7A47}"/>
    <cellStyle name="Comma 944 4 2" xfId="10552" xr:uid="{081BF136-537A-4DE3-957C-36B9D69EB89E}"/>
    <cellStyle name="Comma 944 4 2 2" xfId="20904" xr:uid="{5BF047A4-B577-4B22-8177-832450455FAB}"/>
    <cellStyle name="Comma 944 4 3" xfId="15728" xr:uid="{9B68722E-B913-46EF-B201-35B788FA4DDB}"/>
    <cellStyle name="Comma 944 5" xfId="6424" xr:uid="{A6345D48-CF34-40A4-98F6-99007EEBE33B}"/>
    <cellStyle name="Comma 944 5 2" xfId="16776" xr:uid="{B1E5E98F-F9E1-496E-992E-FF8D735C8056}"/>
    <cellStyle name="Comma 944 6" xfId="11602" xr:uid="{7D6AEE77-DFAF-4434-B8B6-596B95794063}"/>
    <cellStyle name="Comma 945" xfId="1185" xr:uid="{9CFE5651-5587-49D2-939A-A695C5DC7379}"/>
    <cellStyle name="Comma 945 2" xfId="2223" xr:uid="{E87F2753-1FEF-45CC-AF57-67FA6E20C390}"/>
    <cellStyle name="Comma 945 2 2" xfId="4281" xr:uid="{C58925F8-AC8F-4EF9-9FBE-DAA103A58801}"/>
    <cellStyle name="Comma 945 2 2 2" xfId="9514" xr:uid="{7B4C35B8-5691-436E-A6EB-07350E17038F}"/>
    <cellStyle name="Comma 945 2 2 2 2" xfId="19866" xr:uid="{F972A028-1BFF-4EB9-8AA9-5E36192A8A54}"/>
    <cellStyle name="Comma 945 2 2 3" xfId="14691" xr:uid="{B4BC272E-F1CE-4D5F-A0CB-E79300954F36}"/>
    <cellStyle name="Comma 945 2 3" xfId="7456" xr:uid="{D47D5CB4-7382-47DB-AF71-9E51DC272F2D}"/>
    <cellStyle name="Comma 945 2 3 2" xfId="17808" xr:uid="{6EBDBF3C-CF12-43F7-AA78-6239872C66AD}"/>
    <cellStyle name="Comma 945 2 4" xfId="12633" xr:uid="{6A0EE915-CD72-4486-81C5-F290D18C3795}"/>
    <cellStyle name="Comma 945 3" xfId="3251" xr:uid="{4EAEE90E-4FC4-4833-B43B-A7027817114F}"/>
    <cellStyle name="Comma 945 3 2" xfId="8484" xr:uid="{7B535686-4D67-4249-AF4D-3B2F4F3D1D00}"/>
    <cellStyle name="Comma 945 3 2 2" xfId="18836" xr:uid="{518473BB-E2FD-440B-8950-2FFE8DF4921C}"/>
    <cellStyle name="Comma 945 3 3" xfId="13661" xr:uid="{E53595E4-AC07-4EF3-B22E-15E5A3C50058}"/>
    <cellStyle name="Comma 945 4" xfId="5377" xr:uid="{C4F5C81E-24E1-4FE2-A97D-2906CD06C914}"/>
    <cellStyle name="Comma 945 4 2" xfId="10553" xr:uid="{2D9ED719-BDA4-49B4-BDAE-9D9F400F8A40}"/>
    <cellStyle name="Comma 945 4 2 2" xfId="20905" xr:uid="{83F6EBA4-2810-4BB2-B5DB-D7B25C2EC010}"/>
    <cellStyle name="Comma 945 4 3" xfId="15729" xr:uid="{385EC676-F7EB-4D00-B8BE-A3385C7D5DE2}"/>
    <cellStyle name="Comma 945 5" xfId="6425" xr:uid="{988F3617-CD55-4AC9-AD9B-29276A73113F}"/>
    <cellStyle name="Comma 945 5 2" xfId="16777" xr:uid="{FB7279F6-D578-46D0-92E5-D419857BC79B}"/>
    <cellStyle name="Comma 945 6" xfId="11603" xr:uid="{86A7CF70-EEAE-4CB2-B63F-D7F8D7198D62}"/>
    <cellStyle name="Comma 946" xfId="1186" xr:uid="{0CD3868A-90CC-465F-A272-FD8699C9E106}"/>
    <cellStyle name="Comma 946 2" xfId="2224" xr:uid="{70FD7349-0308-42C1-93E9-A71A3C102361}"/>
    <cellStyle name="Comma 946 2 2" xfId="4282" xr:uid="{6CE4F5D0-2121-4972-9006-02957F02319A}"/>
    <cellStyle name="Comma 946 2 2 2" xfId="9515" xr:uid="{F37460F4-90BA-49F1-AF64-BFFF101285B7}"/>
    <cellStyle name="Comma 946 2 2 2 2" xfId="19867" xr:uid="{FE5CD008-C3AE-4521-8C55-7E204FE7DC9A}"/>
    <cellStyle name="Comma 946 2 2 3" xfId="14692" xr:uid="{95B247D1-8C63-49B2-8256-C285811A8665}"/>
    <cellStyle name="Comma 946 2 3" xfId="7457" xr:uid="{AD4D44F8-2F75-4222-B7DC-AF4418C1E85D}"/>
    <cellStyle name="Comma 946 2 3 2" xfId="17809" xr:uid="{3B09C42E-1A69-4438-9090-0E21F9AD6B0E}"/>
    <cellStyle name="Comma 946 2 4" xfId="12634" xr:uid="{14298F09-C7EE-4D0E-A77F-BE84DB194DB3}"/>
    <cellStyle name="Comma 946 3" xfId="3252" xr:uid="{2B767153-D461-43A4-81D3-89DF52C60611}"/>
    <cellStyle name="Comma 946 3 2" xfId="8485" xr:uid="{AFDD1CDD-396F-40DD-92D4-43D88D38BD65}"/>
    <cellStyle name="Comma 946 3 2 2" xfId="18837" xr:uid="{773B237F-50F0-43D2-969E-71D9F592318B}"/>
    <cellStyle name="Comma 946 3 3" xfId="13662" xr:uid="{55EFB029-FD98-474F-9880-9E8563F27CE3}"/>
    <cellStyle name="Comma 946 4" xfId="5378" xr:uid="{8EC32CAD-B510-40C2-AB67-9C62A3C0CD0D}"/>
    <cellStyle name="Comma 946 4 2" xfId="10554" xr:uid="{29181102-F1E4-426A-9038-1D756FCB5B99}"/>
    <cellStyle name="Comma 946 4 2 2" xfId="20906" xr:uid="{066AC296-A290-49DC-967D-F22A3F79BCD4}"/>
    <cellStyle name="Comma 946 4 3" xfId="15730" xr:uid="{E22FDD5C-3465-46F1-8A87-AB7367F64EE3}"/>
    <cellStyle name="Comma 946 5" xfId="6426" xr:uid="{623977B1-A349-408D-8D92-EB1BBAFDCBC5}"/>
    <cellStyle name="Comma 946 5 2" xfId="16778" xr:uid="{6B03E9E1-7B97-48D6-AA75-B58F8269F445}"/>
    <cellStyle name="Comma 946 6" xfId="11604" xr:uid="{88638F70-0459-4A62-8FD3-21AC4742EDAF}"/>
    <cellStyle name="Comma 947" xfId="1187" xr:uid="{CF5045C6-9FDE-4332-A52C-A9C20FE6175B}"/>
    <cellStyle name="Comma 947 2" xfId="2225" xr:uid="{99B9FDE7-9794-4AF6-8B4A-94DB24590860}"/>
    <cellStyle name="Comma 947 2 2" xfId="4283" xr:uid="{DBA166AF-565C-4A12-87AA-F814F37F6BEA}"/>
    <cellStyle name="Comma 947 2 2 2" xfId="9516" xr:uid="{D148985E-ECEF-402B-9278-8FF5C5D20888}"/>
    <cellStyle name="Comma 947 2 2 2 2" xfId="19868" xr:uid="{D9AAA041-A0C9-4DCF-8111-F8D7771AB0BD}"/>
    <cellStyle name="Comma 947 2 2 3" xfId="14693" xr:uid="{6ECA849E-C4F8-439E-8C13-F5914AE0FDD5}"/>
    <cellStyle name="Comma 947 2 3" xfId="7458" xr:uid="{FDB8976F-D8BB-4040-BFE0-31B7BD7822E3}"/>
    <cellStyle name="Comma 947 2 3 2" xfId="17810" xr:uid="{41626F2C-39D9-4666-82A8-1DCAF8B30AA8}"/>
    <cellStyle name="Comma 947 2 4" xfId="12635" xr:uid="{30D28A36-9C09-458C-9364-9CBE50CF0D47}"/>
    <cellStyle name="Comma 947 3" xfId="3253" xr:uid="{000AFE68-414C-4E98-A1A6-81CE315C1162}"/>
    <cellStyle name="Comma 947 3 2" xfId="8486" xr:uid="{3E6431D0-2A75-4F32-802A-F57BD01BE4C0}"/>
    <cellStyle name="Comma 947 3 2 2" xfId="18838" xr:uid="{2630068F-8DB4-4394-80C1-CEE15BDFB295}"/>
    <cellStyle name="Comma 947 3 3" xfId="13663" xr:uid="{E09AD3F5-C1EA-43B4-9561-B81E0ACB7C27}"/>
    <cellStyle name="Comma 947 4" xfId="5379" xr:uid="{FBE71268-D26C-49C1-99F6-4BD11D5AD8A1}"/>
    <cellStyle name="Comma 947 4 2" xfId="10555" xr:uid="{3D2ED330-6FF1-48B5-9830-5DBFADA603FB}"/>
    <cellStyle name="Comma 947 4 2 2" xfId="20907" xr:uid="{261C7222-5168-44C9-AD4D-84A7BF4C27F3}"/>
    <cellStyle name="Comma 947 4 3" xfId="15731" xr:uid="{DC3116AB-9699-428C-962A-0F81695254A6}"/>
    <cellStyle name="Comma 947 5" xfId="6427" xr:uid="{93BA1C54-925F-44E5-BDD4-E8BC25A75135}"/>
    <cellStyle name="Comma 947 5 2" xfId="16779" xr:uid="{F5980BC3-865E-405B-A87C-2DFE90C6A1F0}"/>
    <cellStyle name="Comma 947 6" xfId="11605" xr:uid="{7985789F-40D8-45A3-A65D-F06B89E5AA7F}"/>
    <cellStyle name="Comma 948" xfId="1188" xr:uid="{9794CCEF-9745-41A2-957B-4DFC2826F059}"/>
    <cellStyle name="Comma 948 2" xfId="2226" xr:uid="{82AF9BE6-4A01-43F8-85DC-D051EF6E3E4E}"/>
    <cellStyle name="Comma 948 2 2" xfId="4284" xr:uid="{AB4F4CE1-0354-4D74-B608-177082A9EB97}"/>
    <cellStyle name="Comma 948 2 2 2" xfId="9517" xr:uid="{CD078C7E-217D-48D7-84DA-679865E238BB}"/>
    <cellStyle name="Comma 948 2 2 2 2" xfId="19869" xr:uid="{B2997105-EE8B-4E2B-880C-BDF3EDE17EA2}"/>
    <cellStyle name="Comma 948 2 2 3" xfId="14694" xr:uid="{2B416288-E75D-4503-8088-5CB271CDD45C}"/>
    <cellStyle name="Comma 948 2 3" xfId="7459" xr:uid="{FD623490-5434-46BD-8614-F9425C1677FC}"/>
    <cellStyle name="Comma 948 2 3 2" xfId="17811" xr:uid="{EE6A39EE-3221-4744-84A1-ACC6B7568E1A}"/>
    <cellStyle name="Comma 948 2 4" xfId="12636" xr:uid="{737D7191-BB2D-40AD-8C1A-5C8D31A4711E}"/>
    <cellStyle name="Comma 948 3" xfId="3254" xr:uid="{75606C4A-75CD-4079-87A9-6E4AF9DABFC8}"/>
    <cellStyle name="Comma 948 3 2" xfId="8487" xr:uid="{31FB99C8-FA2E-4A49-957D-CF430F1C0F9E}"/>
    <cellStyle name="Comma 948 3 2 2" xfId="18839" xr:uid="{7048CEB2-6F53-4F26-8EAC-D01531E9DA80}"/>
    <cellStyle name="Comma 948 3 3" xfId="13664" xr:uid="{AAE7AFEA-8EDF-4E11-BFCA-C1A200353C6E}"/>
    <cellStyle name="Comma 948 4" xfId="5380" xr:uid="{F878BC44-A85F-44D2-8BD0-6F114B92B2E6}"/>
    <cellStyle name="Comma 948 4 2" xfId="10556" xr:uid="{C6648DE1-B2C6-49E7-8EFA-4DF78792E800}"/>
    <cellStyle name="Comma 948 4 2 2" xfId="20908" xr:uid="{C4A8AFF2-74AC-499F-A194-6AEE4373812E}"/>
    <cellStyle name="Comma 948 4 3" xfId="15732" xr:uid="{B5E8403D-8BDE-40EC-9E5C-30D516E92423}"/>
    <cellStyle name="Comma 948 5" xfId="6428" xr:uid="{05D9B1D4-2CFD-4416-A6CC-E8A83AC014E3}"/>
    <cellStyle name="Comma 948 5 2" xfId="16780" xr:uid="{A17DE19B-B428-4472-960F-5F2AEDAAAC88}"/>
    <cellStyle name="Comma 948 6" xfId="11606" xr:uid="{978CA6FF-D1BA-45D9-B73A-ED3AC20F8FA9}"/>
    <cellStyle name="Comma 949" xfId="1189" xr:uid="{531B4112-A4EE-4033-92F3-CC841EA7A3A6}"/>
    <cellStyle name="Comma 949 2" xfId="2227" xr:uid="{654DF9AF-1C00-478A-9AC5-EFE0A0CC02BA}"/>
    <cellStyle name="Comma 949 2 2" xfId="4285" xr:uid="{C2ADF918-7D4B-4E5F-A89D-84B1493719B8}"/>
    <cellStyle name="Comma 949 2 2 2" xfId="9518" xr:uid="{085CCED6-4CA5-4E8A-B024-16A5BCED845B}"/>
    <cellStyle name="Comma 949 2 2 2 2" xfId="19870" xr:uid="{23569B25-3F94-4E2D-BC9A-CD6E7AEDDF16}"/>
    <cellStyle name="Comma 949 2 2 3" xfId="14695" xr:uid="{E48438DD-27B2-4928-AE6C-DEF8274B8B73}"/>
    <cellStyle name="Comma 949 2 3" xfId="7460" xr:uid="{C2FB011C-A544-4974-89FB-F3DEE6279BA2}"/>
    <cellStyle name="Comma 949 2 3 2" xfId="17812" xr:uid="{FFA7BCD7-F531-43E1-B70B-2126F1A0BE8E}"/>
    <cellStyle name="Comma 949 2 4" xfId="12637" xr:uid="{BF57AEA1-17B8-45E3-B52E-A3B0EC6D1F19}"/>
    <cellStyle name="Comma 949 3" xfId="3255" xr:uid="{A5127D30-4457-455A-B3D1-353C55D1AF7B}"/>
    <cellStyle name="Comma 949 3 2" xfId="8488" xr:uid="{5438E2F8-3627-427C-9C59-3A7B243C7638}"/>
    <cellStyle name="Comma 949 3 2 2" xfId="18840" xr:uid="{B9AF5522-0EB1-40F7-AA8F-861A106C7A04}"/>
    <cellStyle name="Comma 949 3 3" xfId="13665" xr:uid="{97D523D6-E4B6-4E74-8A99-B411FA532A75}"/>
    <cellStyle name="Comma 949 4" xfId="5381" xr:uid="{627D49F5-9D20-4B5B-B777-7D968DA750E9}"/>
    <cellStyle name="Comma 949 4 2" xfId="10557" xr:uid="{285F88B2-5E18-43DA-AC7C-B7FF4A8447D3}"/>
    <cellStyle name="Comma 949 4 2 2" xfId="20909" xr:uid="{A75C7A49-FA1C-43BD-A464-258F2E903529}"/>
    <cellStyle name="Comma 949 4 3" xfId="15733" xr:uid="{1F970E2D-CD41-4343-8CFE-99A5EFB6802E}"/>
    <cellStyle name="Comma 949 5" xfId="6429" xr:uid="{132416EB-5A77-41D1-84B0-97A581AE4299}"/>
    <cellStyle name="Comma 949 5 2" xfId="16781" xr:uid="{56B5D929-7AE8-4375-AB16-51391DB2D43F}"/>
    <cellStyle name="Comma 949 6" xfId="11607" xr:uid="{911E354D-CAAA-4A4A-9AD3-B2C8E3724DA4}"/>
    <cellStyle name="Comma 95" xfId="309" xr:uid="{D98D815D-11D2-4850-B18F-54FA94DAD15C}"/>
    <cellStyle name="Comma 95 2" xfId="1373" xr:uid="{C34DA4B1-B6D5-4273-9933-054DF7E98599}"/>
    <cellStyle name="Comma 95 2 2" xfId="3431" xr:uid="{B17FB7C6-ABF3-4F6A-8299-8C79B33F7C91}"/>
    <cellStyle name="Comma 95 2 2 2" xfId="8664" xr:uid="{9043BD2A-4FCD-4772-A39B-4C4BA16EA8FD}"/>
    <cellStyle name="Comma 95 2 2 2 2" xfId="19016" xr:uid="{A1C06BE0-34F7-48F3-A78C-983B7EFFE69C}"/>
    <cellStyle name="Comma 95 2 2 3" xfId="13841" xr:uid="{07ED7B48-D82F-4462-8B91-7DF291031B8B}"/>
    <cellStyle name="Comma 95 2 3" xfId="6606" xr:uid="{2D998B26-F302-4862-A449-7E01889B05E3}"/>
    <cellStyle name="Comma 95 2 3 2" xfId="16958" xr:uid="{E2104E08-F102-421A-87FB-640547D8BF3B}"/>
    <cellStyle name="Comma 95 2 4" xfId="11783" xr:uid="{27F9EFF8-0C53-4E27-B4E8-E6C6DD812410}"/>
    <cellStyle name="Comma 95 3" xfId="2401" xr:uid="{03E40966-C39F-485C-93A8-5380853C2CEA}"/>
    <cellStyle name="Comma 95 3 2" xfId="7634" xr:uid="{609E61C0-EB3C-41B3-AFA3-1CB3D6314270}"/>
    <cellStyle name="Comma 95 3 2 2" xfId="17986" xr:uid="{3678948F-4F82-4502-8A47-AD548BCDAA7B}"/>
    <cellStyle name="Comma 95 3 3" xfId="12811" xr:uid="{8ADF6396-030C-44A3-B7AF-818A947FC70A}"/>
    <cellStyle name="Comma 95 4" xfId="4527" xr:uid="{B8BDFA47-F872-4576-883F-5A7CDF7F77B9}"/>
    <cellStyle name="Comma 95 4 2" xfId="9703" xr:uid="{F19D571C-3477-4265-91D0-827E09246848}"/>
    <cellStyle name="Comma 95 4 2 2" xfId="20055" xr:uid="{3A55553C-F995-4FC5-9C45-E9C0D30FDFC5}"/>
    <cellStyle name="Comma 95 4 3" xfId="14879" xr:uid="{F199D18D-EF17-44F9-9C95-60D969C1CC7F}"/>
    <cellStyle name="Comma 95 5" xfId="5575" xr:uid="{8A343811-2C2E-4FE2-90DE-B7D4FCA2A0F4}"/>
    <cellStyle name="Comma 95 5 2" xfId="15927" xr:uid="{BF3CE32E-C58C-4956-B54B-036D07D673C7}"/>
    <cellStyle name="Comma 95 6" xfId="10753" xr:uid="{D650A490-684F-49BE-ABFA-0F80B20CBB47}"/>
    <cellStyle name="Comma 950" xfId="1190" xr:uid="{C7BAA6FB-5944-4A20-8119-0F8B6A5DA3E2}"/>
    <cellStyle name="Comma 950 2" xfId="2228" xr:uid="{C6DE85F8-9967-4563-B356-5EBB6D4491C9}"/>
    <cellStyle name="Comma 950 2 2" xfId="4286" xr:uid="{41670178-4847-4F0B-B64D-D79B155759CF}"/>
    <cellStyle name="Comma 950 2 2 2" xfId="9519" xr:uid="{BF6EF869-76D3-4C04-90B8-40E2A1887575}"/>
    <cellStyle name="Comma 950 2 2 2 2" xfId="19871" xr:uid="{A145ACD0-99E8-4D82-82AE-87E31758C524}"/>
    <cellStyle name="Comma 950 2 2 3" xfId="14696" xr:uid="{EF4BA3F2-5255-423D-858C-B36427848924}"/>
    <cellStyle name="Comma 950 2 3" xfId="7461" xr:uid="{8D2C8BD0-D4EF-4D09-8320-AB61C17A556F}"/>
    <cellStyle name="Comma 950 2 3 2" xfId="17813" xr:uid="{C524F27D-CB12-4EAC-9536-F5AC5B328BD6}"/>
    <cellStyle name="Comma 950 2 4" xfId="12638" xr:uid="{3DD016EF-2D9B-4D56-833E-F2D5C8112EFD}"/>
    <cellStyle name="Comma 950 3" xfId="3256" xr:uid="{48F66B1D-4390-49B3-B3E8-B0921A86C8AF}"/>
    <cellStyle name="Comma 950 3 2" xfId="8489" xr:uid="{8DCEFA24-5D3C-4D97-981E-4C84A52694C9}"/>
    <cellStyle name="Comma 950 3 2 2" xfId="18841" xr:uid="{A47CD118-C21B-4B50-B548-8262C2B0DF19}"/>
    <cellStyle name="Comma 950 3 3" xfId="13666" xr:uid="{247A6477-185A-4B39-9640-CDAD6B19599C}"/>
    <cellStyle name="Comma 950 4" xfId="5382" xr:uid="{5BA81AAF-2B07-4EF0-9089-ED01B58E34BC}"/>
    <cellStyle name="Comma 950 4 2" xfId="10558" xr:uid="{0EC0D0FE-4B76-40B3-9453-E7970FCFBDCD}"/>
    <cellStyle name="Comma 950 4 2 2" xfId="20910" xr:uid="{9B0916BC-5F98-4DC8-B136-84C9C8F0F64D}"/>
    <cellStyle name="Comma 950 4 3" xfId="15734" xr:uid="{11572BA4-5B20-49C4-B32C-0B6FF18F43CE}"/>
    <cellStyle name="Comma 950 5" xfId="6430" xr:uid="{B5CBCD6A-8665-4E73-A149-098EF8D13318}"/>
    <cellStyle name="Comma 950 5 2" xfId="16782" xr:uid="{C48E5135-2A5E-4D47-A858-F454A1C259C1}"/>
    <cellStyle name="Comma 950 6" xfId="11608" xr:uid="{8811C542-5C41-46B8-BE22-6E233B573D34}"/>
    <cellStyle name="Comma 951" xfId="1191" xr:uid="{3C4A85A3-2D3B-4AF7-BA34-1CE32396E4DF}"/>
    <cellStyle name="Comma 951 2" xfId="2229" xr:uid="{69B0130E-0D00-4445-B688-894F48759DF7}"/>
    <cellStyle name="Comma 951 2 2" xfId="4287" xr:uid="{5DEE74BF-C9C4-4227-B30A-2BFD7997A7EF}"/>
    <cellStyle name="Comma 951 2 2 2" xfId="9520" xr:uid="{D1E91CDA-68F3-4F52-8F2A-DE3A58CB0C6C}"/>
    <cellStyle name="Comma 951 2 2 2 2" xfId="19872" xr:uid="{A8D0D535-08D2-4E88-B583-339E33DA2A85}"/>
    <cellStyle name="Comma 951 2 2 3" xfId="14697" xr:uid="{5B5D690A-9614-4B5A-BA6F-A02DD9BAE62B}"/>
    <cellStyle name="Comma 951 2 3" xfId="7462" xr:uid="{1A93DADB-C574-46C0-8268-CE2B462EF1DC}"/>
    <cellStyle name="Comma 951 2 3 2" xfId="17814" xr:uid="{8A703343-BD11-4E4A-98FC-68F0776E9522}"/>
    <cellStyle name="Comma 951 2 4" xfId="12639" xr:uid="{977785D7-140C-48D3-AC0A-95A2D2C93533}"/>
    <cellStyle name="Comma 951 3" xfId="3257" xr:uid="{CE2863C0-ED6B-48B1-B98F-4934C5AEB649}"/>
    <cellStyle name="Comma 951 3 2" xfId="8490" xr:uid="{3D76BB78-D85E-42BC-9A17-AB721533D753}"/>
    <cellStyle name="Comma 951 3 2 2" xfId="18842" xr:uid="{AAF8AA38-1BEB-4771-B355-023EAF9C705A}"/>
    <cellStyle name="Comma 951 3 3" xfId="13667" xr:uid="{9DAED190-33CB-44CC-93A1-134781950DE2}"/>
    <cellStyle name="Comma 951 4" xfId="5383" xr:uid="{0D43319F-B17E-4B0C-8406-FB5BCC4384B1}"/>
    <cellStyle name="Comma 951 4 2" xfId="10559" xr:uid="{7D2B81FB-6D33-4A03-A0F6-9EE3B303A22F}"/>
    <cellStyle name="Comma 951 4 2 2" xfId="20911" xr:uid="{31B600FF-97AA-45B6-8115-8432FBE7204E}"/>
    <cellStyle name="Comma 951 4 3" xfId="15735" xr:uid="{A50F5463-DEA9-43BF-8D1B-758F41E94154}"/>
    <cellStyle name="Comma 951 5" xfId="6431" xr:uid="{18A41B8E-D1A3-4C71-B08E-BA7255C62AFF}"/>
    <cellStyle name="Comma 951 5 2" xfId="16783" xr:uid="{15D9AA10-66EB-4639-8D36-179743D74F61}"/>
    <cellStyle name="Comma 951 6" xfId="11609" xr:uid="{894FE8C8-FD7F-4F43-9550-3CF41D1F70EF}"/>
    <cellStyle name="Comma 952" xfId="1192" xr:uid="{F998E06B-D0E2-4CA6-A439-54A958C14038}"/>
    <cellStyle name="Comma 952 2" xfId="2230" xr:uid="{E7FE351B-01AD-42DE-8D7A-97CD24FF733B}"/>
    <cellStyle name="Comma 952 2 2" xfId="4288" xr:uid="{3A6AC5E6-8B19-4CA3-920E-CFAC6EC3B072}"/>
    <cellStyle name="Comma 952 2 2 2" xfId="9521" xr:uid="{1188283A-219F-45FF-8384-E4BC82A5E565}"/>
    <cellStyle name="Comma 952 2 2 2 2" xfId="19873" xr:uid="{8FE09D3C-A401-4DFC-BB77-D8EAECE991B3}"/>
    <cellStyle name="Comma 952 2 2 3" xfId="14698" xr:uid="{A974A77A-3FFC-4E6D-BE6D-3CF3AEF4C1AE}"/>
    <cellStyle name="Comma 952 2 3" xfId="7463" xr:uid="{3DF77302-813E-4052-9E80-7275D4AFCAE7}"/>
    <cellStyle name="Comma 952 2 3 2" xfId="17815" xr:uid="{7CD4329C-9F7F-4A2A-8CD2-EABEFC1A5404}"/>
    <cellStyle name="Comma 952 2 4" xfId="12640" xr:uid="{1C61DD07-C8D1-4029-9697-BE5A6468B131}"/>
    <cellStyle name="Comma 952 3" xfId="3258" xr:uid="{E305B069-BFC2-4726-A88E-091B988E520F}"/>
    <cellStyle name="Comma 952 3 2" xfId="8491" xr:uid="{266AF78A-A1A5-4B9C-8E0B-B6281CDF1387}"/>
    <cellStyle name="Comma 952 3 2 2" xfId="18843" xr:uid="{E4F97428-79B8-438A-A619-79248C5428C3}"/>
    <cellStyle name="Comma 952 3 3" xfId="13668" xr:uid="{40074599-4E7D-4BA9-A1DC-7EB398944F39}"/>
    <cellStyle name="Comma 952 4" xfId="5384" xr:uid="{0E870EA2-BB74-48CF-9527-57CD0C9C0EE0}"/>
    <cellStyle name="Comma 952 4 2" xfId="10560" xr:uid="{0F339225-8125-401F-9613-BAE0383196E3}"/>
    <cellStyle name="Comma 952 4 2 2" xfId="20912" xr:uid="{E143D88E-E3C6-48E0-AA9F-A9BDDAE0DF4F}"/>
    <cellStyle name="Comma 952 4 3" xfId="15736" xr:uid="{56AF2F4D-77F8-426C-A5DB-F223561F1965}"/>
    <cellStyle name="Comma 952 5" xfId="6432" xr:uid="{0DCBD2F8-AA5F-493C-917B-FC5D9A14506F}"/>
    <cellStyle name="Comma 952 5 2" xfId="16784" xr:uid="{C944E928-3F29-405A-8408-DDC7734DDA75}"/>
    <cellStyle name="Comma 952 6" xfId="11610" xr:uid="{93F4BD60-0A46-4A07-9F84-EB02A4D7BEAB}"/>
    <cellStyle name="Comma 953" xfId="1193" xr:uid="{5DCED212-18F1-4B8A-BE7A-0054D4921DF0}"/>
    <cellStyle name="Comma 953 2" xfId="2231" xr:uid="{92A70CC4-6D41-4CCC-861A-EDD4E87FC7C9}"/>
    <cellStyle name="Comma 953 2 2" xfId="4289" xr:uid="{3D8FF04F-B849-4C5F-8CC1-76DFCC4449C8}"/>
    <cellStyle name="Comma 953 2 2 2" xfId="9522" xr:uid="{59784276-EB34-4831-BBA1-2D791F5600CA}"/>
    <cellStyle name="Comma 953 2 2 2 2" xfId="19874" xr:uid="{41613077-0637-450D-97BB-DCA7578A1F21}"/>
    <cellStyle name="Comma 953 2 2 3" xfId="14699" xr:uid="{F794DDEB-55B0-47C6-8218-54D3985949EC}"/>
    <cellStyle name="Comma 953 2 3" xfId="7464" xr:uid="{206AC396-E208-439F-B7CF-373832126DC2}"/>
    <cellStyle name="Comma 953 2 3 2" xfId="17816" xr:uid="{751615A0-5AB5-4F73-B40B-0164078279FE}"/>
    <cellStyle name="Comma 953 2 4" xfId="12641" xr:uid="{AA5FCBC7-3265-402A-87E4-F24822FA304A}"/>
    <cellStyle name="Comma 953 3" xfId="3259" xr:uid="{934C59B7-4622-4BC4-9458-F6FF106F7CBD}"/>
    <cellStyle name="Comma 953 3 2" xfId="8492" xr:uid="{8DB405D6-91B5-4E27-BFF5-4C536AD43DD9}"/>
    <cellStyle name="Comma 953 3 2 2" xfId="18844" xr:uid="{E3FC216B-E01C-4671-BD70-D7F65375FC08}"/>
    <cellStyle name="Comma 953 3 3" xfId="13669" xr:uid="{F1F2B28C-A597-453F-9C9F-9C53DF5BD7A7}"/>
    <cellStyle name="Comma 953 4" xfId="5385" xr:uid="{82432755-FCFE-477C-BA38-9DCC87261B0C}"/>
    <cellStyle name="Comma 953 4 2" xfId="10561" xr:uid="{E3AAD890-5D3F-495E-BBB2-57730DFD2E8A}"/>
    <cellStyle name="Comma 953 4 2 2" xfId="20913" xr:uid="{53240104-27A0-4168-8A33-993A837A53FD}"/>
    <cellStyle name="Comma 953 4 3" xfId="15737" xr:uid="{A02BC9E0-3983-4ED2-B552-7380E20770D5}"/>
    <cellStyle name="Comma 953 5" xfId="6433" xr:uid="{24A1520A-BBEB-4C5D-A906-C8EDADD95E7A}"/>
    <cellStyle name="Comma 953 5 2" xfId="16785" xr:uid="{E1B10CB7-C905-4372-BC3D-C55BEBBA779C}"/>
    <cellStyle name="Comma 953 6" xfId="11611" xr:uid="{CC5C91E5-9B65-4FCB-BC13-0B8D0B2DCC5E}"/>
    <cellStyle name="Comma 954" xfId="1194" xr:uid="{52AEF082-DC35-410D-9DE7-CFC18A460884}"/>
    <cellStyle name="Comma 954 2" xfId="2232" xr:uid="{BA1930FD-F5E7-4428-BB07-98676A3B6399}"/>
    <cellStyle name="Comma 954 2 2" xfId="4290" xr:uid="{38BF863F-F09D-4A3F-A18F-C6DAFF942DFF}"/>
    <cellStyle name="Comma 954 2 2 2" xfId="9523" xr:uid="{47350C50-A283-4712-B89E-56136C8310D8}"/>
    <cellStyle name="Comma 954 2 2 2 2" xfId="19875" xr:uid="{A8D2445E-E4CA-4B9F-813C-843497D0C82C}"/>
    <cellStyle name="Comma 954 2 2 3" xfId="14700" xr:uid="{C5B9B62B-1C8F-415D-A929-479BFC4F2A93}"/>
    <cellStyle name="Comma 954 2 3" xfId="7465" xr:uid="{D95D0352-AB4A-422B-968F-BC2987C21807}"/>
    <cellStyle name="Comma 954 2 3 2" xfId="17817" xr:uid="{9FB01C84-13C3-40F3-8846-68A7E1251ABE}"/>
    <cellStyle name="Comma 954 2 4" xfId="12642" xr:uid="{490E57F2-E1E2-44D5-96B9-9E023CAC2598}"/>
    <cellStyle name="Comma 954 3" xfId="3260" xr:uid="{D0457735-BAED-41F2-A965-40772422CEA2}"/>
    <cellStyle name="Comma 954 3 2" xfId="8493" xr:uid="{DE5DF632-1BCC-46B8-9F8F-D64B06C06BBF}"/>
    <cellStyle name="Comma 954 3 2 2" xfId="18845" xr:uid="{13BDB917-57CA-47A2-AE75-0B39BF68493F}"/>
    <cellStyle name="Comma 954 3 3" xfId="13670" xr:uid="{96CC8ACB-F142-4CAC-A934-C3E8F8991689}"/>
    <cellStyle name="Comma 954 4" xfId="5386" xr:uid="{19E10778-B1DB-4334-B23D-B7E7AFA22B1F}"/>
    <cellStyle name="Comma 954 4 2" xfId="10562" xr:uid="{BF03561C-C428-40CB-9E82-28E2DB2D0285}"/>
    <cellStyle name="Comma 954 4 2 2" xfId="20914" xr:uid="{6DE6BDD0-9AD6-4990-807E-BB94823212A7}"/>
    <cellStyle name="Comma 954 4 3" xfId="15738" xr:uid="{B08F439B-62EE-4C96-91A6-2162A9FF381F}"/>
    <cellStyle name="Comma 954 5" xfId="6434" xr:uid="{50807E5B-3967-413B-B6B9-2AB190BBD717}"/>
    <cellStyle name="Comma 954 5 2" xfId="16786" xr:uid="{9ADB3EEF-1DC6-4E87-8EE3-6F1759F04B29}"/>
    <cellStyle name="Comma 954 6" xfId="11612" xr:uid="{934AB995-F91A-45A2-886C-F63A5A71286E}"/>
    <cellStyle name="Comma 955" xfId="1195" xr:uid="{25CC2F2F-4D10-4670-82B0-94BE4596E9A0}"/>
    <cellStyle name="Comma 955 2" xfId="2233" xr:uid="{9014A93F-1744-468C-9979-53BFB57A8364}"/>
    <cellStyle name="Comma 955 2 2" xfId="4291" xr:uid="{A367D198-F0FB-4951-9FF1-DB7BA824580B}"/>
    <cellStyle name="Comma 955 2 2 2" xfId="9524" xr:uid="{AC4BCF04-8D0C-458D-A750-CAE810FB78EE}"/>
    <cellStyle name="Comma 955 2 2 2 2" xfId="19876" xr:uid="{30DE3D21-D5AE-4073-9F4B-76A803EE6F32}"/>
    <cellStyle name="Comma 955 2 2 3" xfId="14701" xr:uid="{C557F59B-0567-4D8D-95C1-43BD41BED70A}"/>
    <cellStyle name="Comma 955 2 3" xfId="7466" xr:uid="{21283FDC-C233-4915-B67B-D23FE251FBD4}"/>
    <cellStyle name="Comma 955 2 3 2" xfId="17818" xr:uid="{C915E9E4-C6C4-4A08-8619-73D54C0880E9}"/>
    <cellStyle name="Comma 955 2 4" xfId="12643" xr:uid="{92F8EEF1-875C-4E9F-936E-9443BF74DB17}"/>
    <cellStyle name="Comma 955 3" xfId="3261" xr:uid="{4EBC3F55-FCF8-4C7D-8588-F07F346DEDA6}"/>
    <cellStyle name="Comma 955 3 2" xfId="8494" xr:uid="{E8CEAA6A-042C-4419-A8E8-5BABABE24834}"/>
    <cellStyle name="Comma 955 3 2 2" xfId="18846" xr:uid="{E4886FCD-EAF3-42EB-85FF-BC078EE915DC}"/>
    <cellStyle name="Comma 955 3 3" xfId="13671" xr:uid="{4CB56C6C-0279-4C6A-8930-3D634A82CA2C}"/>
    <cellStyle name="Comma 955 4" xfId="5387" xr:uid="{F5172873-E387-4040-BD4B-C39B1109D323}"/>
    <cellStyle name="Comma 955 4 2" xfId="10563" xr:uid="{E7D3D2B1-81C1-4929-A18D-F5F0E35A4C57}"/>
    <cellStyle name="Comma 955 4 2 2" xfId="20915" xr:uid="{BDD3289F-0E6F-437F-B9BA-24BCD360BED4}"/>
    <cellStyle name="Comma 955 4 3" xfId="15739" xr:uid="{B2A59CF0-4C6E-4EEE-9003-D5AC35F8C65E}"/>
    <cellStyle name="Comma 955 5" xfId="6435" xr:uid="{B094BB05-C9A7-453D-9FAF-1ECFC643234B}"/>
    <cellStyle name="Comma 955 5 2" xfId="16787" xr:uid="{9AA616AB-C90E-4CA6-92E4-E89DCDDD5E61}"/>
    <cellStyle name="Comma 955 6" xfId="11613" xr:uid="{D6D27046-6EE2-482B-9480-5B58B29E574E}"/>
    <cellStyle name="Comma 956" xfId="1196" xr:uid="{641E5279-DAE0-42EE-A220-1206FF768961}"/>
    <cellStyle name="Comma 956 2" xfId="2234" xr:uid="{8B644CDB-0F44-4F66-8F3D-53F7A1537F77}"/>
    <cellStyle name="Comma 956 2 2" xfId="4292" xr:uid="{F8CF0DAE-62E5-41CE-8CF2-4C1B5B25872A}"/>
    <cellStyle name="Comma 956 2 2 2" xfId="9525" xr:uid="{75266F93-24C7-445F-BFCA-57EE5E2AD95F}"/>
    <cellStyle name="Comma 956 2 2 2 2" xfId="19877" xr:uid="{241B7D64-AFC3-4CC4-8624-2A84DD24666B}"/>
    <cellStyle name="Comma 956 2 2 3" xfId="14702" xr:uid="{8ACF1230-CA4C-4DB8-A621-9914AA044467}"/>
    <cellStyle name="Comma 956 2 3" xfId="7467" xr:uid="{13F2CDD1-3A1A-406B-BEFD-5C378188C9A5}"/>
    <cellStyle name="Comma 956 2 3 2" xfId="17819" xr:uid="{F3F097C5-97EC-45F8-859D-31F59BAB1462}"/>
    <cellStyle name="Comma 956 2 4" xfId="12644" xr:uid="{A01C8818-3278-4BF7-B5A0-29A7823921B3}"/>
    <cellStyle name="Comma 956 3" xfId="3262" xr:uid="{9A7376C7-E48D-4D28-8740-443ED213CEE4}"/>
    <cellStyle name="Comma 956 3 2" xfId="8495" xr:uid="{03E5402E-8CB6-4DED-BF71-930C9948B286}"/>
    <cellStyle name="Comma 956 3 2 2" xfId="18847" xr:uid="{35FE54AD-2E90-4002-87C1-959D75487388}"/>
    <cellStyle name="Comma 956 3 3" xfId="13672" xr:uid="{8F581A92-2D0A-4B91-99BC-A89DDA04ABB3}"/>
    <cellStyle name="Comma 956 4" xfId="5388" xr:uid="{7D0FE181-7B62-4970-8DA4-DE4F3A138039}"/>
    <cellStyle name="Comma 956 4 2" xfId="10564" xr:uid="{6B62AD77-C300-4527-91B6-6162114D99D6}"/>
    <cellStyle name="Comma 956 4 2 2" xfId="20916" xr:uid="{4ECB34D6-23E6-4B49-82A9-CC8C8C1F1A98}"/>
    <cellStyle name="Comma 956 4 3" xfId="15740" xr:uid="{49AD40F2-9AC1-4F65-80BE-5BF15E975F75}"/>
    <cellStyle name="Comma 956 5" xfId="6436" xr:uid="{4CFCF228-E84D-4E05-8CD7-374DFB4B8701}"/>
    <cellStyle name="Comma 956 5 2" xfId="16788" xr:uid="{95FEF8A7-1A70-4A66-B6B7-F3849B6EA18D}"/>
    <cellStyle name="Comma 956 6" xfId="11614" xr:uid="{3B361F58-B118-4899-8D21-6C0F6BC6FD5C}"/>
    <cellStyle name="Comma 957" xfId="1197" xr:uid="{DAA56BD0-13B1-4FEF-80EE-99982403507E}"/>
    <cellStyle name="Comma 957 2" xfId="2235" xr:uid="{C67B48EC-F720-408F-B500-41517BD1240B}"/>
    <cellStyle name="Comma 957 2 2" xfId="4293" xr:uid="{44994C99-40BA-4F20-A52A-49B0F4957255}"/>
    <cellStyle name="Comma 957 2 2 2" xfId="9526" xr:uid="{33EF4554-B449-412E-B790-CCE389547C9E}"/>
    <cellStyle name="Comma 957 2 2 2 2" xfId="19878" xr:uid="{C5584E51-7B8D-49B7-A6E5-92E3A81DA46A}"/>
    <cellStyle name="Comma 957 2 2 3" xfId="14703" xr:uid="{97A1F4B4-C8A4-45DC-AA35-3E7861DEA9FE}"/>
    <cellStyle name="Comma 957 2 3" xfId="7468" xr:uid="{5F02D343-4041-4462-B7E9-1DF0DD4F9580}"/>
    <cellStyle name="Comma 957 2 3 2" xfId="17820" xr:uid="{4853D53D-5178-4FCF-A131-0D80A6746710}"/>
    <cellStyle name="Comma 957 2 4" xfId="12645" xr:uid="{075FB540-F1AB-4200-80D2-968CDAB4AB26}"/>
    <cellStyle name="Comma 957 3" xfId="3263" xr:uid="{C1DFEDF8-23DD-4769-BF82-56159A33AD91}"/>
    <cellStyle name="Comma 957 3 2" xfId="8496" xr:uid="{719484D4-2D7F-4743-997C-5016AC863DDB}"/>
    <cellStyle name="Comma 957 3 2 2" xfId="18848" xr:uid="{1435379B-A5CD-43B6-BC0A-00CAD498ED8E}"/>
    <cellStyle name="Comma 957 3 3" xfId="13673" xr:uid="{4061C977-6876-43CE-A1CA-0E450DF04036}"/>
    <cellStyle name="Comma 957 4" xfId="5389" xr:uid="{DA378FB3-156C-4955-9605-6335388A6B24}"/>
    <cellStyle name="Comma 957 4 2" xfId="10565" xr:uid="{D355A05C-7E34-47FE-9864-F30E745A8CA6}"/>
    <cellStyle name="Comma 957 4 2 2" xfId="20917" xr:uid="{F458BF30-013C-408B-8D78-6825C9FC884B}"/>
    <cellStyle name="Comma 957 4 3" xfId="15741" xr:uid="{03B924A2-0B27-4581-8B5C-6F8E283704B7}"/>
    <cellStyle name="Comma 957 5" xfId="6437" xr:uid="{317EF0D2-FE6F-4DAF-B4B5-E7CE7DA2659D}"/>
    <cellStyle name="Comma 957 5 2" xfId="16789" xr:uid="{1ED49F97-3EBD-4792-A4E4-8DABE05934BD}"/>
    <cellStyle name="Comma 957 6" xfId="11615" xr:uid="{62892605-97BB-4F49-92C9-DD2F54BF8A24}"/>
    <cellStyle name="Comma 958" xfId="1198" xr:uid="{FB033A74-B9AF-4D41-8947-98CD00D7E366}"/>
    <cellStyle name="Comma 958 2" xfId="2236" xr:uid="{3C76E62E-A299-46BD-B906-929F7EE57391}"/>
    <cellStyle name="Comma 958 2 2" xfId="4294" xr:uid="{0506B32F-E3D3-4B80-AD28-C02CB0882CB4}"/>
    <cellStyle name="Comma 958 2 2 2" xfId="9527" xr:uid="{9741DE63-75E9-488E-BF7F-03D4295DD79A}"/>
    <cellStyle name="Comma 958 2 2 2 2" xfId="19879" xr:uid="{BCE69798-BAAA-4C9F-8013-9FDE2C0800C2}"/>
    <cellStyle name="Comma 958 2 2 3" xfId="14704" xr:uid="{D3F67A38-6194-46BE-BBC6-B3CF331F91D1}"/>
    <cellStyle name="Comma 958 2 3" xfId="7469" xr:uid="{CEBAF352-6E48-407C-AEB8-F5716E6EEDB2}"/>
    <cellStyle name="Comma 958 2 3 2" xfId="17821" xr:uid="{FAE4AE18-5CC0-4802-8AA3-6B5E01C6E5E8}"/>
    <cellStyle name="Comma 958 2 4" xfId="12646" xr:uid="{ADAF6E4D-03B8-4E33-8523-4F43F554F469}"/>
    <cellStyle name="Comma 958 3" xfId="3264" xr:uid="{FC9A0FC1-C3E5-4166-B57E-E8A457764BAB}"/>
    <cellStyle name="Comma 958 3 2" xfId="8497" xr:uid="{237B78D8-9531-4C62-A921-4FA215937084}"/>
    <cellStyle name="Comma 958 3 2 2" xfId="18849" xr:uid="{DBCCE7DA-3FC8-4727-A4C8-13809A1A9C9F}"/>
    <cellStyle name="Comma 958 3 3" xfId="13674" xr:uid="{710490F2-BD03-4A4F-9EC3-DFC0151E1342}"/>
    <cellStyle name="Comma 958 4" xfId="5390" xr:uid="{AF172CD5-14E4-43D5-9692-F4FAB463BD23}"/>
    <cellStyle name="Comma 958 4 2" xfId="10566" xr:uid="{EBF9DE46-4A24-4E22-A75B-36747BECAD4A}"/>
    <cellStyle name="Comma 958 4 2 2" xfId="20918" xr:uid="{ABBD4A2D-7C27-4674-8877-641223ADA69C}"/>
    <cellStyle name="Comma 958 4 3" xfId="15742" xr:uid="{2992137B-BE5D-43F7-83DC-F651D5F0737F}"/>
    <cellStyle name="Comma 958 5" xfId="6438" xr:uid="{C5317D90-EEDD-4237-8AB2-CCA6C0675BED}"/>
    <cellStyle name="Comma 958 5 2" xfId="16790" xr:uid="{DB82EBA8-4549-4E80-9814-9EDCFF5E1A40}"/>
    <cellStyle name="Comma 958 6" xfId="11616" xr:uid="{B6A4C8FD-D5AC-45F8-A233-430E03C29C5F}"/>
    <cellStyle name="Comma 959" xfId="1199" xr:uid="{B816D53A-FB80-4B8A-B1FF-A7644C0C428F}"/>
    <cellStyle name="Comma 959 2" xfId="2237" xr:uid="{54115268-F0FB-4E69-900A-05D50AE7C126}"/>
    <cellStyle name="Comma 959 2 2" xfId="4295" xr:uid="{BD7A7288-FBEF-4A95-9084-636142F221FF}"/>
    <cellStyle name="Comma 959 2 2 2" xfId="9528" xr:uid="{8A2C0C08-ABD3-4095-8B23-7F10F2EC48DD}"/>
    <cellStyle name="Comma 959 2 2 2 2" xfId="19880" xr:uid="{D076F1CF-B85D-4C6E-A008-C13549C459AB}"/>
    <cellStyle name="Comma 959 2 2 3" xfId="14705" xr:uid="{3F62030F-A3E2-4F03-88EC-553E03155905}"/>
    <cellStyle name="Comma 959 2 3" xfId="7470" xr:uid="{02C54E76-20B0-48AA-BF32-9EFA857070B5}"/>
    <cellStyle name="Comma 959 2 3 2" xfId="17822" xr:uid="{B17A0FB7-8D9F-4E68-A899-B7BCE90DF9B1}"/>
    <cellStyle name="Comma 959 2 4" xfId="12647" xr:uid="{45849C0D-8F10-4A11-BE17-6A2E188D4E79}"/>
    <cellStyle name="Comma 959 3" xfId="3265" xr:uid="{95D68248-BAA5-4B9F-88F6-A25061E9B74D}"/>
    <cellStyle name="Comma 959 3 2" xfId="8498" xr:uid="{E68E9BCE-A74C-4EF5-97D2-7B7FF14B3613}"/>
    <cellStyle name="Comma 959 3 2 2" xfId="18850" xr:uid="{33B6A47A-6C77-48A1-81C2-BA74D3AB2239}"/>
    <cellStyle name="Comma 959 3 3" xfId="13675" xr:uid="{131A96EB-4869-4EA7-AB52-E8BE31AD533E}"/>
    <cellStyle name="Comma 959 4" xfId="5391" xr:uid="{2B2B87AA-B95B-4DA7-AC54-5B3A7BB56BCD}"/>
    <cellStyle name="Comma 959 4 2" xfId="10567" xr:uid="{C3537B79-147A-4499-ADCE-B5EAA5BA38EA}"/>
    <cellStyle name="Comma 959 4 2 2" xfId="20919" xr:uid="{E7B17040-FF3C-457A-B012-3C5ED564D596}"/>
    <cellStyle name="Comma 959 4 3" xfId="15743" xr:uid="{438BD327-7CBC-47A3-9F83-314EEBEAFBE3}"/>
    <cellStyle name="Comma 959 5" xfId="6439" xr:uid="{1CC1A2E4-94B9-40E0-BFBD-0FE5FBEC5661}"/>
    <cellStyle name="Comma 959 5 2" xfId="16791" xr:uid="{7284BF5F-356B-42F2-9792-F5A76C86329A}"/>
    <cellStyle name="Comma 959 6" xfId="11617" xr:uid="{AF6244B5-4DB5-4175-872C-E90A8A4C3D5C}"/>
    <cellStyle name="Comma 96" xfId="310" xr:uid="{CD86B641-A8F5-4622-9143-1284B7B2CDF5}"/>
    <cellStyle name="Comma 96 2" xfId="1374" xr:uid="{C04B2D15-8C4C-457C-BE20-7E9038323B0B}"/>
    <cellStyle name="Comma 96 2 2" xfId="3432" xr:uid="{353C72DD-EF19-47CE-A196-65A6CA8684E7}"/>
    <cellStyle name="Comma 96 2 2 2" xfId="8665" xr:uid="{E6D24DFB-D284-4B51-AE89-8013D37079A1}"/>
    <cellStyle name="Comma 96 2 2 2 2" xfId="19017" xr:uid="{CF89F66C-5258-4B14-A2B7-33A959959A5C}"/>
    <cellStyle name="Comma 96 2 2 3" xfId="13842" xr:uid="{BF04541B-1148-45D3-9B0B-D73B25858720}"/>
    <cellStyle name="Comma 96 2 3" xfId="6607" xr:uid="{0EE14A53-E200-4383-A21A-FFFB646D7787}"/>
    <cellStyle name="Comma 96 2 3 2" xfId="16959" xr:uid="{DE7EEB52-8F3C-4E2E-8955-39CF06CFA383}"/>
    <cellStyle name="Comma 96 2 4" xfId="11784" xr:uid="{EF467D4C-E682-456F-81FD-CD0221FDD001}"/>
    <cellStyle name="Comma 96 3" xfId="2402" xr:uid="{FF027217-1C05-40E6-9961-EB47F7CAF898}"/>
    <cellStyle name="Comma 96 3 2" xfId="7635" xr:uid="{FD24D17E-4826-417B-92F1-CB046BD7E3DA}"/>
    <cellStyle name="Comma 96 3 2 2" xfId="17987" xr:uid="{80BDFF3C-6439-4ADB-99A8-EF9C506FD3C6}"/>
    <cellStyle name="Comma 96 3 3" xfId="12812" xr:uid="{E8F7516B-73C1-445D-A4C4-ADEE61D9F529}"/>
    <cellStyle name="Comma 96 4" xfId="4528" xr:uid="{61D39C61-6C72-4CEE-B73E-475E713D24EF}"/>
    <cellStyle name="Comma 96 4 2" xfId="9704" xr:uid="{80F9A053-36B7-498F-BB1E-03CBFF0D07A5}"/>
    <cellStyle name="Comma 96 4 2 2" xfId="20056" xr:uid="{A46B72C5-FC06-40CB-8B33-FC15CFCA386F}"/>
    <cellStyle name="Comma 96 4 3" xfId="14880" xr:uid="{CE202C4F-75E6-465C-AA8B-476A3E5D3944}"/>
    <cellStyle name="Comma 96 5" xfId="5576" xr:uid="{FB7CB1F8-1E1C-4C10-96D4-497585B728DE}"/>
    <cellStyle name="Comma 96 5 2" xfId="15928" xr:uid="{8CA1664B-D930-44FF-8FEF-031EB2B0444D}"/>
    <cellStyle name="Comma 96 6" xfId="10754" xr:uid="{C52A5A7D-59D3-4F78-87F5-39895D7589FC}"/>
    <cellStyle name="Comma 960" xfId="1200" xr:uid="{23225545-4887-42F4-8E4B-04368DFEBA2F}"/>
    <cellStyle name="Comma 960 2" xfId="2238" xr:uid="{2BEA2FF8-3B5F-453E-9793-62E3F2733D98}"/>
    <cellStyle name="Comma 960 2 2" xfId="4296" xr:uid="{029F6174-2406-47B3-A804-4C1F7D85BB84}"/>
    <cellStyle name="Comma 960 2 2 2" xfId="9529" xr:uid="{397E8470-E52D-4247-96F8-6D8002D10B60}"/>
    <cellStyle name="Comma 960 2 2 2 2" xfId="19881" xr:uid="{B4E05F27-7CA4-4545-B403-B5A114EBBCC5}"/>
    <cellStyle name="Comma 960 2 2 3" xfId="14706" xr:uid="{D1F12C47-77B1-4531-B9C1-7528DF0EF250}"/>
    <cellStyle name="Comma 960 2 3" xfId="7471" xr:uid="{F7FDA3DD-BA06-4924-B5A0-89F942221071}"/>
    <cellStyle name="Comma 960 2 3 2" xfId="17823" xr:uid="{6211F307-347D-4EE8-96C0-CFE81A5281E6}"/>
    <cellStyle name="Comma 960 2 4" xfId="12648" xr:uid="{76B07880-287E-4319-86FA-ED67559C4C4A}"/>
    <cellStyle name="Comma 960 3" xfId="3266" xr:uid="{993919DF-394C-4DB4-8CA9-FA75D6B1FE39}"/>
    <cellStyle name="Comma 960 3 2" xfId="8499" xr:uid="{0F2CAEE7-F92D-40DC-94C4-46F8F0389282}"/>
    <cellStyle name="Comma 960 3 2 2" xfId="18851" xr:uid="{B5450DE4-7926-4C46-A90C-B8CDA91550B8}"/>
    <cellStyle name="Comma 960 3 3" xfId="13676" xr:uid="{47A5306D-BD2F-4083-ACEA-C3E9BBCAA605}"/>
    <cellStyle name="Comma 960 4" xfId="5392" xr:uid="{5D145691-3A26-42EF-A067-323E6DCA8921}"/>
    <cellStyle name="Comma 960 4 2" xfId="10568" xr:uid="{526684EA-4779-4D58-AF8E-222CC43D5DFB}"/>
    <cellStyle name="Comma 960 4 2 2" xfId="20920" xr:uid="{9B783402-B463-48D6-84AD-8BBC51523576}"/>
    <cellStyle name="Comma 960 4 3" xfId="15744" xr:uid="{15DE6C5E-B52E-4742-8F6F-0A48B58B0F4E}"/>
    <cellStyle name="Comma 960 5" xfId="6440" xr:uid="{F3C86962-429B-408B-AA56-342573784C36}"/>
    <cellStyle name="Comma 960 5 2" xfId="16792" xr:uid="{85CE070B-9767-4A37-8A74-210520B5F8FD}"/>
    <cellStyle name="Comma 960 6" xfId="11618" xr:uid="{B4566CB3-22ED-4501-9299-A21F16999EBC}"/>
    <cellStyle name="Comma 961" xfId="1201" xr:uid="{3250FBC2-A6E3-4F1A-9094-803A0F1FDCA8}"/>
    <cellStyle name="Comma 961 2" xfId="2239" xr:uid="{FB50C94D-84AF-481F-AF1E-CB21410346CC}"/>
    <cellStyle name="Comma 961 2 2" xfId="4297" xr:uid="{F752CE25-CDDC-4840-8775-7D7A0E4CC97A}"/>
    <cellStyle name="Comma 961 2 2 2" xfId="9530" xr:uid="{5FE3F4E4-C9E3-451E-B295-DAB6C04AAB5A}"/>
    <cellStyle name="Comma 961 2 2 2 2" xfId="19882" xr:uid="{A8F734A6-E7BA-441A-8B34-5757742A7FA9}"/>
    <cellStyle name="Comma 961 2 2 3" xfId="14707" xr:uid="{2E56D91F-EF79-4720-B706-76E711090C51}"/>
    <cellStyle name="Comma 961 2 3" xfId="7472" xr:uid="{9064D1BE-B3EC-4BA9-9C95-61387C724B6C}"/>
    <cellStyle name="Comma 961 2 3 2" xfId="17824" xr:uid="{2790A717-7298-4466-9C42-D0AB98998940}"/>
    <cellStyle name="Comma 961 2 4" xfId="12649" xr:uid="{76AAA2DF-0D20-4F04-BF29-108C418A1C62}"/>
    <cellStyle name="Comma 961 3" xfId="3267" xr:uid="{CB2D1A64-00D6-4760-8B16-6064BBF124F1}"/>
    <cellStyle name="Comma 961 3 2" xfId="8500" xr:uid="{DCEEBD16-E4AA-4F41-B68D-8C13C4294CE9}"/>
    <cellStyle name="Comma 961 3 2 2" xfId="18852" xr:uid="{124F1094-947F-4235-9FC5-8B82028CA3E2}"/>
    <cellStyle name="Comma 961 3 3" xfId="13677" xr:uid="{56354069-0BB0-4339-9146-1517CEB82F4A}"/>
    <cellStyle name="Comma 961 4" xfId="5393" xr:uid="{2E013E0F-3662-42E6-B087-EB263D5BAC2D}"/>
    <cellStyle name="Comma 961 4 2" xfId="10569" xr:uid="{373236FD-F479-4B22-9A83-BBF82CA00714}"/>
    <cellStyle name="Comma 961 4 2 2" xfId="20921" xr:uid="{5E263A07-7515-44B6-9B22-7F07B58A3127}"/>
    <cellStyle name="Comma 961 4 3" xfId="15745" xr:uid="{27C08020-890A-469C-8709-B72712EB11B0}"/>
    <cellStyle name="Comma 961 5" xfId="6441" xr:uid="{28066D64-878F-4962-8BD2-EE2A29CBD4E1}"/>
    <cellStyle name="Comma 961 5 2" xfId="16793" xr:uid="{C7A9759D-4E26-4884-B9BB-267874F178C6}"/>
    <cellStyle name="Comma 961 6" xfId="11619" xr:uid="{501F60CC-26EB-448D-BBEE-5F705BCFD919}"/>
    <cellStyle name="Comma 962" xfId="1202" xr:uid="{65887225-5046-401F-86BD-D9EF60958C5C}"/>
    <cellStyle name="Comma 962 2" xfId="2240" xr:uid="{31ED0034-FBB9-4C8D-96A1-7EED3D45BD01}"/>
    <cellStyle name="Comma 962 2 2" xfId="4298" xr:uid="{69A34A6C-FB38-4D80-AD4F-2CFB1F5ED96E}"/>
    <cellStyle name="Comma 962 2 2 2" xfId="9531" xr:uid="{A8889FAD-0B79-4CBD-BA3C-D22A407CA879}"/>
    <cellStyle name="Comma 962 2 2 2 2" xfId="19883" xr:uid="{40CB8582-8334-46A0-82B0-CBC581E239CC}"/>
    <cellStyle name="Comma 962 2 2 3" xfId="14708" xr:uid="{3132AB42-9E75-4183-9DFC-78F0A6406610}"/>
    <cellStyle name="Comma 962 2 3" xfId="7473" xr:uid="{6AF87951-8588-4AEF-BA5D-E0CFFEFC6BAB}"/>
    <cellStyle name="Comma 962 2 3 2" xfId="17825" xr:uid="{6FCA5AF2-394E-4B79-8438-82296E2A27F3}"/>
    <cellStyle name="Comma 962 2 4" xfId="12650" xr:uid="{323A28A8-CFA9-4D33-973F-33AADA8D2EDB}"/>
    <cellStyle name="Comma 962 3" xfId="3268" xr:uid="{9265B937-5A4E-4DF0-A0D0-1DD9EA0EFC83}"/>
    <cellStyle name="Comma 962 3 2" xfId="8501" xr:uid="{EA84B744-4FE2-4EC6-AF3B-4BCE1CB9B094}"/>
    <cellStyle name="Comma 962 3 2 2" xfId="18853" xr:uid="{457D33D2-BC86-49AA-947E-4AFD1A91585B}"/>
    <cellStyle name="Comma 962 3 3" xfId="13678" xr:uid="{3D250598-B564-4B1A-A0D7-A3D99C669240}"/>
    <cellStyle name="Comma 962 4" xfId="5394" xr:uid="{A8C39650-B955-4D96-8E9E-0332D2E07C77}"/>
    <cellStyle name="Comma 962 4 2" xfId="10570" xr:uid="{35A13A80-77EB-4965-B746-BBD102E33854}"/>
    <cellStyle name="Comma 962 4 2 2" xfId="20922" xr:uid="{9800023F-8350-44FD-8993-C1874FF0B95B}"/>
    <cellStyle name="Comma 962 4 3" xfId="15746" xr:uid="{30D7853F-5292-476E-80F6-D5395CA83187}"/>
    <cellStyle name="Comma 962 5" xfId="6442" xr:uid="{F5CFD500-3E1D-4511-9FA1-A90342D32D37}"/>
    <cellStyle name="Comma 962 5 2" xfId="16794" xr:uid="{164D5A6F-0EEB-4FC0-ACC3-3CBDCA849916}"/>
    <cellStyle name="Comma 962 6" xfId="11620" xr:uid="{B204A6DF-C8AF-4CF4-985A-095AA3E7DD33}"/>
    <cellStyle name="Comma 963" xfId="1203" xr:uid="{0F64BF4C-CB54-4BF5-AEB2-E4437202153E}"/>
    <cellStyle name="Comma 963 2" xfId="2241" xr:uid="{CA12894D-85B3-4BBA-A015-246E34CDA589}"/>
    <cellStyle name="Comma 963 2 2" xfId="4299" xr:uid="{1AC4939B-60BD-4EB2-A007-2ED6D5FEBFA9}"/>
    <cellStyle name="Comma 963 2 2 2" xfId="9532" xr:uid="{F90237F2-53F6-4DD0-8AB5-D9A519111612}"/>
    <cellStyle name="Comma 963 2 2 2 2" xfId="19884" xr:uid="{E4498DC8-2B2C-4E69-B35F-5613DEBE542D}"/>
    <cellStyle name="Comma 963 2 2 3" xfId="14709" xr:uid="{A1E6D8B4-B1DA-456A-AB6C-C9BF6AF91372}"/>
    <cellStyle name="Comma 963 2 3" xfId="7474" xr:uid="{D4EC7CFF-7CA7-40A8-AE3B-8D98E0718083}"/>
    <cellStyle name="Comma 963 2 3 2" xfId="17826" xr:uid="{D39A774B-2C36-4D78-9C93-DA18130DF9C5}"/>
    <cellStyle name="Comma 963 2 4" xfId="12651" xr:uid="{CEB5ADB4-BFC0-40A6-B684-D494D37B51F1}"/>
    <cellStyle name="Comma 963 3" xfId="3269" xr:uid="{5192C0A1-55CF-4D97-843C-0F558574FF1E}"/>
    <cellStyle name="Comma 963 3 2" xfId="8502" xr:uid="{416E6BC4-4D56-433C-BB7B-0496F7C835BE}"/>
    <cellStyle name="Comma 963 3 2 2" xfId="18854" xr:uid="{8FC8DD6D-7CF5-47F0-94C8-E38CF274BD88}"/>
    <cellStyle name="Comma 963 3 3" xfId="13679" xr:uid="{03B2B4EC-A062-4AB0-9796-032A15BC05B5}"/>
    <cellStyle name="Comma 963 4" xfId="5395" xr:uid="{69A70D3B-094C-498C-8F2A-0E77D23CA6EB}"/>
    <cellStyle name="Comma 963 4 2" xfId="10571" xr:uid="{75DF797D-0AA1-4922-99F5-F621377CB784}"/>
    <cellStyle name="Comma 963 4 2 2" xfId="20923" xr:uid="{F900F019-5950-41AE-9217-D2F6A37865A2}"/>
    <cellStyle name="Comma 963 4 3" xfId="15747" xr:uid="{79B97947-AD09-4382-9CE2-9271CFCF14E7}"/>
    <cellStyle name="Comma 963 5" xfId="6443" xr:uid="{D8C5D0A7-D443-4916-9D68-5FC9D2C5B097}"/>
    <cellStyle name="Comma 963 5 2" xfId="16795" xr:uid="{A96CA5EE-B0D2-489D-867E-F72EC3C5D724}"/>
    <cellStyle name="Comma 963 6" xfId="11621" xr:uid="{94B3073A-EF8D-4630-B997-173C70C133E9}"/>
    <cellStyle name="Comma 964" xfId="1204" xr:uid="{9B2C3B62-033C-49C4-A156-619C5FAE291D}"/>
    <cellStyle name="Comma 964 2" xfId="2242" xr:uid="{EBD175D8-CAD1-421C-AC30-2B23FADD8BEF}"/>
    <cellStyle name="Comma 964 2 2" xfId="4300" xr:uid="{5204F119-96DF-47A0-B7BF-CADFAEDF8352}"/>
    <cellStyle name="Comma 964 2 2 2" xfId="9533" xr:uid="{D1270855-99B3-49F3-8D63-CBF1102B30D7}"/>
    <cellStyle name="Comma 964 2 2 2 2" xfId="19885" xr:uid="{8A9FB4B9-C73F-4E09-88FF-1C8C382B8FB8}"/>
    <cellStyle name="Comma 964 2 2 3" xfId="14710" xr:uid="{125636D2-3CA7-4EB3-A978-E7DFCB820683}"/>
    <cellStyle name="Comma 964 2 3" xfId="7475" xr:uid="{058D9816-7EAE-44EF-BDD9-860E582BBBF7}"/>
    <cellStyle name="Comma 964 2 3 2" xfId="17827" xr:uid="{6BB092EC-7F18-474E-919E-7D3010885208}"/>
    <cellStyle name="Comma 964 2 4" xfId="12652" xr:uid="{B3B28331-4434-413E-9003-637939EE7410}"/>
    <cellStyle name="Comma 964 3" xfId="3270" xr:uid="{3EE354D2-8105-47BC-8B7E-89792178D4FA}"/>
    <cellStyle name="Comma 964 3 2" xfId="8503" xr:uid="{8670C4F3-7A80-4B6D-82D1-7104452F92CD}"/>
    <cellStyle name="Comma 964 3 2 2" xfId="18855" xr:uid="{03607FF6-24B2-463F-8497-E9D05D0FDD7D}"/>
    <cellStyle name="Comma 964 3 3" xfId="13680" xr:uid="{A246A25E-EFAF-4B45-8186-21C3968A9C3E}"/>
    <cellStyle name="Comma 964 4" xfId="5396" xr:uid="{B241A3F2-E0B3-4334-9CBA-F8E22AD8720A}"/>
    <cellStyle name="Comma 964 4 2" xfId="10572" xr:uid="{9B72394F-5E9F-4853-AC28-8658EF6A1760}"/>
    <cellStyle name="Comma 964 4 2 2" xfId="20924" xr:uid="{7766460F-0D84-4C9C-BE48-9FD73649DE7F}"/>
    <cellStyle name="Comma 964 4 3" xfId="15748" xr:uid="{6EA0EC9A-7E74-496F-BAD5-1DCB88AD2B60}"/>
    <cellStyle name="Comma 964 5" xfId="6444" xr:uid="{6550BA7D-465F-4877-BEAB-89E5316D5AA1}"/>
    <cellStyle name="Comma 964 5 2" xfId="16796" xr:uid="{58C42FDD-5E6C-4BA7-84DA-6D176D013508}"/>
    <cellStyle name="Comma 964 6" xfId="11622" xr:uid="{988847B0-322C-45FD-869E-30202874E213}"/>
    <cellStyle name="Comma 965" xfId="1205" xr:uid="{B718FF9E-F31D-4F1E-85C7-2BB3CC3FA6F8}"/>
    <cellStyle name="Comma 965 2" xfId="2243" xr:uid="{3FDC64F3-C131-4E77-B5E0-46738ECA188F}"/>
    <cellStyle name="Comma 965 2 2" xfId="4301" xr:uid="{DBEAFA5D-D4EE-4750-A97A-E98670E6F05C}"/>
    <cellStyle name="Comma 965 2 2 2" xfId="9534" xr:uid="{1994C44A-908C-4D3E-81B2-37D9E8B60C9D}"/>
    <cellStyle name="Comma 965 2 2 2 2" xfId="19886" xr:uid="{B48EA6BB-D1F6-4AFE-806A-2B1645C49AFA}"/>
    <cellStyle name="Comma 965 2 2 3" xfId="14711" xr:uid="{554339AA-F2ED-4B7B-9877-72999684C95D}"/>
    <cellStyle name="Comma 965 2 3" xfId="7476" xr:uid="{252284FD-B0AC-4C4C-95E0-1D862C512E94}"/>
    <cellStyle name="Comma 965 2 3 2" xfId="17828" xr:uid="{EFEC3812-7E7D-4B97-B883-1007D6B0B2CD}"/>
    <cellStyle name="Comma 965 2 4" xfId="12653" xr:uid="{82493C6D-BE89-4471-84AC-0E2744CCB121}"/>
    <cellStyle name="Comma 965 3" xfId="3271" xr:uid="{5D0421B7-F0A3-49FE-836D-DE7B2621DE88}"/>
    <cellStyle name="Comma 965 3 2" xfId="8504" xr:uid="{0F3CE3BD-EF71-4878-B05D-714E4F01A9F8}"/>
    <cellStyle name="Comma 965 3 2 2" xfId="18856" xr:uid="{A61D246D-A43B-4A4A-8501-1505BF4F3AF3}"/>
    <cellStyle name="Comma 965 3 3" xfId="13681" xr:uid="{DA3CAC05-A838-403E-B04C-2292B1ADCEC1}"/>
    <cellStyle name="Comma 965 4" xfId="5397" xr:uid="{26FA8E3B-DC6E-40EC-A60E-7913A226D833}"/>
    <cellStyle name="Comma 965 4 2" xfId="10573" xr:uid="{7CF0DE41-BA49-4B6D-A94D-3E828C138FD4}"/>
    <cellStyle name="Comma 965 4 2 2" xfId="20925" xr:uid="{869757C0-9F74-4BCB-9381-72C80127B5EF}"/>
    <cellStyle name="Comma 965 4 3" xfId="15749" xr:uid="{668C3E4D-1CCD-4036-AE7B-FB9B75D72B0E}"/>
    <cellStyle name="Comma 965 5" xfId="6445" xr:uid="{3309486C-A274-4388-81D4-F242A37F5738}"/>
    <cellStyle name="Comma 965 5 2" xfId="16797" xr:uid="{796AD0F3-4520-4359-A665-033D4DCF16E8}"/>
    <cellStyle name="Comma 965 6" xfId="11623" xr:uid="{6CD14799-EFC7-4716-8DAE-DAAAF7C55845}"/>
    <cellStyle name="Comma 966" xfId="1206" xr:uid="{31888E55-6B9D-410F-835F-3262B4E42879}"/>
    <cellStyle name="Comma 966 2" xfId="2244" xr:uid="{FA52DF17-FA06-46E0-BD34-8F69A7353C0C}"/>
    <cellStyle name="Comma 966 2 2" xfId="4302" xr:uid="{60460DE9-39D9-4D62-96BC-3FC642A14D37}"/>
    <cellStyle name="Comma 966 2 2 2" xfId="9535" xr:uid="{AD2B265A-3BAE-411D-A539-EBE64AAFA159}"/>
    <cellStyle name="Comma 966 2 2 2 2" xfId="19887" xr:uid="{21BA68D5-2BF8-43EC-BA9A-21271122C7F5}"/>
    <cellStyle name="Comma 966 2 2 3" xfId="14712" xr:uid="{355A9C47-6CEA-4DAC-AEF4-FBA7A134582F}"/>
    <cellStyle name="Comma 966 2 3" xfId="7477" xr:uid="{8A7EF136-C1E4-4F6E-8EA0-1EF1F00D584E}"/>
    <cellStyle name="Comma 966 2 3 2" xfId="17829" xr:uid="{FDF95D70-6701-4E13-B15E-D40EAACE6CC5}"/>
    <cellStyle name="Comma 966 2 4" xfId="12654" xr:uid="{9E921966-2010-4464-925C-CADC7196880C}"/>
    <cellStyle name="Comma 966 3" xfId="3272" xr:uid="{F0862251-EBD2-4384-80D9-897D88E8D886}"/>
    <cellStyle name="Comma 966 3 2" xfId="8505" xr:uid="{905F45BC-5D07-4549-9321-594850E8F470}"/>
    <cellStyle name="Comma 966 3 2 2" xfId="18857" xr:uid="{7F6B3992-AE80-4D67-BDBD-55BD598E81B8}"/>
    <cellStyle name="Comma 966 3 3" xfId="13682" xr:uid="{9AC709BD-18CF-4489-9A5D-A028F9B1B099}"/>
    <cellStyle name="Comma 966 4" xfId="5398" xr:uid="{94C0FCBB-C3CF-45F4-A3BF-6735951B4617}"/>
    <cellStyle name="Comma 966 4 2" xfId="10574" xr:uid="{87C0ECF7-8619-47A3-A1BC-62A699D6D8E2}"/>
    <cellStyle name="Comma 966 4 2 2" xfId="20926" xr:uid="{A7CABD67-8939-4D16-9355-080831031077}"/>
    <cellStyle name="Comma 966 4 3" xfId="15750" xr:uid="{8ED63492-504C-4AAE-A7FD-EC7FAABBBEA9}"/>
    <cellStyle name="Comma 966 5" xfId="6446" xr:uid="{6B5AF90E-206D-4331-A092-0F4A2964AD11}"/>
    <cellStyle name="Comma 966 5 2" xfId="16798" xr:uid="{84F48191-2DD7-4F39-84A7-0277EC2DFC65}"/>
    <cellStyle name="Comma 966 6" xfId="11624" xr:uid="{46199624-11C8-4E42-90FA-F27E7FA44950}"/>
    <cellStyle name="Comma 967" xfId="1207" xr:uid="{8C415EA0-48C2-419D-8AFB-9F794930E322}"/>
    <cellStyle name="Comma 967 2" xfId="2245" xr:uid="{FCC09DE9-69E2-401A-8571-A7610A21A33E}"/>
    <cellStyle name="Comma 967 2 2" xfId="4303" xr:uid="{1A4E6EA4-29E1-4C32-BD4B-87C9F41C557B}"/>
    <cellStyle name="Comma 967 2 2 2" xfId="9536" xr:uid="{6109CBC5-2B24-4E3F-9936-BCB8C2C57703}"/>
    <cellStyle name="Comma 967 2 2 2 2" xfId="19888" xr:uid="{47F1BD8D-A93E-48CB-86AD-2D6027D76D0A}"/>
    <cellStyle name="Comma 967 2 2 3" xfId="14713" xr:uid="{826BAC4E-564E-4224-B120-BFEDEAE5B4F4}"/>
    <cellStyle name="Comma 967 2 3" xfId="7478" xr:uid="{EA7EA052-7529-45F6-9201-E50FFE86943A}"/>
    <cellStyle name="Comma 967 2 3 2" xfId="17830" xr:uid="{73073BFD-91FB-4B61-9276-E26F14B1D06C}"/>
    <cellStyle name="Comma 967 2 4" xfId="12655" xr:uid="{BD28967C-5F69-4894-945B-EEC962DE3C45}"/>
    <cellStyle name="Comma 967 3" xfId="3273" xr:uid="{494049A0-5F8D-4613-BD2F-B9F7F2953692}"/>
    <cellStyle name="Comma 967 3 2" xfId="8506" xr:uid="{6E997A43-2705-478C-8236-7F17A0942EE6}"/>
    <cellStyle name="Comma 967 3 2 2" xfId="18858" xr:uid="{9E4CAB8A-86BC-42CC-B26C-42898EF723AA}"/>
    <cellStyle name="Comma 967 3 3" xfId="13683" xr:uid="{F20FC1D6-2A81-4449-833B-6BBBE2D2C681}"/>
    <cellStyle name="Comma 967 4" xfId="5399" xr:uid="{A071F717-3748-436F-9167-5A1049572765}"/>
    <cellStyle name="Comma 967 4 2" xfId="10575" xr:uid="{6779808E-96B7-4C14-B077-2FF19E05483B}"/>
    <cellStyle name="Comma 967 4 2 2" xfId="20927" xr:uid="{FEF52381-E7DC-43D6-ADC5-34353232069D}"/>
    <cellStyle name="Comma 967 4 3" xfId="15751" xr:uid="{0E66BEEF-73DD-4987-8761-662C5BAF0ADF}"/>
    <cellStyle name="Comma 967 5" xfId="6447" xr:uid="{EBA17A06-EEA7-4E26-8656-2652B15242FA}"/>
    <cellStyle name="Comma 967 5 2" xfId="16799" xr:uid="{66D17F13-4D1C-4CA0-A97E-1FEB39647805}"/>
    <cellStyle name="Comma 967 6" xfId="11625" xr:uid="{B5319229-6D0E-4886-8E1E-09CAD1625148}"/>
    <cellStyle name="Comma 968" xfId="1208" xr:uid="{315CB885-B3A3-4A9B-9EA3-4939CB6C6B54}"/>
    <cellStyle name="Comma 968 2" xfId="2246" xr:uid="{C87A02B7-0E19-4D29-A680-66490B6E74AA}"/>
    <cellStyle name="Comma 968 2 2" xfId="4304" xr:uid="{343D8205-F9F9-496E-B7E1-57228C375477}"/>
    <cellStyle name="Comma 968 2 2 2" xfId="9537" xr:uid="{95DBD9FA-6FBD-49AE-8ED1-B5AF66244567}"/>
    <cellStyle name="Comma 968 2 2 2 2" xfId="19889" xr:uid="{01B73985-CF2F-4745-A6C2-88190C226527}"/>
    <cellStyle name="Comma 968 2 2 3" xfId="14714" xr:uid="{67340806-B9AF-4DA3-94AD-A2597F056C66}"/>
    <cellStyle name="Comma 968 2 3" xfId="7479" xr:uid="{03250C14-5107-43B8-810B-6F9FEADAB513}"/>
    <cellStyle name="Comma 968 2 3 2" xfId="17831" xr:uid="{5DEEBF9B-0312-4951-842D-1901669FBA51}"/>
    <cellStyle name="Comma 968 2 4" xfId="12656" xr:uid="{36519120-D1E3-403D-A993-76AB5E3D752E}"/>
    <cellStyle name="Comma 968 3" xfId="3274" xr:uid="{715B62D0-060D-46D2-A958-E5E09E4213A7}"/>
    <cellStyle name="Comma 968 3 2" xfId="8507" xr:uid="{F3665BF3-379B-4D81-BB23-DE198C657C8F}"/>
    <cellStyle name="Comma 968 3 2 2" xfId="18859" xr:uid="{603D9B38-2230-456F-8E7E-0C261CEC0906}"/>
    <cellStyle name="Comma 968 3 3" xfId="13684" xr:uid="{70DA3FC0-344D-4C81-9466-DE7E4C8BC826}"/>
    <cellStyle name="Comma 968 4" xfId="5400" xr:uid="{EA7A1FE2-B508-4C51-BA82-F21CA4BF647A}"/>
    <cellStyle name="Comma 968 4 2" xfId="10576" xr:uid="{1827F913-F28C-4432-834F-EDE00CB79D04}"/>
    <cellStyle name="Comma 968 4 2 2" xfId="20928" xr:uid="{CCB07D5C-4657-41BE-A249-0C42C4DD0124}"/>
    <cellStyle name="Comma 968 4 3" xfId="15752" xr:uid="{D7EE134D-1367-4B93-A1B5-3EB1EFD25A9E}"/>
    <cellStyle name="Comma 968 5" xfId="6448" xr:uid="{D1ADF3F0-F83C-4B37-849D-9A2ED24208FE}"/>
    <cellStyle name="Comma 968 5 2" xfId="16800" xr:uid="{03CDF530-F3C4-4A98-B033-544F2AC1953D}"/>
    <cellStyle name="Comma 968 6" xfId="11626" xr:uid="{5A992A29-B973-4F8E-9822-D8D91C779816}"/>
    <cellStyle name="Comma 969" xfId="1209" xr:uid="{387DF333-D4C5-420C-ACE7-91DA4976353D}"/>
    <cellStyle name="Comma 969 2" xfId="2247" xr:uid="{FB574312-4665-4282-A295-9C2B55C497F4}"/>
    <cellStyle name="Comma 969 2 2" xfId="4305" xr:uid="{B45C56FD-D844-422D-8DAD-0C58E138F2C1}"/>
    <cellStyle name="Comma 969 2 2 2" xfId="9538" xr:uid="{FB0B6732-30D5-4C3C-A3A3-2AC48C38D44C}"/>
    <cellStyle name="Comma 969 2 2 2 2" xfId="19890" xr:uid="{B49214A0-4A2B-4CA8-84AE-3109D3DAE02E}"/>
    <cellStyle name="Comma 969 2 2 3" xfId="14715" xr:uid="{BD8630CA-833C-4278-81AF-71847449E667}"/>
    <cellStyle name="Comma 969 2 3" xfId="7480" xr:uid="{F01C82D6-B77A-4E3F-80FE-3BEE582BB3BE}"/>
    <cellStyle name="Comma 969 2 3 2" xfId="17832" xr:uid="{832E7797-AAA7-4CCC-9E73-C04A7A0DF5F1}"/>
    <cellStyle name="Comma 969 2 4" xfId="12657" xr:uid="{AD27CFAE-185E-4F8E-A61C-35BF760B4744}"/>
    <cellStyle name="Comma 969 3" xfId="3275" xr:uid="{277A1E26-5E88-4B5D-9B34-66BB0B09DF3C}"/>
    <cellStyle name="Comma 969 3 2" xfId="8508" xr:uid="{6CF79FEC-5AFD-488B-A942-9BF2326826A7}"/>
    <cellStyle name="Comma 969 3 2 2" xfId="18860" xr:uid="{1F438CEB-4AB7-40D5-9B02-4F79521C9375}"/>
    <cellStyle name="Comma 969 3 3" xfId="13685" xr:uid="{73427451-6CEF-44C2-BDC0-EB220FC6BE17}"/>
    <cellStyle name="Comma 969 4" xfId="5401" xr:uid="{4D62D3EF-2E90-4CA9-AFBC-82607E9C9FDD}"/>
    <cellStyle name="Comma 969 4 2" xfId="10577" xr:uid="{A43F5427-289F-4BCC-9A36-1FFD25F21A5D}"/>
    <cellStyle name="Comma 969 4 2 2" xfId="20929" xr:uid="{1E6B13EE-2D82-4375-A8B2-5973B8BB3432}"/>
    <cellStyle name="Comma 969 4 3" xfId="15753" xr:uid="{EF30D3D9-613B-473C-9289-9BF7B22956C8}"/>
    <cellStyle name="Comma 969 5" xfId="6449" xr:uid="{D2FA22A7-7315-44A0-96D5-59C4FD2F8575}"/>
    <cellStyle name="Comma 969 5 2" xfId="16801" xr:uid="{0C42394F-8CB0-4CEE-8551-C49931C1B963}"/>
    <cellStyle name="Comma 969 6" xfId="11627" xr:uid="{1ABD0D59-68FD-4F73-8829-00222550223D}"/>
    <cellStyle name="Comma 97" xfId="311" xr:uid="{730615D5-9A11-4E2B-A027-E8CEC682D40F}"/>
    <cellStyle name="Comma 97 2" xfId="1375" xr:uid="{988651A0-2CAB-4114-B6C1-B312899C3398}"/>
    <cellStyle name="Comma 97 2 2" xfId="3433" xr:uid="{463C58C6-E548-40EF-A031-514AF736B3DF}"/>
    <cellStyle name="Comma 97 2 2 2" xfId="8666" xr:uid="{0CED5582-C259-4658-B3C5-0817B680BA07}"/>
    <cellStyle name="Comma 97 2 2 2 2" xfId="19018" xr:uid="{9D0CC088-5FC4-4F72-B352-ABA81A9AF22D}"/>
    <cellStyle name="Comma 97 2 2 3" xfId="13843" xr:uid="{D1A862F8-78A5-4A4B-8551-ABEA6DE9683F}"/>
    <cellStyle name="Comma 97 2 3" xfId="6608" xr:uid="{DADE8681-00C5-4A01-BE8A-C9EE14D72FD8}"/>
    <cellStyle name="Comma 97 2 3 2" xfId="16960" xr:uid="{16EC2067-CEB7-41FE-BE2A-5C64422923C8}"/>
    <cellStyle name="Comma 97 2 4" xfId="11785" xr:uid="{2797A1CC-BBD9-4149-9FDF-E009E70FC4F5}"/>
    <cellStyle name="Comma 97 3" xfId="2403" xr:uid="{CD348C6A-2A4C-4E85-B5BA-FB2FC8E00718}"/>
    <cellStyle name="Comma 97 3 2" xfId="7636" xr:uid="{8FA1FFD0-B647-412D-AEBD-EBCD8EC5B57B}"/>
    <cellStyle name="Comma 97 3 2 2" xfId="17988" xr:uid="{F76ABF12-EDF1-4AF0-A10C-5F8F68CDE9C2}"/>
    <cellStyle name="Comma 97 3 3" xfId="12813" xr:uid="{4CB7E454-9941-41EC-94AE-266521F1B386}"/>
    <cellStyle name="Comma 97 4" xfId="4529" xr:uid="{E2632C54-36C2-4DC1-ADD6-DC750D5B4602}"/>
    <cellStyle name="Comma 97 4 2" xfId="9705" xr:uid="{2BB1BA63-1635-4A48-B1BF-EA24C2E37360}"/>
    <cellStyle name="Comma 97 4 2 2" xfId="20057" xr:uid="{0D350923-69B4-4235-A8C2-0FB07384D212}"/>
    <cellStyle name="Comma 97 4 3" xfId="14881" xr:uid="{5280E1AC-8E1F-4D64-9020-14ADA471B04A}"/>
    <cellStyle name="Comma 97 5" xfId="5577" xr:uid="{7C823F35-4ADF-4DF0-A01B-CD24E3228AAC}"/>
    <cellStyle name="Comma 97 5 2" xfId="15929" xr:uid="{4700F32F-048B-4805-A846-CD3BFD8179B1}"/>
    <cellStyle name="Comma 97 6" xfId="10755" xr:uid="{AF282BF8-6E9B-437B-A1AF-9AAF7D9E6701}"/>
    <cellStyle name="Comma 970" xfId="1210" xr:uid="{B5E155C9-FA2A-4ABD-8D4F-EC21002C0742}"/>
    <cellStyle name="Comma 970 2" xfId="2248" xr:uid="{8846E985-2589-42E4-8B2C-4936E9CE21CD}"/>
    <cellStyle name="Comma 970 2 2" xfId="4306" xr:uid="{58A49430-3415-489B-BD67-7006431EA38E}"/>
    <cellStyle name="Comma 970 2 2 2" xfId="9539" xr:uid="{352A3D19-61B1-4A78-B1A4-B5B102248290}"/>
    <cellStyle name="Comma 970 2 2 2 2" xfId="19891" xr:uid="{EFFD8FE5-5694-4977-896C-09DBC15BAAE1}"/>
    <cellStyle name="Comma 970 2 2 3" xfId="14716" xr:uid="{51DFC090-EF8E-437E-B759-C94815CE0AAC}"/>
    <cellStyle name="Comma 970 2 3" xfId="7481" xr:uid="{77C35DE9-A4D3-4577-8570-4CF82B7882FB}"/>
    <cellStyle name="Comma 970 2 3 2" xfId="17833" xr:uid="{53CC2AC3-7D99-4C38-B8F9-B9E1A032E9DF}"/>
    <cellStyle name="Comma 970 2 4" xfId="12658" xr:uid="{BF7D0135-F6DB-4B85-A930-202DF1E2675E}"/>
    <cellStyle name="Comma 970 3" xfId="3276" xr:uid="{E00C15E6-DEE4-44D3-AF16-25CE58A36704}"/>
    <cellStyle name="Comma 970 3 2" xfId="8509" xr:uid="{331D5FA0-F023-4B7F-8D55-DBF9E82B7179}"/>
    <cellStyle name="Comma 970 3 2 2" xfId="18861" xr:uid="{6537D954-A846-4F76-AC4C-EF0B5F3C0F2D}"/>
    <cellStyle name="Comma 970 3 3" xfId="13686" xr:uid="{0EB854AE-EA9F-45BA-B750-5E72E9A26D5A}"/>
    <cellStyle name="Comma 970 4" xfId="5402" xr:uid="{AC36B1BF-CBF9-4CEC-89B3-35565E61E254}"/>
    <cellStyle name="Comma 970 4 2" xfId="10578" xr:uid="{50502266-784C-47E1-B6C9-D82B9270A308}"/>
    <cellStyle name="Comma 970 4 2 2" xfId="20930" xr:uid="{90AC11F4-D87D-4A69-8AFE-DFC4628BDB1E}"/>
    <cellStyle name="Comma 970 4 3" xfId="15754" xr:uid="{B0C160B8-1E0B-4C35-9611-CA3F05A5D5BB}"/>
    <cellStyle name="Comma 970 5" xfId="6450" xr:uid="{F37AD687-4D8C-4556-BD00-76CB72D0BF25}"/>
    <cellStyle name="Comma 970 5 2" xfId="16802" xr:uid="{04F3C43E-4E29-476C-8054-FF0EC59C231B}"/>
    <cellStyle name="Comma 970 6" xfId="11628" xr:uid="{AD7FE1E7-2CAD-4D30-8A77-3CE09D2D139A}"/>
    <cellStyle name="Comma 971" xfId="1211" xr:uid="{8EAC1E80-F07B-44F3-BBB1-28FE1AF11489}"/>
    <cellStyle name="Comma 971 2" xfId="2249" xr:uid="{07F4DF0A-5FAF-4598-908F-56ADA56683B7}"/>
    <cellStyle name="Comma 971 2 2" xfId="4307" xr:uid="{153D27B1-E4DC-48C7-9FFA-F7AD773C075B}"/>
    <cellStyle name="Comma 971 2 2 2" xfId="9540" xr:uid="{BFF15D92-6526-443B-AB18-DC6A550FDF65}"/>
    <cellStyle name="Comma 971 2 2 2 2" xfId="19892" xr:uid="{3EE6BF7D-74A4-4069-8CE0-D3BC7445BC02}"/>
    <cellStyle name="Comma 971 2 2 3" xfId="14717" xr:uid="{770ACBEF-35B8-43D8-BD47-0548B472D928}"/>
    <cellStyle name="Comma 971 2 3" xfId="7482" xr:uid="{21B72826-D2C1-4489-9B42-F8F259665EB6}"/>
    <cellStyle name="Comma 971 2 3 2" xfId="17834" xr:uid="{291C197B-79FF-47D1-B16A-54D5B13E74BA}"/>
    <cellStyle name="Comma 971 2 4" xfId="12659" xr:uid="{12FBC9D8-DE79-480C-B8BD-9CEDAD265A13}"/>
    <cellStyle name="Comma 971 3" xfId="3277" xr:uid="{F3C31A4D-5A92-41CA-AB1B-A723A4133156}"/>
    <cellStyle name="Comma 971 3 2" xfId="8510" xr:uid="{07D93296-DA1A-43DB-AA91-0281D59327A6}"/>
    <cellStyle name="Comma 971 3 2 2" xfId="18862" xr:uid="{B0404B38-4383-4FBE-844F-2CBFF3A3EEA6}"/>
    <cellStyle name="Comma 971 3 3" xfId="13687" xr:uid="{A121AD72-7779-4306-B547-88916F3B153C}"/>
    <cellStyle name="Comma 971 4" xfId="5403" xr:uid="{46D0A58C-204A-4316-A2D7-19988473F9CA}"/>
    <cellStyle name="Comma 971 4 2" xfId="10579" xr:uid="{BABD1695-02E8-4259-B1AB-368D40AE42C3}"/>
    <cellStyle name="Comma 971 4 2 2" xfId="20931" xr:uid="{25256E36-E0F0-4945-84A0-B3DDBF21560F}"/>
    <cellStyle name="Comma 971 4 3" xfId="15755" xr:uid="{EA5355DD-3806-4E93-BDE6-5F14EF42FDF0}"/>
    <cellStyle name="Comma 971 5" xfId="6451" xr:uid="{628912CC-4DC7-4713-9550-43A0A4C9DE21}"/>
    <cellStyle name="Comma 971 5 2" xfId="16803" xr:uid="{1A1B5A01-A42C-4CB6-930D-C247D4C73BF0}"/>
    <cellStyle name="Comma 971 6" xfId="11629" xr:uid="{5B804C25-1F4B-484C-BB05-00EB571AF2D8}"/>
    <cellStyle name="Comma 972" xfId="1212" xr:uid="{F2BD2263-E067-46BC-A597-9179F931C2FB}"/>
    <cellStyle name="Comma 972 2" xfId="2250" xr:uid="{1CBB578E-6A65-4AD1-A854-22B1DE379399}"/>
    <cellStyle name="Comma 972 2 2" xfId="4308" xr:uid="{E8055E10-5D32-4C13-AE21-75CA0131CCBB}"/>
    <cellStyle name="Comma 972 2 2 2" xfId="9541" xr:uid="{34DF4BA4-78CC-4B17-ACAC-244232E44C2D}"/>
    <cellStyle name="Comma 972 2 2 2 2" xfId="19893" xr:uid="{BB481897-7D24-4A47-AD98-4BC5A77EF49F}"/>
    <cellStyle name="Comma 972 2 2 3" xfId="14718" xr:uid="{97C51D81-DC3C-430E-B4A1-2A723CBEB992}"/>
    <cellStyle name="Comma 972 2 3" xfId="7483" xr:uid="{98489EE8-703D-449C-97C7-9A9135E5BD10}"/>
    <cellStyle name="Comma 972 2 3 2" xfId="17835" xr:uid="{0825EDDF-8C29-412B-8DB4-A6BFF6B6172A}"/>
    <cellStyle name="Comma 972 2 4" xfId="12660" xr:uid="{5B8DC089-55A1-417B-94A3-84BDA6C8CC4C}"/>
    <cellStyle name="Comma 972 3" xfId="3278" xr:uid="{35DB3E28-6DCC-46B9-A3C3-29665DF52F71}"/>
    <cellStyle name="Comma 972 3 2" xfId="8511" xr:uid="{1B0885A1-4B62-4BD7-9D2C-EF02B8A3C878}"/>
    <cellStyle name="Comma 972 3 2 2" xfId="18863" xr:uid="{65F0CFA5-10FD-41E9-920E-A8F13DD93EB6}"/>
    <cellStyle name="Comma 972 3 3" xfId="13688" xr:uid="{42E00BD2-0473-474A-9DAE-3B0C65F6CA56}"/>
    <cellStyle name="Comma 972 4" xfId="5404" xr:uid="{8F767A56-11B0-481F-9654-3A2A71CC63C4}"/>
    <cellStyle name="Comma 972 4 2" xfId="10580" xr:uid="{A3C82186-0D4D-49BD-B6B8-86DF65CAE327}"/>
    <cellStyle name="Comma 972 4 2 2" xfId="20932" xr:uid="{DB75F4C0-2760-47F8-BBEE-151D2FDB549F}"/>
    <cellStyle name="Comma 972 4 3" xfId="15756" xr:uid="{4A335D83-7222-4412-A48A-F4A3EC3277E0}"/>
    <cellStyle name="Comma 972 5" xfId="6452" xr:uid="{45062481-7621-4F22-ABCB-C8796FF0F221}"/>
    <cellStyle name="Comma 972 5 2" xfId="16804" xr:uid="{623E6B21-2267-4795-8A60-6C884811D0D7}"/>
    <cellStyle name="Comma 972 6" xfId="11630" xr:uid="{E7BE34B3-C201-490F-9AA1-5EA48890B781}"/>
    <cellStyle name="Comma 973" xfId="1213" xr:uid="{3CBBF81F-0E63-40F7-B004-C840B091C0F6}"/>
    <cellStyle name="Comma 973 2" xfId="2251" xr:uid="{297A001E-B047-49F6-AF4B-47CF92325218}"/>
    <cellStyle name="Comma 973 2 2" xfId="4309" xr:uid="{46BDC7D4-B0D4-4F59-B865-C0B9327F4AB5}"/>
    <cellStyle name="Comma 973 2 2 2" xfId="9542" xr:uid="{BE9BAEB7-08D8-476B-87C8-C9EE3CD3ABC8}"/>
    <cellStyle name="Comma 973 2 2 2 2" xfId="19894" xr:uid="{CC48A10D-CB66-4500-949C-5D260D81E443}"/>
    <cellStyle name="Comma 973 2 2 3" xfId="14719" xr:uid="{0B3BF674-58D8-45D1-B3AE-9E18CD8DB802}"/>
    <cellStyle name="Comma 973 2 3" xfId="7484" xr:uid="{D7BE024D-1BC9-428D-A0C7-4D833A8A208A}"/>
    <cellStyle name="Comma 973 2 3 2" xfId="17836" xr:uid="{702CE065-7656-4EBB-8E08-477631CD32BC}"/>
    <cellStyle name="Comma 973 2 4" xfId="12661" xr:uid="{732C0CBB-2E4E-4717-B47B-92A13171B6AD}"/>
    <cellStyle name="Comma 973 3" xfId="3279" xr:uid="{42C437F4-9D84-4415-A223-A237925ABF89}"/>
    <cellStyle name="Comma 973 3 2" xfId="8512" xr:uid="{B02F12E6-C42F-4638-9B39-605B19CE1B43}"/>
    <cellStyle name="Comma 973 3 2 2" xfId="18864" xr:uid="{A28AD3EF-768F-4E12-A9CF-EFCA796C85B6}"/>
    <cellStyle name="Comma 973 3 3" xfId="13689" xr:uid="{63185011-5300-4493-80C1-BF68F68595C7}"/>
    <cellStyle name="Comma 973 4" xfId="5405" xr:uid="{CB1AE7CF-9721-43F2-8B58-F00D7B1F5171}"/>
    <cellStyle name="Comma 973 4 2" xfId="10581" xr:uid="{B97D9BB2-A0B0-428A-AE9E-800EC0308D6D}"/>
    <cellStyle name="Comma 973 4 2 2" xfId="20933" xr:uid="{D55AF04D-FF77-4B2A-A39A-802D3C52C64D}"/>
    <cellStyle name="Comma 973 4 3" xfId="15757" xr:uid="{CBACB206-D574-4412-9462-8F85B61374C1}"/>
    <cellStyle name="Comma 973 5" xfId="6453" xr:uid="{B5B58B07-A13C-42EB-974E-F05A20D44D2A}"/>
    <cellStyle name="Comma 973 5 2" xfId="16805" xr:uid="{06E14A05-CCF9-40D4-9646-380B79F49602}"/>
    <cellStyle name="Comma 973 6" xfId="11631" xr:uid="{C56AC07D-639D-4338-B688-5A8F6986828F}"/>
    <cellStyle name="Comma 974" xfId="1214" xr:uid="{80B0A3A0-6C3A-4D0A-8AB8-8C06C5EDB78A}"/>
    <cellStyle name="Comma 974 2" xfId="2252" xr:uid="{B7600C6D-E021-4053-AF5F-BC83FE8B7D3E}"/>
    <cellStyle name="Comma 974 2 2" xfId="4310" xr:uid="{4A208CD5-FF6B-4C52-A7AA-BDF3995B0EA2}"/>
    <cellStyle name="Comma 974 2 2 2" xfId="9543" xr:uid="{5F74A213-BDA5-4BA4-8CCC-45F4122A721B}"/>
    <cellStyle name="Comma 974 2 2 2 2" xfId="19895" xr:uid="{38D3A08F-F247-4CC0-AF87-930918F691AE}"/>
    <cellStyle name="Comma 974 2 2 3" xfId="14720" xr:uid="{DE513E81-92FE-48A2-85C8-3C6DA143C97B}"/>
    <cellStyle name="Comma 974 2 3" xfId="7485" xr:uid="{6F5152C7-EED4-498E-B738-A96C4DB475F1}"/>
    <cellStyle name="Comma 974 2 3 2" xfId="17837" xr:uid="{785D1F34-8831-4523-9C72-70AFB274D316}"/>
    <cellStyle name="Comma 974 2 4" xfId="12662" xr:uid="{C1258E7C-56AD-440B-89BA-A316BCBD718D}"/>
    <cellStyle name="Comma 974 3" xfId="3280" xr:uid="{0ACFC9C6-C122-4B77-9F96-CDB32641E2B3}"/>
    <cellStyle name="Comma 974 3 2" xfId="8513" xr:uid="{C06FB463-7E38-4BBE-9087-437490BA79E5}"/>
    <cellStyle name="Comma 974 3 2 2" xfId="18865" xr:uid="{46554319-46A3-475C-964A-BB5DA457F3E7}"/>
    <cellStyle name="Comma 974 3 3" xfId="13690" xr:uid="{66D100EB-4AA2-475E-898D-6515203FCF4E}"/>
    <cellStyle name="Comma 974 4" xfId="5406" xr:uid="{4D2E955C-10A2-4BB3-876F-6C1072995615}"/>
    <cellStyle name="Comma 974 4 2" xfId="10582" xr:uid="{296815F6-7475-4AAC-87E3-5F1924DE23FA}"/>
    <cellStyle name="Comma 974 4 2 2" xfId="20934" xr:uid="{010F83C6-36A3-478D-8723-1E87659BC92E}"/>
    <cellStyle name="Comma 974 4 3" xfId="15758" xr:uid="{55CA3BA2-1D7E-4453-97FD-1C963F20EC8C}"/>
    <cellStyle name="Comma 974 5" xfId="6454" xr:uid="{79C5E29E-4991-424C-8E8F-B24B6F64427C}"/>
    <cellStyle name="Comma 974 5 2" xfId="16806" xr:uid="{3A48D960-4FFA-4AB6-A71F-FC0ECCCEFF49}"/>
    <cellStyle name="Comma 974 6" xfId="11632" xr:uid="{E044762C-66CF-4C3E-B54E-C60014554B27}"/>
    <cellStyle name="Comma 975" xfId="1215" xr:uid="{09E2167B-0F53-496F-B83B-D14E9358E649}"/>
    <cellStyle name="Comma 975 2" xfId="2253" xr:uid="{5784BD7B-8297-46CB-B7FB-7DD8D2081536}"/>
    <cellStyle name="Comma 975 2 2" xfId="4311" xr:uid="{1424DA17-5001-4770-86FB-27236C63221D}"/>
    <cellStyle name="Comma 975 2 2 2" xfId="9544" xr:uid="{746195A5-811A-4B0A-89F9-7802DCBA88A1}"/>
    <cellStyle name="Comma 975 2 2 2 2" xfId="19896" xr:uid="{F34F8DF8-CADE-47D4-A2FF-E821534BE39F}"/>
    <cellStyle name="Comma 975 2 2 3" xfId="14721" xr:uid="{15B8F400-535F-4778-A845-102DB0E08C6E}"/>
    <cellStyle name="Comma 975 2 3" xfId="7486" xr:uid="{84EDD0A3-281E-4DE5-B608-0583A0A578A0}"/>
    <cellStyle name="Comma 975 2 3 2" xfId="17838" xr:uid="{76BC16D2-2E26-4AD9-BF5F-F64A6D12668E}"/>
    <cellStyle name="Comma 975 2 4" xfId="12663" xr:uid="{9779728B-8CE9-4D06-A6FA-58421E9C18CD}"/>
    <cellStyle name="Comma 975 3" xfId="3281" xr:uid="{D6E7429E-74BA-4167-B3E8-C73B1AF42718}"/>
    <cellStyle name="Comma 975 3 2" xfId="8514" xr:uid="{32DC0146-494E-4188-BA95-393E26CBC939}"/>
    <cellStyle name="Comma 975 3 2 2" xfId="18866" xr:uid="{FE92B47F-4B59-497E-B495-5E50CF54F54B}"/>
    <cellStyle name="Comma 975 3 3" xfId="13691" xr:uid="{E6B2739D-8734-4BEE-B99E-97C240CEE129}"/>
    <cellStyle name="Comma 975 4" xfId="5407" xr:uid="{A9B67A8E-EC1E-43B4-BD27-1B630C940B44}"/>
    <cellStyle name="Comma 975 4 2" xfId="10583" xr:uid="{EF4D8E96-BCB0-4167-99A7-59E93E0266F3}"/>
    <cellStyle name="Comma 975 4 2 2" xfId="20935" xr:uid="{1808A535-1A8B-4B05-923F-BFA1ADF0BC09}"/>
    <cellStyle name="Comma 975 4 3" xfId="15759" xr:uid="{A49AE23B-6B44-4357-87E4-E592CF37759A}"/>
    <cellStyle name="Comma 975 5" xfId="6455" xr:uid="{429A4838-DDF6-4E98-BDAE-D4333AAB7A64}"/>
    <cellStyle name="Comma 975 5 2" xfId="16807" xr:uid="{C5206EFE-9097-4CA9-B73D-E0E3851B773A}"/>
    <cellStyle name="Comma 975 6" xfId="11633" xr:uid="{38978B4A-1990-41B9-A7CB-B87891C4048F}"/>
    <cellStyle name="Comma 976" xfId="1216" xr:uid="{04305622-AD15-48F5-8461-0502F1C0E38D}"/>
    <cellStyle name="Comma 976 2" xfId="2254" xr:uid="{09F72BDB-A4AE-412E-AA41-5E91BF02E413}"/>
    <cellStyle name="Comma 976 2 2" xfId="4312" xr:uid="{7C3B9926-B424-4DE9-995E-C9FF064E4F36}"/>
    <cellStyle name="Comma 976 2 2 2" xfId="9545" xr:uid="{DDEBB628-E3DF-451B-A427-C4EB47AE8BB7}"/>
    <cellStyle name="Comma 976 2 2 2 2" xfId="19897" xr:uid="{F6BCEB12-4085-4E04-8809-ECA680EC9DAC}"/>
    <cellStyle name="Comma 976 2 2 3" xfId="14722" xr:uid="{AD2EB333-1BCC-4423-AD5C-C05FAFE7B87B}"/>
    <cellStyle name="Comma 976 2 3" xfId="7487" xr:uid="{075B2887-BBF3-4065-A465-17D6275DF53B}"/>
    <cellStyle name="Comma 976 2 3 2" xfId="17839" xr:uid="{024CE918-4F6B-4846-8DB9-439883885463}"/>
    <cellStyle name="Comma 976 2 4" xfId="12664" xr:uid="{546BC8FE-46F1-4746-B60A-7571E2274B8A}"/>
    <cellStyle name="Comma 976 3" xfId="3282" xr:uid="{20CC8A91-9BD8-403D-88EC-7DBFB1B7F001}"/>
    <cellStyle name="Comma 976 3 2" xfId="8515" xr:uid="{5B646A89-C4C3-418B-BE79-B56AA82088FF}"/>
    <cellStyle name="Comma 976 3 2 2" xfId="18867" xr:uid="{D372EC04-3CEC-4172-99EA-605D5724D99F}"/>
    <cellStyle name="Comma 976 3 3" xfId="13692" xr:uid="{D0028112-EE10-4133-9863-AE98E2A04FBC}"/>
    <cellStyle name="Comma 976 4" xfId="5408" xr:uid="{647D964B-A8D8-42EF-BFBB-1052DEABB499}"/>
    <cellStyle name="Comma 976 4 2" xfId="10584" xr:uid="{CDA922EE-8056-48E6-B9B1-0E2BE546A8C6}"/>
    <cellStyle name="Comma 976 4 2 2" xfId="20936" xr:uid="{A3C7CFE2-23F2-4DBE-8ADE-65533445942D}"/>
    <cellStyle name="Comma 976 4 3" xfId="15760" xr:uid="{70969CF9-2F8C-4738-A53F-7C572A041C0B}"/>
    <cellStyle name="Comma 976 5" xfId="6456" xr:uid="{C8D36BB1-D0B8-4709-A60E-B10883F12978}"/>
    <cellStyle name="Comma 976 5 2" xfId="16808" xr:uid="{BBE90D49-9227-49CF-B02C-81640CD1B8A3}"/>
    <cellStyle name="Comma 976 6" xfId="11634" xr:uid="{35B773C0-3598-4BFB-8A5A-63F91A9A09AE}"/>
    <cellStyle name="Comma 977" xfId="1217" xr:uid="{C4F943AE-2686-41FC-B662-1BBFCA56E22C}"/>
    <cellStyle name="Comma 977 2" xfId="2255" xr:uid="{82385BD3-68B8-4611-B106-3EA4AC21F02B}"/>
    <cellStyle name="Comma 977 2 2" xfId="4313" xr:uid="{161F4015-ED09-4302-915F-565D6CFDEB66}"/>
    <cellStyle name="Comma 977 2 2 2" xfId="9546" xr:uid="{CAA15EC1-D30E-4AD5-B02A-D473F87851B2}"/>
    <cellStyle name="Comma 977 2 2 2 2" xfId="19898" xr:uid="{FF20B1A9-EB54-4C41-A3B4-66E6B3FC9BEF}"/>
    <cellStyle name="Comma 977 2 2 3" xfId="14723" xr:uid="{40D267B6-195E-4F3E-984D-6793C113AD1E}"/>
    <cellStyle name="Comma 977 2 3" xfId="7488" xr:uid="{ACB4B085-8593-46D4-9DA4-FAAD3DB21E09}"/>
    <cellStyle name="Comma 977 2 3 2" xfId="17840" xr:uid="{47869923-EFAA-4FCB-A1FB-496C38032351}"/>
    <cellStyle name="Comma 977 2 4" xfId="12665" xr:uid="{46FEDF8B-610D-4BB9-8263-95A5037BBF38}"/>
    <cellStyle name="Comma 977 3" xfId="3283" xr:uid="{8C139476-B68D-4514-B09C-89A79A98B5FC}"/>
    <cellStyle name="Comma 977 3 2" xfId="8516" xr:uid="{39031B65-50F8-49DA-B41D-C3FCBFB50F1C}"/>
    <cellStyle name="Comma 977 3 2 2" xfId="18868" xr:uid="{355FFE27-D0BC-49A2-B951-606B62E0C211}"/>
    <cellStyle name="Comma 977 3 3" xfId="13693" xr:uid="{AAD777FF-206B-410A-8DAE-D6DA8E435296}"/>
    <cellStyle name="Comma 977 4" xfId="5409" xr:uid="{3871CD35-2B35-4F0E-982B-0E23BB4C5FF6}"/>
    <cellStyle name="Comma 977 4 2" xfId="10585" xr:uid="{87CA95DD-8E0D-45AC-9FBA-FF63DB147DE9}"/>
    <cellStyle name="Comma 977 4 2 2" xfId="20937" xr:uid="{E70C313E-35F0-4B04-8DFD-F7220FDBF559}"/>
    <cellStyle name="Comma 977 4 3" xfId="15761" xr:uid="{6B08A8B7-427F-427D-BB86-B32A5DA0E6A1}"/>
    <cellStyle name="Comma 977 5" xfId="6457" xr:uid="{AAB5C7A5-6C92-42A4-B6C5-0FE047505F2C}"/>
    <cellStyle name="Comma 977 5 2" xfId="16809" xr:uid="{7190FC2F-F307-43E0-975F-377D65B1237A}"/>
    <cellStyle name="Comma 977 6" xfId="11635" xr:uid="{CD8D5257-79D8-41C7-B117-DA5DD828DDC1}"/>
    <cellStyle name="Comma 978" xfId="1218" xr:uid="{66C62767-9605-4443-BCCB-F2804FB70EC3}"/>
    <cellStyle name="Comma 978 2" xfId="2256" xr:uid="{63C42075-BDE6-4993-B3A0-939171B73567}"/>
    <cellStyle name="Comma 978 2 2" xfId="4314" xr:uid="{0D792B02-E120-41AC-97A3-D23B99F02812}"/>
    <cellStyle name="Comma 978 2 2 2" xfId="9547" xr:uid="{B074EBE4-487E-4124-AF2D-9D8DB6BD5F49}"/>
    <cellStyle name="Comma 978 2 2 2 2" xfId="19899" xr:uid="{704AAE7C-935B-4E1A-81AC-1B9A32D36F57}"/>
    <cellStyle name="Comma 978 2 2 3" xfId="14724" xr:uid="{F48C30D4-CE84-4F6A-803C-AF3B5CEC47E9}"/>
    <cellStyle name="Comma 978 2 3" xfId="7489" xr:uid="{C9F2929E-E42A-4088-BA55-E99289275ADE}"/>
    <cellStyle name="Comma 978 2 3 2" xfId="17841" xr:uid="{4A9BB199-772A-42F7-9A10-77ADF9B911B0}"/>
    <cellStyle name="Comma 978 2 4" xfId="12666" xr:uid="{5DD5291D-8356-48AE-B601-614E397C18FE}"/>
    <cellStyle name="Comma 978 3" xfId="3284" xr:uid="{652770DC-ACBB-4613-8B66-1E35EEB15380}"/>
    <cellStyle name="Comma 978 3 2" xfId="8517" xr:uid="{C2AEAFCF-168E-4B4E-A4AA-756952DB2DD1}"/>
    <cellStyle name="Comma 978 3 2 2" xfId="18869" xr:uid="{F008CAC1-F0C9-4BC8-B27D-7DFA94B4403A}"/>
    <cellStyle name="Comma 978 3 3" xfId="13694" xr:uid="{1135706C-F13C-40A2-9BED-424220E9FA3F}"/>
    <cellStyle name="Comma 978 4" xfId="5410" xr:uid="{7806DD31-8964-414D-9F9B-28591F12877E}"/>
    <cellStyle name="Comma 978 4 2" xfId="10586" xr:uid="{6E140820-2105-40A8-854C-BF661BDE4421}"/>
    <cellStyle name="Comma 978 4 2 2" xfId="20938" xr:uid="{A225C7B5-B376-4B69-A1AF-B8E5A0D3304C}"/>
    <cellStyle name="Comma 978 4 3" xfId="15762" xr:uid="{94C912D6-1BB1-43BD-86B9-F8D75C7C7A76}"/>
    <cellStyle name="Comma 978 5" xfId="6458" xr:uid="{F3CFCD52-AA53-40A1-A62A-C0B626F7BC33}"/>
    <cellStyle name="Comma 978 5 2" xfId="16810" xr:uid="{42A2FC0A-8657-41BC-BC18-A9498683E479}"/>
    <cellStyle name="Comma 978 6" xfId="11636" xr:uid="{8D456DC7-3CB9-4A40-AC60-5316894963D0}"/>
    <cellStyle name="Comma 979" xfId="1219" xr:uid="{B9B87945-91C3-4603-BF9B-4523B5F631C9}"/>
    <cellStyle name="Comma 979 2" xfId="2257" xr:uid="{66EE89C8-BCF3-429F-9E5D-71A47C105B58}"/>
    <cellStyle name="Comma 979 2 2" xfId="4315" xr:uid="{02EF9221-A943-416D-B362-3A9177BFDAC3}"/>
    <cellStyle name="Comma 979 2 2 2" xfId="9548" xr:uid="{B397B377-87E3-4BE5-BF6D-B9A851886C66}"/>
    <cellStyle name="Comma 979 2 2 2 2" xfId="19900" xr:uid="{71AF9EBB-308E-46A9-8D2D-4E31EE3E55ED}"/>
    <cellStyle name="Comma 979 2 2 3" xfId="14725" xr:uid="{F88C755D-BFC8-485F-930A-271D195DED41}"/>
    <cellStyle name="Comma 979 2 3" xfId="7490" xr:uid="{2CCBCCF5-2BB3-49F6-A33D-0B5C50DC9BDE}"/>
    <cellStyle name="Comma 979 2 3 2" xfId="17842" xr:uid="{76B6ACD0-4123-4FB7-A392-87AED0EC4E91}"/>
    <cellStyle name="Comma 979 2 4" xfId="12667" xr:uid="{01055B38-E9DC-419A-B341-76AD2EBDDFA9}"/>
    <cellStyle name="Comma 979 3" xfId="3285" xr:uid="{672687EF-6CDC-45A7-ACF2-6730CDF35CEC}"/>
    <cellStyle name="Comma 979 3 2" xfId="8518" xr:uid="{B2C1EA42-91C2-4D0E-8B95-6ECC33ABA577}"/>
    <cellStyle name="Comma 979 3 2 2" xfId="18870" xr:uid="{91ED7DA5-33B3-4CB9-B26E-70C8F5447FFA}"/>
    <cellStyle name="Comma 979 3 3" xfId="13695" xr:uid="{DAC7EBBE-B418-49A4-B759-13D74C4616FF}"/>
    <cellStyle name="Comma 979 4" xfId="5411" xr:uid="{2865038F-F893-4248-9C71-BAC5E9964009}"/>
    <cellStyle name="Comma 979 4 2" xfId="10587" xr:uid="{F7FF3B33-98C5-4EF8-A649-BBFC7B18EC7D}"/>
    <cellStyle name="Comma 979 4 2 2" xfId="20939" xr:uid="{EFC7F0EF-44FF-41B2-9E91-688B9367E2AA}"/>
    <cellStyle name="Comma 979 4 3" xfId="15763" xr:uid="{165435C0-97D2-4A20-A6D9-8C4C021E9AAB}"/>
    <cellStyle name="Comma 979 5" xfId="6459" xr:uid="{4B114E68-A5BB-4BE7-80E6-63111077D398}"/>
    <cellStyle name="Comma 979 5 2" xfId="16811" xr:uid="{0DFB55A1-C0E7-4FCD-8AD2-3DF6F63A3DBB}"/>
    <cellStyle name="Comma 979 6" xfId="11637" xr:uid="{B4F3BDA6-1888-435C-A213-90CD096F8B08}"/>
    <cellStyle name="Comma 98" xfId="312" xr:uid="{43ED0963-DE8B-4B32-BF0E-E9BA9488A156}"/>
    <cellStyle name="Comma 98 2" xfId="1376" xr:uid="{E9D414BF-7BE7-4D43-9FBE-BEB706A91EC6}"/>
    <cellStyle name="Comma 98 2 2" xfId="3434" xr:uid="{59A5CFF9-E493-431D-8772-E93C16304094}"/>
    <cellStyle name="Comma 98 2 2 2" xfId="8667" xr:uid="{05966CF6-1493-4195-805E-E6202A87A156}"/>
    <cellStyle name="Comma 98 2 2 2 2" xfId="19019" xr:uid="{190DB37B-5226-4CB4-91B9-683A3F22D6FB}"/>
    <cellStyle name="Comma 98 2 2 3" xfId="13844" xr:uid="{8440F93E-DB0B-4D1F-9E1E-55DBA58A526B}"/>
    <cellStyle name="Comma 98 2 3" xfId="6609" xr:uid="{F91FE721-FEEF-4E88-929E-E9AE9D4145FD}"/>
    <cellStyle name="Comma 98 2 3 2" xfId="16961" xr:uid="{F6A3A082-AFF2-4FC8-A0A2-8AE3618BD5DB}"/>
    <cellStyle name="Comma 98 2 4" xfId="11786" xr:uid="{51904ECE-9B37-4078-A6A0-2C492BDDFC0C}"/>
    <cellStyle name="Comma 98 3" xfId="2404" xr:uid="{CCB4D262-D2E6-446E-8B9F-B4C07B916554}"/>
    <cellStyle name="Comma 98 3 2" xfId="7637" xr:uid="{D05BD8B4-E9FB-4D1D-8440-4A83E16823F3}"/>
    <cellStyle name="Comma 98 3 2 2" xfId="17989" xr:uid="{C3D8C119-6458-4B50-B3ED-42E1A2AA43B4}"/>
    <cellStyle name="Comma 98 3 3" xfId="12814" xr:uid="{3AE39B0E-CE89-4D17-97DF-28CF49F1113B}"/>
    <cellStyle name="Comma 98 4" xfId="4530" xr:uid="{7F983B73-D9A0-4E6A-9835-11216F9DCBB9}"/>
    <cellStyle name="Comma 98 4 2" xfId="9706" xr:uid="{370F6A87-A79B-4364-99EA-F54B11A33EB2}"/>
    <cellStyle name="Comma 98 4 2 2" xfId="20058" xr:uid="{A55F2CF7-C110-48C4-B739-29BECCAEC7B3}"/>
    <cellStyle name="Comma 98 4 3" xfId="14882" xr:uid="{F113B764-0716-40A7-BF85-08FE133E9280}"/>
    <cellStyle name="Comma 98 5" xfId="5578" xr:uid="{54A7740B-5E40-4C34-8757-FCD2DF268C36}"/>
    <cellStyle name="Comma 98 5 2" xfId="15930" xr:uid="{7A71856D-B930-496C-B353-FF786D6CC754}"/>
    <cellStyle name="Comma 98 6" xfId="10756" xr:uid="{CEF60628-B93D-42E5-AD63-18904E404798}"/>
    <cellStyle name="Comma 980" xfId="1220" xr:uid="{9DF6E451-2101-4875-928B-6B4D9D3B43DB}"/>
    <cellStyle name="Comma 980 2" xfId="2258" xr:uid="{0EB82DD1-034F-4C6F-9644-6472E93D0F98}"/>
    <cellStyle name="Comma 980 2 2" xfId="4316" xr:uid="{4B4CB4EA-2B1F-4290-822F-A4E865DFB291}"/>
    <cellStyle name="Comma 980 2 2 2" xfId="9549" xr:uid="{D18BCF99-C609-44CB-BD2B-748F19F0E639}"/>
    <cellStyle name="Comma 980 2 2 2 2" xfId="19901" xr:uid="{E9F7DE20-570A-4916-A491-4CC3858E07F9}"/>
    <cellStyle name="Comma 980 2 2 3" xfId="14726" xr:uid="{EC07C97E-9ADD-4971-9467-E5EFFAA23C8A}"/>
    <cellStyle name="Comma 980 2 3" xfId="7491" xr:uid="{D205FA16-B266-4AC0-B0FA-DB4ABFB8FE54}"/>
    <cellStyle name="Comma 980 2 3 2" xfId="17843" xr:uid="{654FED12-E017-4302-9B60-31360E288937}"/>
    <cellStyle name="Comma 980 2 4" xfId="12668" xr:uid="{B2D52DC5-4E2E-4F12-B22A-E147EA06A442}"/>
    <cellStyle name="Comma 980 3" xfId="3286" xr:uid="{CFBDE56B-53F6-407A-B3D7-1FB93B10C22A}"/>
    <cellStyle name="Comma 980 3 2" xfId="8519" xr:uid="{60A7C0FE-001A-4B79-B24A-B1B24282C261}"/>
    <cellStyle name="Comma 980 3 2 2" xfId="18871" xr:uid="{5C5EDA92-A840-4BA8-9388-E89E24EF74B7}"/>
    <cellStyle name="Comma 980 3 3" xfId="13696" xr:uid="{ABC4604B-186B-4FFE-AFC7-E6257B1E0532}"/>
    <cellStyle name="Comma 980 4" xfId="5412" xr:uid="{776BECF6-2864-4131-A4B0-E55222684644}"/>
    <cellStyle name="Comma 980 4 2" xfId="10588" xr:uid="{5D116299-C843-49DE-968B-F4BA97F7BC72}"/>
    <cellStyle name="Comma 980 4 2 2" xfId="20940" xr:uid="{F1E9BDB8-01E9-4B7F-BCE7-021F0AFB6973}"/>
    <cellStyle name="Comma 980 4 3" xfId="15764" xr:uid="{830479A3-E973-4666-BE91-400C431108ED}"/>
    <cellStyle name="Comma 980 5" xfId="6460" xr:uid="{22919E8D-2985-4738-A10D-38E07AF1A1D6}"/>
    <cellStyle name="Comma 980 5 2" xfId="16812" xr:uid="{8FFD5602-D175-4D27-83F8-9617622C10B9}"/>
    <cellStyle name="Comma 980 6" xfId="11638" xr:uid="{87BEC18B-547D-4BAD-A3DA-B5F8010C0B51}"/>
    <cellStyle name="Comma 981" xfId="1221" xr:uid="{D4D5991E-A6EE-4C4E-80CC-53036801F7CD}"/>
    <cellStyle name="Comma 981 2" xfId="2259" xr:uid="{AA219770-5C8E-4DDE-A4F0-E59A709A3315}"/>
    <cellStyle name="Comma 981 2 2" xfId="4317" xr:uid="{75049718-419A-47BD-BBDA-EF9C26B424CC}"/>
    <cellStyle name="Comma 981 2 2 2" xfId="9550" xr:uid="{1B24F5FE-77F7-46EE-88C6-CFDC3D11EADC}"/>
    <cellStyle name="Comma 981 2 2 2 2" xfId="19902" xr:uid="{12ADE985-CDD6-42B0-83D4-696E6B13EE46}"/>
    <cellStyle name="Comma 981 2 2 3" xfId="14727" xr:uid="{BB593504-D08B-4F72-81CB-44A22A70E557}"/>
    <cellStyle name="Comma 981 2 3" xfId="7492" xr:uid="{00C59089-4E9F-4366-AA58-F7C395E1BC26}"/>
    <cellStyle name="Comma 981 2 3 2" xfId="17844" xr:uid="{D5C801DE-D299-48D0-B086-97CAA76F1FF9}"/>
    <cellStyle name="Comma 981 2 4" xfId="12669" xr:uid="{13F6FC03-82C5-4DEB-914D-E77CEB603B47}"/>
    <cellStyle name="Comma 981 3" xfId="3287" xr:uid="{047A0674-7286-4907-A693-6893BAFE5495}"/>
    <cellStyle name="Comma 981 3 2" xfId="8520" xr:uid="{46F689DE-74B8-4310-86E7-15C2625E87CC}"/>
    <cellStyle name="Comma 981 3 2 2" xfId="18872" xr:uid="{63B2BE15-BCBE-4505-A3D1-9AA242A1E0F7}"/>
    <cellStyle name="Comma 981 3 3" xfId="13697" xr:uid="{C89F3D6B-0A85-4793-A82E-BEB85BDB1AE5}"/>
    <cellStyle name="Comma 981 4" xfId="5413" xr:uid="{43CA5944-2139-491A-92F8-5A5CD7A18ABF}"/>
    <cellStyle name="Comma 981 4 2" xfId="10589" xr:uid="{C8FF0414-85FE-42F5-9301-93986B29EABC}"/>
    <cellStyle name="Comma 981 4 2 2" xfId="20941" xr:uid="{6C1F44BA-390B-473D-AE17-5844FF3AC975}"/>
    <cellStyle name="Comma 981 4 3" xfId="15765" xr:uid="{5F09CADA-78A5-4D71-82B5-25B230B168E4}"/>
    <cellStyle name="Comma 981 5" xfId="6461" xr:uid="{3A3FEB57-50F6-4456-8D3D-15D192072BB0}"/>
    <cellStyle name="Comma 981 5 2" xfId="16813" xr:uid="{0A313E8A-5CD6-4EC8-B352-12CD56341DB9}"/>
    <cellStyle name="Comma 981 6" xfId="11639" xr:uid="{A23DC735-CDB7-4D09-8B27-205C415C8D69}"/>
    <cellStyle name="Comma 982" xfId="1222" xr:uid="{F8DDC142-12F4-40B9-A1CA-22C2CB8ACBF2}"/>
    <cellStyle name="Comma 982 2" xfId="2260" xr:uid="{51421E3B-93BE-4740-A7AF-D9F7DC7FAA7E}"/>
    <cellStyle name="Comma 982 2 2" xfId="4318" xr:uid="{5F83FF4E-2535-4972-8F87-60043E689589}"/>
    <cellStyle name="Comma 982 2 2 2" xfId="9551" xr:uid="{C9F52986-6E6C-4504-BBF7-99FE60A5E605}"/>
    <cellStyle name="Comma 982 2 2 2 2" xfId="19903" xr:uid="{8C661F20-F6CB-4205-AE40-7A60138BF5E2}"/>
    <cellStyle name="Comma 982 2 2 3" xfId="14728" xr:uid="{C2D47244-AE03-4B7B-9EA2-E43E23198280}"/>
    <cellStyle name="Comma 982 2 3" xfId="7493" xr:uid="{E66F0045-FF9F-4BEA-912E-E07C0653C5B8}"/>
    <cellStyle name="Comma 982 2 3 2" xfId="17845" xr:uid="{2F7DF753-32CC-4E7B-A593-09106BD45786}"/>
    <cellStyle name="Comma 982 2 4" xfId="12670" xr:uid="{57BFD0FB-D3D2-4885-9701-250DFC852344}"/>
    <cellStyle name="Comma 982 3" xfId="3288" xr:uid="{F957D613-7746-4431-93C1-7EE66A1AE36C}"/>
    <cellStyle name="Comma 982 3 2" xfId="8521" xr:uid="{76B4B25E-B85C-4FE9-B5A2-80DB5C4B518C}"/>
    <cellStyle name="Comma 982 3 2 2" xfId="18873" xr:uid="{BA2CD42E-DE3A-4544-8C95-E97AA50728C1}"/>
    <cellStyle name="Comma 982 3 3" xfId="13698" xr:uid="{08EA010B-A87A-49C1-B337-16CBB40D2867}"/>
    <cellStyle name="Comma 982 4" xfId="5414" xr:uid="{9F981549-0D9C-4EB6-A6B6-A59D1825EB02}"/>
    <cellStyle name="Comma 982 4 2" xfId="10590" xr:uid="{01F3A7C6-517F-4DFA-BB02-B49464BBFDA5}"/>
    <cellStyle name="Comma 982 4 2 2" xfId="20942" xr:uid="{C263ACA6-AFC1-4DE5-91AD-0EA6218EAE24}"/>
    <cellStyle name="Comma 982 4 3" xfId="15766" xr:uid="{6E465B7A-AA28-43FC-9F60-8C6C873F36F4}"/>
    <cellStyle name="Comma 982 5" xfId="6462" xr:uid="{D643CD28-004F-4AEA-B08B-C8F7488C63D2}"/>
    <cellStyle name="Comma 982 5 2" xfId="16814" xr:uid="{29785CAA-EEB5-4674-934F-BC9DB97A712E}"/>
    <cellStyle name="Comma 982 6" xfId="11640" xr:uid="{85B3EC68-87C3-4813-8714-1397133EB6E6}"/>
    <cellStyle name="Comma 983" xfId="1223" xr:uid="{BF82384E-885E-4B82-87A9-81AEC6F32B24}"/>
    <cellStyle name="Comma 983 2" xfId="2261" xr:uid="{2C14A2F6-69BA-44EB-AD1E-CD6844508074}"/>
    <cellStyle name="Comma 983 2 2" xfId="4319" xr:uid="{41B7AE62-3628-49E7-A283-9FCB7DD27E1D}"/>
    <cellStyle name="Comma 983 2 2 2" xfId="9552" xr:uid="{7A315048-380A-497F-9AC1-23E1BF864115}"/>
    <cellStyle name="Comma 983 2 2 2 2" xfId="19904" xr:uid="{AA9D6635-5A6D-43D5-B3F1-9FD4D5B1B25F}"/>
    <cellStyle name="Comma 983 2 2 3" xfId="14729" xr:uid="{A0503357-18B5-4CCA-B5B0-DBCB943A903A}"/>
    <cellStyle name="Comma 983 2 3" xfId="7494" xr:uid="{FD9785A7-1708-4B7D-A4AF-BE9F4EFF34FA}"/>
    <cellStyle name="Comma 983 2 3 2" xfId="17846" xr:uid="{1F839B51-7B06-4297-8462-688E09145A1B}"/>
    <cellStyle name="Comma 983 2 4" xfId="12671" xr:uid="{5EC014F7-31FD-4E4E-B26E-FE980DC190E9}"/>
    <cellStyle name="Comma 983 3" xfId="3289" xr:uid="{9CB9BA4C-A00F-4180-8B81-FA3B8E26A857}"/>
    <cellStyle name="Comma 983 3 2" xfId="8522" xr:uid="{0C77E402-D7EB-4620-B5AF-C0E740C602E8}"/>
    <cellStyle name="Comma 983 3 2 2" xfId="18874" xr:uid="{063FE441-B7B0-4FF7-A1FA-C18D10489AC7}"/>
    <cellStyle name="Comma 983 3 3" xfId="13699" xr:uid="{5BE6B14E-D5FC-4A02-A4E0-58FEB11FD42E}"/>
    <cellStyle name="Comma 983 4" xfId="5415" xr:uid="{8DF99A7A-0619-440F-B903-790739CF039A}"/>
    <cellStyle name="Comma 983 4 2" xfId="10591" xr:uid="{B45EED27-1928-4500-BF6E-2AC6D97D39A5}"/>
    <cellStyle name="Comma 983 4 2 2" xfId="20943" xr:uid="{4A7899F2-52E8-414B-A2B4-39DB12D6F821}"/>
    <cellStyle name="Comma 983 4 3" xfId="15767" xr:uid="{7D1924A5-4484-4F21-A341-57510E880651}"/>
    <cellStyle name="Comma 983 5" xfId="6463" xr:uid="{340732B5-7ED9-4956-AE6F-5D65BE8F5701}"/>
    <cellStyle name="Comma 983 5 2" xfId="16815" xr:uid="{F9CF3B46-03F6-4917-88BF-C4E0F3D8D449}"/>
    <cellStyle name="Comma 983 6" xfId="11641" xr:uid="{FAE0042B-5DFE-4E8D-BFCC-914ADB7A5ED8}"/>
    <cellStyle name="Comma 984" xfId="1224" xr:uid="{87B7611C-15BE-4CB4-81F9-E5F615BE25EB}"/>
    <cellStyle name="Comma 984 2" xfId="2262" xr:uid="{37752F03-554D-4420-94E6-70415E015296}"/>
    <cellStyle name="Comma 984 2 2" xfId="4320" xr:uid="{E1CFACDD-79BC-466C-8A95-7C79BC56109D}"/>
    <cellStyle name="Comma 984 2 2 2" xfId="9553" xr:uid="{E323695C-F274-4058-918E-54FD8AC4125D}"/>
    <cellStyle name="Comma 984 2 2 2 2" xfId="19905" xr:uid="{BB2164CF-2563-455F-A70B-173D7C3D1D74}"/>
    <cellStyle name="Comma 984 2 2 3" xfId="14730" xr:uid="{5900F1DE-179A-4B5D-B79F-575A22E19E02}"/>
    <cellStyle name="Comma 984 2 3" xfId="7495" xr:uid="{D803BD07-2C90-48DA-AFE2-41951554736C}"/>
    <cellStyle name="Comma 984 2 3 2" xfId="17847" xr:uid="{DFEEA2A9-713E-4ACB-A07D-AEB63AD07E4B}"/>
    <cellStyle name="Comma 984 2 4" xfId="12672" xr:uid="{4530945C-ED4C-4E95-916B-DC2F68ABEF85}"/>
    <cellStyle name="Comma 984 3" xfId="3290" xr:uid="{4648B2D1-904E-4FD1-A5F2-C4A9D58C42FF}"/>
    <cellStyle name="Comma 984 3 2" xfId="8523" xr:uid="{BD6A971E-0C64-4BF9-AA58-CDB591C69AB5}"/>
    <cellStyle name="Comma 984 3 2 2" xfId="18875" xr:uid="{53286D5B-6B4E-403A-B221-5D1ABF540BD6}"/>
    <cellStyle name="Comma 984 3 3" xfId="13700" xr:uid="{55790A78-4DF1-4BE5-90EA-69BD0F301037}"/>
    <cellStyle name="Comma 984 4" xfId="5416" xr:uid="{B0FADA91-F1B6-494B-ACF0-798646635AE4}"/>
    <cellStyle name="Comma 984 4 2" xfId="10592" xr:uid="{1209C93D-24D0-4E02-B221-71BCBF37392A}"/>
    <cellStyle name="Comma 984 4 2 2" xfId="20944" xr:uid="{29AA6FF8-1DC2-47F0-A8DD-DEC15CA62F5C}"/>
    <cellStyle name="Comma 984 4 3" xfId="15768" xr:uid="{9F965FA4-2CBB-4EC7-B7A2-7B225EC34E84}"/>
    <cellStyle name="Comma 984 5" xfId="6464" xr:uid="{0BDE64DC-854C-4AE7-B157-7A290D507103}"/>
    <cellStyle name="Comma 984 5 2" xfId="16816" xr:uid="{290A446E-982C-41EB-AB63-1FBC600A2C46}"/>
    <cellStyle name="Comma 984 6" xfId="11642" xr:uid="{B2F7783A-45E0-43FA-9FAA-013A6EB38345}"/>
    <cellStyle name="Comma 985" xfId="1225" xr:uid="{61ABBB55-F81C-46AF-86E6-ABD56070A81E}"/>
    <cellStyle name="Comma 985 2" xfId="2263" xr:uid="{F5AACA8F-9C5D-4AF7-A351-F12C43440045}"/>
    <cellStyle name="Comma 985 2 2" xfId="4321" xr:uid="{6BAB1F92-D779-4146-AFB6-C339A2983A8B}"/>
    <cellStyle name="Comma 985 2 2 2" xfId="9554" xr:uid="{6AB2C7D6-BEED-4B3E-ADBD-B22B0ED9964D}"/>
    <cellStyle name="Comma 985 2 2 2 2" xfId="19906" xr:uid="{131F0103-ABD9-4744-BB9C-A9F49C155F9C}"/>
    <cellStyle name="Comma 985 2 2 3" xfId="14731" xr:uid="{2D477926-50E8-47BA-8EDB-6FFFD3BDBE00}"/>
    <cellStyle name="Comma 985 2 3" xfId="7496" xr:uid="{4E095225-C3A0-4061-BEE9-442A41D3E5CC}"/>
    <cellStyle name="Comma 985 2 3 2" xfId="17848" xr:uid="{9E6D5DCA-9D10-406A-96C9-C25E1D9B7844}"/>
    <cellStyle name="Comma 985 2 4" xfId="12673" xr:uid="{8CA31567-7187-4345-B35F-600012DDB6A0}"/>
    <cellStyle name="Comma 985 3" xfId="3291" xr:uid="{5EF9F932-6B85-4516-88B1-9B1775ADBDA8}"/>
    <cellStyle name="Comma 985 3 2" xfId="8524" xr:uid="{EF262B41-AADC-48B5-9BDD-B9C3E9F6EFB6}"/>
    <cellStyle name="Comma 985 3 2 2" xfId="18876" xr:uid="{FE645614-9285-4F3B-96A7-7548CBDB925A}"/>
    <cellStyle name="Comma 985 3 3" xfId="13701" xr:uid="{E45543DB-8651-451A-9D45-51781D44A961}"/>
    <cellStyle name="Comma 985 4" xfId="5417" xr:uid="{F5B82ABE-4E83-4069-8DC2-E6CADBA07E17}"/>
    <cellStyle name="Comma 985 4 2" xfId="10593" xr:uid="{9937D5CD-1A9A-4388-BC7B-F873167E82CF}"/>
    <cellStyle name="Comma 985 4 2 2" xfId="20945" xr:uid="{BAEB78E9-FF21-4A89-94A1-EAB8A953FD71}"/>
    <cellStyle name="Comma 985 4 3" xfId="15769" xr:uid="{7DFE351E-E4C3-4F86-B1DD-4CBC46D16E82}"/>
    <cellStyle name="Comma 985 5" xfId="6465" xr:uid="{0D97D7A3-5FA4-4CDD-B90A-9CC0F3CFFD81}"/>
    <cellStyle name="Comma 985 5 2" xfId="16817" xr:uid="{37A10FD3-F295-4A6B-AE66-27B21BADFBA7}"/>
    <cellStyle name="Comma 985 6" xfId="11643" xr:uid="{6185DDEF-3058-4416-8559-477D2C50BE53}"/>
    <cellStyle name="Comma 986" xfId="1226" xr:uid="{F696B58F-99D8-4494-8BB4-DC9ED244D438}"/>
    <cellStyle name="Comma 986 2" xfId="2264" xr:uid="{13350CED-02DE-420B-AF3A-70CED7C6C5E4}"/>
    <cellStyle name="Comma 986 2 2" xfId="4322" xr:uid="{0131C7C6-E31B-4A87-9E79-6903F725B814}"/>
    <cellStyle name="Comma 986 2 2 2" xfId="9555" xr:uid="{E3A0D28E-1DE4-4B91-81EC-9770C52902EE}"/>
    <cellStyle name="Comma 986 2 2 2 2" xfId="19907" xr:uid="{62A5F3C1-7164-4F7C-97CA-56F85BDD138B}"/>
    <cellStyle name="Comma 986 2 2 3" xfId="14732" xr:uid="{279D62EE-80A1-4421-B5F4-4BA74252876A}"/>
    <cellStyle name="Comma 986 2 3" xfId="7497" xr:uid="{84C8CED6-D0EE-4555-8E63-FD54BD325F97}"/>
    <cellStyle name="Comma 986 2 3 2" xfId="17849" xr:uid="{FBAFFCFB-E363-4001-BF86-60F07CE8E5C0}"/>
    <cellStyle name="Comma 986 2 4" xfId="12674" xr:uid="{97D32834-48F7-4F61-BE7C-459B0426F63A}"/>
    <cellStyle name="Comma 986 3" xfId="3292" xr:uid="{A2C872CF-0D27-4FD9-B704-B09A7958C1D8}"/>
    <cellStyle name="Comma 986 3 2" xfId="8525" xr:uid="{9E295302-FA1D-4D25-BDEC-179AEBA8DE67}"/>
    <cellStyle name="Comma 986 3 2 2" xfId="18877" xr:uid="{AE6D08A9-5B7D-4E8A-B501-6A5655D6F9DD}"/>
    <cellStyle name="Comma 986 3 3" xfId="13702" xr:uid="{A0AFA127-D1D8-4C48-9E56-C0879249CD2B}"/>
    <cellStyle name="Comma 986 4" xfId="5418" xr:uid="{A46A9C3D-4897-42DA-99E6-391150227F79}"/>
    <cellStyle name="Comma 986 4 2" xfId="10594" xr:uid="{F0488B11-1F45-4908-885F-AF08C7DED5FB}"/>
    <cellStyle name="Comma 986 4 2 2" xfId="20946" xr:uid="{97D3C4E3-34E7-43CA-A61A-5275F027E71B}"/>
    <cellStyle name="Comma 986 4 3" xfId="15770" xr:uid="{B96C9ADC-C005-4084-821F-57DD5F33DAEE}"/>
    <cellStyle name="Comma 986 5" xfId="6466" xr:uid="{CF02F0D9-888F-4C8A-AF43-6EF8E3C464A8}"/>
    <cellStyle name="Comma 986 5 2" xfId="16818" xr:uid="{CD5A687D-25CE-4D92-9863-487A7F960507}"/>
    <cellStyle name="Comma 986 6" xfId="11644" xr:uid="{8F082F80-C130-4B28-89E7-8046880547FE}"/>
    <cellStyle name="Comma 987" xfId="1227" xr:uid="{16AB7FA5-BFD3-4842-A895-5B1476014E65}"/>
    <cellStyle name="Comma 987 2" xfId="2265" xr:uid="{2C598F26-B32B-4008-AD39-6C74C471F368}"/>
    <cellStyle name="Comma 987 2 2" xfId="4323" xr:uid="{3D3D1247-588B-4F64-B72D-684BF7241BC9}"/>
    <cellStyle name="Comma 987 2 2 2" xfId="9556" xr:uid="{6E9FD41F-B8D8-4774-8253-A4324594E563}"/>
    <cellStyle name="Comma 987 2 2 2 2" xfId="19908" xr:uid="{A345513D-392E-4B91-BE5B-71BFE8154B23}"/>
    <cellStyle name="Comma 987 2 2 3" xfId="14733" xr:uid="{A1A0EAE2-04DD-4754-AE70-129CC8A5C914}"/>
    <cellStyle name="Comma 987 2 3" xfId="7498" xr:uid="{2AA7D46E-FB89-400A-BC3F-CF993A9D2F76}"/>
    <cellStyle name="Comma 987 2 3 2" xfId="17850" xr:uid="{487CD522-5D78-47C1-9D52-EA040CB8CB83}"/>
    <cellStyle name="Comma 987 2 4" xfId="12675" xr:uid="{7DEC4803-3E0F-4618-87EF-B02C40E9E3D4}"/>
    <cellStyle name="Comma 987 3" xfId="3293" xr:uid="{804CB876-8DE8-4B57-8FCD-68A35CE29609}"/>
    <cellStyle name="Comma 987 3 2" xfId="8526" xr:uid="{8A1B6636-0866-4ACB-833A-B6899A12F0F1}"/>
    <cellStyle name="Comma 987 3 2 2" xfId="18878" xr:uid="{564461EF-D758-4AA7-A1C9-69B5301F21BD}"/>
    <cellStyle name="Comma 987 3 3" xfId="13703" xr:uid="{04ADB4F9-3272-4CA8-9A1F-54C52691950E}"/>
    <cellStyle name="Comma 987 4" xfId="5419" xr:uid="{4330B5B8-E133-4519-A3CA-8DDF636A1BD9}"/>
    <cellStyle name="Comma 987 4 2" xfId="10595" xr:uid="{16F4B0B5-EB3D-46E3-BC8D-928BD07C830B}"/>
    <cellStyle name="Comma 987 4 2 2" xfId="20947" xr:uid="{199062F6-669E-4964-B8EE-3F47C422BA84}"/>
    <cellStyle name="Comma 987 4 3" xfId="15771" xr:uid="{253B22DB-BB7B-4360-BA71-01BFD610426D}"/>
    <cellStyle name="Comma 987 5" xfId="6467" xr:uid="{19DDA292-F7DF-4A08-9DDE-A4829A07660F}"/>
    <cellStyle name="Comma 987 5 2" xfId="16819" xr:uid="{C1D04938-FD85-4B39-9420-C91EBBA71CB6}"/>
    <cellStyle name="Comma 987 6" xfId="11645" xr:uid="{66D29F7B-D6AB-4F4F-AA01-FEE299202E96}"/>
    <cellStyle name="Comma 988" xfId="1228" xr:uid="{841719F4-3FF4-4B75-8D66-5146202DB81E}"/>
    <cellStyle name="Comma 988 2" xfId="2266" xr:uid="{BE45898E-697F-464A-BD9D-52E6DB8B572B}"/>
    <cellStyle name="Comma 988 2 2" xfId="4324" xr:uid="{8F5045BC-E821-4303-BF09-6DB6C9653C8D}"/>
    <cellStyle name="Comma 988 2 2 2" xfId="9557" xr:uid="{DC1DA1C7-55C1-4135-8DA0-100429745197}"/>
    <cellStyle name="Comma 988 2 2 2 2" xfId="19909" xr:uid="{EC300E1E-337A-4E1F-A95D-1EA1C8AB32EC}"/>
    <cellStyle name="Comma 988 2 2 3" xfId="14734" xr:uid="{452AE993-44D1-4AA2-836B-0D5B0F21471C}"/>
    <cellStyle name="Comma 988 2 3" xfId="7499" xr:uid="{14A26034-889D-4E53-8EFE-4B3314C572AE}"/>
    <cellStyle name="Comma 988 2 3 2" xfId="17851" xr:uid="{E0A82F07-96D4-4330-87E2-EBFDE9992435}"/>
    <cellStyle name="Comma 988 2 4" xfId="12676" xr:uid="{761AB4C9-24B0-4EF6-BE64-6E602F43B6B0}"/>
    <cellStyle name="Comma 988 3" xfId="3294" xr:uid="{872C6370-560A-4638-80D8-0A2FBC99E071}"/>
    <cellStyle name="Comma 988 3 2" xfId="8527" xr:uid="{65F8C42C-F925-4127-ABAA-95E0E5CE1705}"/>
    <cellStyle name="Comma 988 3 2 2" xfId="18879" xr:uid="{321B3DBB-072A-43B4-83DE-6B168FFB4772}"/>
    <cellStyle name="Comma 988 3 3" xfId="13704" xr:uid="{ED0F4EF1-4E65-443C-BCF9-D6100E3DD27A}"/>
    <cellStyle name="Comma 988 4" xfId="5420" xr:uid="{9FFB9993-D1EE-4DAA-A3C0-64E2FAAE1DED}"/>
    <cellStyle name="Comma 988 4 2" xfId="10596" xr:uid="{3811F71D-169D-49A5-B9A2-D3D4804471CC}"/>
    <cellStyle name="Comma 988 4 2 2" xfId="20948" xr:uid="{E630B242-7345-4589-BADC-A7E9BA02C56A}"/>
    <cellStyle name="Comma 988 4 3" xfId="15772" xr:uid="{544C92C6-1F94-49FB-93AE-409E5DDF882B}"/>
    <cellStyle name="Comma 988 5" xfId="6468" xr:uid="{9CD50D88-26A5-43C5-BEDA-3C92BEE6C09D}"/>
    <cellStyle name="Comma 988 5 2" xfId="16820" xr:uid="{6C72205A-7F03-4335-9655-48E86B7D282F}"/>
    <cellStyle name="Comma 988 6" xfId="11646" xr:uid="{73345179-6A9D-4331-BDB4-6511DA43526C}"/>
    <cellStyle name="Comma 989" xfId="1230" xr:uid="{8FCC7E59-803E-41DC-ACF4-E01ACA5F0376}"/>
    <cellStyle name="Comma 989 2" xfId="2267" xr:uid="{2366227E-76D2-4DEC-B80F-C3F9867304AF}"/>
    <cellStyle name="Comma 989 2 2" xfId="4325" xr:uid="{D3DAFDDA-9FEC-4F96-A80A-CC5729BD9164}"/>
    <cellStyle name="Comma 989 2 2 2" xfId="9558" xr:uid="{09F94E2F-C0FF-4416-8E5A-625272FDDD83}"/>
    <cellStyle name="Comma 989 2 2 2 2" xfId="19910" xr:uid="{328092C2-2B6A-4CC2-B95B-37A55E46FF5E}"/>
    <cellStyle name="Comma 989 2 2 3" xfId="14735" xr:uid="{D518794A-65CE-40A3-93B8-3E6D44ED6F6F}"/>
    <cellStyle name="Comma 989 2 3" xfId="7500" xr:uid="{E184A19C-A966-4FED-8635-66FED08B14D7}"/>
    <cellStyle name="Comma 989 2 3 2" xfId="17852" xr:uid="{FC2900AA-BDCA-4EA8-A3C1-43A150BECC0F}"/>
    <cellStyle name="Comma 989 2 4" xfId="12677" xr:uid="{C365328A-C111-4DA1-90D9-3639F945AA8C}"/>
    <cellStyle name="Comma 989 3" xfId="3295" xr:uid="{89BDEFB9-01BC-4976-B286-3C16B4FAA066}"/>
    <cellStyle name="Comma 989 3 2" xfId="8528" xr:uid="{C9AFD985-03BA-4405-A9C7-CA25E5CE1B8C}"/>
    <cellStyle name="Comma 989 3 2 2" xfId="18880" xr:uid="{A074C1E8-FFB4-448F-9131-F5F91B5D95ED}"/>
    <cellStyle name="Comma 989 3 3" xfId="13705" xr:uid="{04DD0E47-EA03-4016-9A9B-010BD03F0364}"/>
    <cellStyle name="Comma 989 4" xfId="5421" xr:uid="{24949375-7373-4917-A11E-A28C7C79F3C8}"/>
    <cellStyle name="Comma 989 4 2" xfId="10597" xr:uid="{791B0A70-923E-4842-92E9-FF3D829AD410}"/>
    <cellStyle name="Comma 989 4 2 2" xfId="20949" xr:uid="{0E543025-FE69-487F-9E67-355A3C5DDDA1}"/>
    <cellStyle name="Comma 989 4 3" xfId="15773" xr:uid="{C71FA9CF-967D-4C8B-8097-224E65CB4ED9}"/>
    <cellStyle name="Comma 989 5" xfId="6469" xr:uid="{2B018330-BEF8-4B59-872F-C6FF3A2C8AA6}"/>
    <cellStyle name="Comma 989 5 2" xfId="16821" xr:uid="{40DC0190-4B8A-46CA-B557-297DCBB35E71}"/>
    <cellStyle name="Comma 989 6" xfId="11647" xr:uid="{ED7CC0D4-9D14-476A-8AEE-68C4B61F8383}"/>
    <cellStyle name="Comma 99" xfId="313" xr:uid="{201E4FA9-0BDB-4047-B072-8030200610B1}"/>
    <cellStyle name="Comma 99 2" xfId="1377" xr:uid="{DC8890A1-1CB6-4F7B-B01A-9CACB62D3E31}"/>
    <cellStyle name="Comma 99 2 2" xfId="3435" xr:uid="{1C880559-C095-408B-8598-F041F80354D1}"/>
    <cellStyle name="Comma 99 2 2 2" xfId="8668" xr:uid="{D8A10AD1-22C2-44F5-AC47-3E0251E3820D}"/>
    <cellStyle name="Comma 99 2 2 2 2" xfId="19020" xr:uid="{F4B1C368-E916-4398-8479-8AB0579F3062}"/>
    <cellStyle name="Comma 99 2 2 3" xfId="13845" xr:uid="{5B5BDFFF-BE9F-4174-A572-A4E73C7BC366}"/>
    <cellStyle name="Comma 99 2 3" xfId="6610" xr:uid="{E7A4077F-0FAB-4F52-8385-0B0A340C66B3}"/>
    <cellStyle name="Comma 99 2 3 2" xfId="16962" xr:uid="{0967199C-5488-476C-84AD-F942967A802C}"/>
    <cellStyle name="Comma 99 2 4" xfId="11787" xr:uid="{D1CBDB94-91C7-4784-9F8B-8112D20CF281}"/>
    <cellStyle name="Comma 99 3" xfId="2405" xr:uid="{E89623A2-8BE4-4D31-BB1B-3803C06D218C}"/>
    <cellStyle name="Comma 99 3 2" xfId="7638" xr:uid="{177AC729-2F05-452C-9D13-F5E25F5E15A8}"/>
    <cellStyle name="Comma 99 3 2 2" xfId="17990" xr:uid="{42E94F36-E011-445C-A38A-3DE1000F0C52}"/>
    <cellStyle name="Comma 99 3 3" xfId="12815" xr:uid="{B0D16D59-97EE-4BCB-B5AC-4206B8F2E8B3}"/>
    <cellStyle name="Comma 99 4" xfId="4531" xr:uid="{2B265AE9-8272-459E-AB5F-22B0E57E1FFA}"/>
    <cellStyle name="Comma 99 4 2" xfId="9707" xr:uid="{E13F3886-E562-4D91-9CBF-0710D94DF42A}"/>
    <cellStyle name="Comma 99 4 2 2" xfId="20059" xr:uid="{73D6640D-AA91-4E43-AEAA-34C56763F95F}"/>
    <cellStyle name="Comma 99 4 3" xfId="14883" xr:uid="{EBDC5FC3-E71C-4950-9D32-E3D9ADD42D4A}"/>
    <cellStyle name="Comma 99 5" xfId="5579" xr:uid="{67786B66-32E9-47B5-B0C6-45368DC21937}"/>
    <cellStyle name="Comma 99 5 2" xfId="15931" xr:uid="{8F239A3E-52FE-401B-B6E8-F9343B544B70}"/>
    <cellStyle name="Comma 99 6" xfId="10757" xr:uid="{85F88AFB-F749-432D-877B-2292FDE4BE01}"/>
    <cellStyle name="Comma 990" xfId="1232" xr:uid="{4A012C29-FFA8-4080-97AA-728CAE116209}"/>
    <cellStyle name="Comma 990 2" xfId="2268" xr:uid="{0D293117-4C6F-45CB-8ED9-E45AD6D77E26}"/>
    <cellStyle name="Comma 990 2 2" xfId="4326" xr:uid="{622667C2-561F-4CCB-B4B2-38ACAAD63797}"/>
    <cellStyle name="Comma 990 2 2 2" xfId="9559" xr:uid="{85767679-84D3-4483-A205-DF6C2F030D53}"/>
    <cellStyle name="Comma 990 2 2 2 2" xfId="19911" xr:uid="{1CE76FDD-775F-4B23-A5D6-001C3EAE8070}"/>
    <cellStyle name="Comma 990 2 2 3" xfId="14736" xr:uid="{F8774EFB-AEA6-4039-BD7F-F69366B166D9}"/>
    <cellStyle name="Comma 990 2 3" xfId="7501" xr:uid="{AECD5A1D-88C6-4C7C-8E6F-BA03AB39F7DB}"/>
    <cellStyle name="Comma 990 2 3 2" xfId="17853" xr:uid="{2B5DE68D-C143-4E56-82B9-005999F54FA9}"/>
    <cellStyle name="Comma 990 2 4" xfId="12678" xr:uid="{80A5DBF7-AF1D-41CD-AA1C-639FB1BAACA1}"/>
    <cellStyle name="Comma 990 3" xfId="3296" xr:uid="{D3EE5822-94D1-4772-869F-8354583EB241}"/>
    <cellStyle name="Comma 990 3 2" xfId="8529" xr:uid="{C1101BBF-21D4-4882-8D62-E6EF7F209886}"/>
    <cellStyle name="Comma 990 3 2 2" xfId="18881" xr:uid="{AE39E7B1-ACB2-4587-AE2F-D93F9A4D45E7}"/>
    <cellStyle name="Comma 990 3 3" xfId="13706" xr:uid="{E2E25F14-6270-4F0D-B2C6-DD06034DFB59}"/>
    <cellStyle name="Comma 990 4" xfId="5422" xr:uid="{D9E685E6-4281-4E52-A40B-11B89FC3093B}"/>
    <cellStyle name="Comma 990 4 2" xfId="10598" xr:uid="{389E22E3-29FC-4907-8D70-A224B16C77BE}"/>
    <cellStyle name="Comma 990 4 2 2" xfId="20950" xr:uid="{D5AB2FBE-5A19-45CC-A9EF-C6CC314F403E}"/>
    <cellStyle name="Comma 990 4 3" xfId="15774" xr:uid="{98126FAF-3C68-4325-AA80-D8C5D265C16B}"/>
    <cellStyle name="Comma 990 5" xfId="6470" xr:uid="{3D69DA44-A5C4-4C94-A9B1-96CD03BF2B9C}"/>
    <cellStyle name="Comma 990 5 2" xfId="16822" xr:uid="{152880BE-9541-4464-B650-0064D7F71DE4}"/>
    <cellStyle name="Comma 990 6" xfId="11648" xr:uid="{694CF56F-02F6-4289-8A20-770D508F4B74}"/>
    <cellStyle name="Comma 991" xfId="1234" xr:uid="{773C00B8-3073-4621-81F3-60F4021F7766}"/>
    <cellStyle name="Comma 991 2" xfId="2269" xr:uid="{34B06CEE-3927-4075-8186-40D15360743B}"/>
    <cellStyle name="Comma 991 2 2" xfId="4327" xr:uid="{18A45159-8E57-4A1F-AA70-E702453B56A5}"/>
    <cellStyle name="Comma 991 2 2 2" xfId="9560" xr:uid="{9274B48A-D73B-4BD8-98AC-54E5F16ED1E1}"/>
    <cellStyle name="Comma 991 2 2 2 2" xfId="19912" xr:uid="{A2918074-7DB4-406F-B610-2DE1D8720A98}"/>
    <cellStyle name="Comma 991 2 2 3" xfId="14737" xr:uid="{946C8B94-3139-49C6-A70D-B0C1BE47F1FF}"/>
    <cellStyle name="Comma 991 2 3" xfId="7502" xr:uid="{4963CFBE-04A8-4731-9886-AFFCFC0F3A26}"/>
    <cellStyle name="Comma 991 2 3 2" xfId="17854" xr:uid="{2791308E-5216-4A8A-85A0-376764D3D907}"/>
    <cellStyle name="Comma 991 2 4" xfId="12679" xr:uid="{FBC3BB2E-F2B2-436F-9218-BD709727910B}"/>
    <cellStyle name="Comma 991 3" xfId="3297" xr:uid="{B024716C-1BDA-47E5-98FD-11D4D9FA21CC}"/>
    <cellStyle name="Comma 991 3 2" xfId="8530" xr:uid="{A1D27515-9E5F-4D5A-B447-8AB464E858BF}"/>
    <cellStyle name="Comma 991 3 2 2" xfId="18882" xr:uid="{ADC6E515-341E-49FC-ADA5-8D73F71DE01A}"/>
    <cellStyle name="Comma 991 3 3" xfId="13707" xr:uid="{9AA0FECE-7416-4B95-B312-A3FF0F61CA00}"/>
    <cellStyle name="Comma 991 4" xfId="5423" xr:uid="{91F3ED3B-C516-4FD9-8333-AAC3F5ED9D3C}"/>
    <cellStyle name="Comma 991 4 2" xfId="10599" xr:uid="{CD61F57D-79B9-4743-98F8-2A5660640699}"/>
    <cellStyle name="Comma 991 4 2 2" xfId="20951" xr:uid="{F71CBBA9-D7A9-4A2F-BE06-87C5C35F703A}"/>
    <cellStyle name="Comma 991 4 3" xfId="15775" xr:uid="{7E7B3E26-5A28-49DE-8E58-B203CF062C4D}"/>
    <cellStyle name="Comma 991 5" xfId="6471" xr:uid="{98F42393-F3EF-4163-83A9-FB427B1FADA1}"/>
    <cellStyle name="Comma 991 5 2" xfId="16823" xr:uid="{3D990DF7-0DD3-4927-914B-C20F4CC2B8A2}"/>
    <cellStyle name="Comma 991 6" xfId="11649" xr:uid="{D5B6D23B-6F55-4BF7-8BA3-4B5366D6F752}"/>
    <cellStyle name="Comma 992" xfId="1236" xr:uid="{05415D19-2112-4098-A2EF-C13509AE3375}"/>
    <cellStyle name="Comma 992 2" xfId="2270" xr:uid="{F34AB822-7909-474D-82D1-B4D47EC60A4E}"/>
    <cellStyle name="Comma 992 2 2" xfId="4328" xr:uid="{92B1299A-C78F-4EA6-BDD3-CAD8B240EC21}"/>
    <cellStyle name="Comma 992 2 2 2" xfId="9561" xr:uid="{C60296D9-4434-4419-8386-FB3DF96E9D7D}"/>
    <cellStyle name="Comma 992 2 2 2 2" xfId="19913" xr:uid="{60202FA6-5E0E-4364-8F33-89687386CA9B}"/>
    <cellStyle name="Comma 992 2 2 3" xfId="14738" xr:uid="{22B8FE5A-C515-40D0-B808-6FCD5B10ACF4}"/>
    <cellStyle name="Comma 992 2 3" xfId="7503" xr:uid="{6776A2CE-407E-4458-84BC-CE4515B18EA4}"/>
    <cellStyle name="Comma 992 2 3 2" xfId="17855" xr:uid="{13849372-23F2-459B-B130-7F4105CB99A5}"/>
    <cellStyle name="Comma 992 2 4" xfId="12680" xr:uid="{F205BE69-36CC-4E90-B0B0-6971CCC010D0}"/>
    <cellStyle name="Comma 992 3" xfId="3298" xr:uid="{6B98B0D9-65FC-4E02-8BB6-FCC3C49CFBB6}"/>
    <cellStyle name="Comma 992 3 2" xfId="8531" xr:uid="{CF31A69B-FB9C-4D11-AB66-91E93404ACF5}"/>
    <cellStyle name="Comma 992 3 2 2" xfId="18883" xr:uid="{7033E4FC-D89E-47AC-B100-B0CE9FD9DB52}"/>
    <cellStyle name="Comma 992 3 3" xfId="13708" xr:uid="{51FD38FA-7522-4772-A847-EABD9F17737F}"/>
    <cellStyle name="Comma 992 4" xfId="5424" xr:uid="{37E57D50-A75E-4AC8-9CB5-85FB0B05AE52}"/>
    <cellStyle name="Comma 992 4 2" xfId="10600" xr:uid="{9654C994-E841-4578-B071-3D536636A32B}"/>
    <cellStyle name="Comma 992 4 2 2" xfId="20952" xr:uid="{2AE3FFFF-4A86-4ABE-910F-1C891B0C006C}"/>
    <cellStyle name="Comma 992 4 3" xfId="15776" xr:uid="{5B6A4F3C-BBEF-419B-A9B7-6E7C581B16F3}"/>
    <cellStyle name="Comma 992 5" xfId="6472" xr:uid="{4CF2536E-A9B2-41AF-94E6-17871B80C34D}"/>
    <cellStyle name="Comma 992 5 2" xfId="16824" xr:uid="{29F210EA-562E-43A5-B18A-1EEB042DB152}"/>
    <cellStyle name="Comma 992 6" xfId="11650" xr:uid="{ECD40359-994A-4C95-BE65-B9E4C1DB1921}"/>
    <cellStyle name="Comma 993" xfId="1238" xr:uid="{38AA1DAB-21F8-43D7-A930-B81CEA8D1B24}"/>
    <cellStyle name="Comma 993 2" xfId="2271" xr:uid="{3AA34257-8C65-4DF6-A999-5692C18DB32A}"/>
    <cellStyle name="Comma 993 2 2" xfId="4329" xr:uid="{A0494B45-43B4-4B2E-BCF1-E806421F581A}"/>
    <cellStyle name="Comma 993 2 2 2" xfId="9562" xr:uid="{F5EBDCA1-7FEB-48B4-A732-E5201A8EFAE8}"/>
    <cellStyle name="Comma 993 2 2 2 2" xfId="19914" xr:uid="{C334AA93-E23D-4CF4-A93F-AC2EB44B99F0}"/>
    <cellStyle name="Comma 993 2 2 3" xfId="14739" xr:uid="{E4E959F3-1BA3-4E5E-9D6B-8511A073ED87}"/>
    <cellStyle name="Comma 993 2 3" xfId="7504" xr:uid="{450A078A-6689-48CC-BAF0-873094B53C4D}"/>
    <cellStyle name="Comma 993 2 3 2" xfId="17856" xr:uid="{C1D89FD5-6494-4158-B7B3-0CD78BF0ABBE}"/>
    <cellStyle name="Comma 993 2 4" xfId="12681" xr:uid="{7C0308F1-AEE5-4F7A-A00C-913DCB1EDD23}"/>
    <cellStyle name="Comma 993 3" xfId="3299" xr:uid="{A5A280F8-4889-4D36-821B-8F5000B0CFEE}"/>
    <cellStyle name="Comma 993 3 2" xfId="8532" xr:uid="{741B95A2-D22E-47E3-80A6-8E99D139ED4B}"/>
    <cellStyle name="Comma 993 3 2 2" xfId="18884" xr:uid="{B7EF825C-7C89-452E-8D85-0D2FAE8E4068}"/>
    <cellStyle name="Comma 993 3 3" xfId="13709" xr:uid="{CDD16D9E-A6D2-455F-A7C3-8EEFDB186593}"/>
    <cellStyle name="Comma 993 4" xfId="5425" xr:uid="{66674814-05F0-496D-AE46-00F8CBA3E536}"/>
    <cellStyle name="Comma 993 4 2" xfId="10601" xr:uid="{8F0FB321-B1CA-47A9-8F42-19694A45C89D}"/>
    <cellStyle name="Comma 993 4 2 2" xfId="20953" xr:uid="{110AAA43-C8B4-463E-8DAF-553E0DEBF15E}"/>
    <cellStyle name="Comma 993 4 3" xfId="15777" xr:uid="{159CEB70-6F26-4DF9-BF47-32B425F099F3}"/>
    <cellStyle name="Comma 993 5" xfId="6473" xr:uid="{FC06ABA6-3A32-4A03-8BFF-4249CA18C8EB}"/>
    <cellStyle name="Comma 993 5 2" xfId="16825" xr:uid="{6EFDE4AE-4808-4232-AEF6-689FA4FA822E}"/>
    <cellStyle name="Comma 993 6" xfId="11651" xr:uid="{486A5A73-B198-4031-999A-9615AAC947BE}"/>
    <cellStyle name="Comma 994" xfId="1239" xr:uid="{06A9BBD8-2741-40B4-9989-54DA27CF092A}"/>
    <cellStyle name="Comma 994 2" xfId="2272" xr:uid="{D18E1DC6-F672-4524-AE01-BE4F39D1DCDA}"/>
    <cellStyle name="Comma 994 2 2" xfId="4330" xr:uid="{7D2E8CC2-6583-46C5-8A92-6FECC3459742}"/>
    <cellStyle name="Comma 994 2 2 2" xfId="9563" xr:uid="{3577DF53-DBDF-4FD4-8CA9-6BD17B6BC64E}"/>
    <cellStyle name="Comma 994 2 2 2 2" xfId="19915" xr:uid="{E810DECF-F0A7-4AD1-A972-E1FDABA36613}"/>
    <cellStyle name="Comma 994 2 2 3" xfId="14740" xr:uid="{297720DF-25BA-433E-8A65-6D1694F44364}"/>
    <cellStyle name="Comma 994 2 3" xfId="7505" xr:uid="{65D48ACE-9DD9-484C-8D93-BAE1F40889AC}"/>
    <cellStyle name="Comma 994 2 3 2" xfId="17857" xr:uid="{BB1A34F7-6903-40C3-BAEA-123ED87B650F}"/>
    <cellStyle name="Comma 994 2 4" xfId="12682" xr:uid="{540D9A50-5715-4E9A-88D7-9FAFDADAA0F7}"/>
    <cellStyle name="Comma 994 3" xfId="3300" xr:uid="{27BB52FE-DF16-4ABE-B387-45FD93DBA005}"/>
    <cellStyle name="Comma 994 3 2" xfId="8533" xr:uid="{0D86A060-8479-4A1C-995F-D52FC9FF5708}"/>
    <cellStyle name="Comma 994 3 2 2" xfId="18885" xr:uid="{2682F772-7E06-44AB-908D-740DED315E9C}"/>
    <cellStyle name="Comma 994 3 3" xfId="13710" xr:uid="{9ACEB76F-855B-4906-96C5-9BFA68423877}"/>
    <cellStyle name="Comma 994 4" xfId="5426" xr:uid="{0D8C5F28-B203-45DE-BA6C-B60F9763CB61}"/>
    <cellStyle name="Comma 994 4 2" xfId="10602" xr:uid="{6C9F27F8-6D55-4F6B-807A-FB61D3E1200C}"/>
    <cellStyle name="Comma 994 4 2 2" xfId="20954" xr:uid="{59ABF32C-72F8-4F58-86C4-7FBBCE4AAB87}"/>
    <cellStyle name="Comma 994 4 3" xfId="15778" xr:uid="{F7AC699A-B47A-4ADA-862D-C58B5D715BB3}"/>
    <cellStyle name="Comma 994 5" xfId="6474" xr:uid="{B68E8B43-34DD-4B19-9638-6433CEA21EE7}"/>
    <cellStyle name="Comma 994 5 2" xfId="16826" xr:uid="{05081014-8DE0-4837-9382-786541DD58D8}"/>
    <cellStyle name="Comma 994 6" xfId="11652" xr:uid="{9D86CE3E-16B6-42E8-AE6A-201D2D7C39D0}"/>
    <cellStyle name="Comma 995" xfId="1242" xr:uid="{D51EC0AB-8D09-4D1E-8EFE-DAB998B31C17}"/>
    <cellStyle name="Comma 995 2" xfId="2273" xr:uid="{6966AF1C-371B-475A-910E-99ED0072FB77}"/>
    <cellStyle name="Comma 995 2 2" xfId="4331" xr:uid="{BFA90685-1C8D-476C-BAD0-15553CBE3F73}"/>
    <cellStyle name="Comma 995 2 2 2" xfId="9564" xr:uid="{9E904326-BD66-4DD1-879D-0CEEC0E0E780}"/>
    <cellStyle name="Comma 995 2 2 2 2" xfId="19916" xr:uid="{5011CB6C-6BF1-4867-B516-2124E7D5F932}"/>
    <cellStyle name="Comma 995 2 2 3" xfId="14741" xr:uid="{9135A490-796B-45E3-A0B7-B3154FD0CD24}"/>
    <cellStyle name="Comma 995 2 3" xfId="7506" xr:uid="{F290FEEB-8890-49C4-AF25-894F2CC765B1}"/>
    <cellStyle name="Comma 995 2 3 2" xfId="17858" xr:uid="{3648CC0A-4720-44A7-ACA7-D076810E05FB}"/>
    <cellStyle name="Comma 995 2 4" xfId="12683" xr:uid="{04172A57-0B96-4BDF-9770-700402D40985}"/>
    <cellStyle name="Comma 995 3" xfId="3301" xr:uid="{65BC7402-8737-4E1D-8DAA-8341E7C91063}"/>
    <cellStyle name="Comma 995 3 2" xfId="8534" xr:uid="{DAB1FFCB-F788-4364-8EF0-5C92B11F2D81}"/>
    <cellStyle name="Comma 995 3 2 2" xfId="18886" xr:uid="{C1E2FFE3-8B54-460D-A54C-4B0FF29F7C64}"/>
    <cellStyle name="Comma 995 3 3" xfId="13711" xr:uid="{71B0629B-53E1-464A-B859-3521C022C509}"/>
    <cellStyle name="Comma 995 4" xfId="5427" xr:uid="{7E1A7F67-AB48-432B-9DC8-093CAAB57D22}"/>
    <cellStyle name="Comma 995 4 2" xfId="10603" xr:uid="{5FDE88CE-8E75-418D-8393-AF5C40359312}"/>
    <cellStyle name="Comma 995 4 2 2" xfId="20955" xr:uid="{704E3FC4-6BA2-40B3-B611-A6A9F73BF5E7}"/>
    <cellStyle name="Comma 995 4 3" xfId="15779" xr:uid="{FC64EF6F-AB0F-4488-8C96-4514B0836EDE}"/>
    <cellStyle name="Comma 995 5" xfId="6475" xr:uid="{3F6602AD-24FB-40E2-B358-C683A10DF4D4}"/>
    <cellStyle name="Comma 995 5 2" xfId="16827" xr:uid="{707112E5-34D1-4B47-91EC-FCBBF1F69C0E}"/>
    <cellStyle name="Comma 995 6" xfId="11653" xr:uid="{81FAE375-40E0-4B30-9645-A892EA0E14DF}"/>
    <cellStyle name="Comma 996" xfId="1244" xr:uid="{30EFFF73-2DC7-4311-A84E-46D89C2AD8B4}"/>
    <cellStyle name="Comma 996 2" xfId="2274" xr:uid="{A3FEC1A3-ED58-48A5-B576-51DD43678496}"/>
    <cellStyle name="Comma 996 2 2" xfId="4332" xr:uid="{C5EC8F95-D53E-41EC-A33F-9256186D233E}"/>
    <cellStyle name="Comma 996 2 2 2" xfId="9565" xr:uid="{C4998990-76DF-4EFE-8FE8-82F3C3EC4FCF}"/>
    <cellStyle name="Comma 996 2 2 2 2" xfId="19917" xr:uid="{607D9C53-3C52-412C-9258-170963886131}"/>
    <cellStyle name="Comma 996 2 2 3" xfId="14742" xr:uid="{3390C269-777C-41DB-B2B1-AF69342F6E8C}"/>
    <cellStyle name="Comma 996 2 3" xfId="7507" xr:uid="{B37AC5AF-7E97-42F9-AF00-52577C825103}"/>
    <cellStyle name="Comma 996 2 3 2" xfId="17859" xr:uid="{03B758B9-764D-4245-A6B0-CCDE05667850}"/>
    <cellStyle name="Comma 996 2 4" xfId="12684" xr:uid="{F1801C6D-7F1E-425F-9806-EF6310FCC099}"/>
    <cellStyle name="Comma 996 3" xfId="3302" xr:uid="{53230806-4B18-40CF-9EC8-5AAE5B20E2DA}"/>
    <cellStyle name="Comma 996 3 2" xfId="8535" xr:uid="{73D14BD6-C50B-4554-A01A-9DCB11566C4C}"/>
    <cellStyle name="Comma 996 3 2 2" xfId="18887" xr:uid="{B4131D4D-5CFB-4B30-B4DA-2CEFF91472E8}"/>
    <cellStyle name="Comma 996 3 3" xfId="13712" xr:uid="{D00F16F5-D138-4ADF-ABC3-BF384D1C6CC1}"/>
    <cellStyle name="Comma 996 4" xfId="5428" xr:uid="{9C467A77-2962-4F1E-A2A9-3EE819C8B580}"/>
    <cellStyle name="Comma 996 4 2" xfId="10604" xr:uid="{FB3C816B-E835-46FB-A7A4-86FB99578569}"/>
    <cellStyle name="Comma 996 4 2 2" xfId="20956" xr:uid="{41442F3F-52BF-4AA2-AF82-6E859D729FAB}"/>
    <cellStyle name="Comma 996 4 3" xfId="15780" xr:uid="{6DFA81A2-FFB2-4BCC-92F1-9C67527A62BB}"/>
    <cellStyle name="Comma 996 5" xfId="6476" xr:uid="{E3BF5A15-DFE3-4A36-A43C-A38909725B92}"/>
    <cellStyle name="Comma 996 5 2" xfId="16828" xr:uid="{0E42523B-A78D-4652-A2BC-02174BE95A96}"/>
    <cellStyle name="Comma 996 6" xfId="11654" xr:uid="{0D98EC19-F377-4F6F-A389-929D6152F238}"/>
    <cellStyle name="Comma 997" xfId="1245" xr:uid="{41DAD154-C8C6-4549-9F22-B89ABA6E1EBE}"/>
    <cellStyle name="Comma 997 2" xfId="2275" xr:uid="{D0307C78-8A08-45DC-922A-0EB3217D551F}"/>
    <cellStyle name="Comma 997 2 2" xfId="4333" xr:uid="{19748D8F-BC75-4BF4-8370-4B40CC7FFBD9}"/>
    <cellStyle name="Comma 997 2 2 2" xfId="9566" xr:uid="{B24CDAB8-091C-4050-A59F-B3F226560A62}"/>
    <cellStyle name="Comma 997 2 2 2 2" xfId="19918" xr:uid="{DD868DFC-1554-4975-A7B3-242B8CB41867}"/>
    <cellStyle name="Comma 997 2 2 3" xfId="14743" xr:uid="{6459C296-7599-434B-917C-CE028DA8D0C9}"/>
    <cellStyle name="Comma 997 2 3" xfId="7508" xr:uid="{B56D78B1-B3F7-4E85-9BFD-C6CC4351EE4D}"/>
    <cellStyle name="Comma 997 2 3 2" xfId="17860" xr:uid="{11EA6E31-8757-4F10-A24F-6462C9F5CC52}"/>
    <cellStyle name="Comma 997 2 4" xfId="12685" xr:uid="{6026DCD7-7E50-4963-BAB4-90E82981242C}"/>
    <cellStyle name="Comma 997 3" xfId="3303" xr:uid="{C0190CE3-27C0-46F9-934B-94215C062450}"/>
    <cellStyle name="Comma 997 3 2" xfId="8536" xr:uid="{2A71E8A9-79D7-44D4-A95A-D4244693E4F0}"/>
    <cellStyle name="Comma 997 3 2 2" xfId="18888" xr:uid="{7EAD325D-EFB3-4C8A-A029-2AFF779411FF}"/>
    <cellStyle name="Comma 997 3 3" xfId="13713" xr:uid="{59A8EED1-6BBE-4BFD-93F0-5FAE704286E8}"/>
    <cellStyle name="Comma 997 4" xfId="5429" xr:uid="{AC1754C0-F08D-4F16-81E2-447A09FA62CC}"/>
    <cellStyle name="Comma 997 4 2" xfId="10605" xr:uid="{72FE470E-73A1-4FD9-8836-F998B9CBDC75}"/>
    <cellStyle name="Comma 997 4 2 2" xfId="20957" xr:uid="{5F18EDBB-29DD-48FA-B321-9BA24D236099}"/>
    <cellStyle name="Comma 997 4 3" xfId="15781" xr:uid="{52B9C216-98C5-485E-A78D-CCE2FD26F97E}"/>
    <cellStyle name="Comma 997 5" xfId="6477" xr:uid="{2234B7DC-93ED-4DE8-9B67-D38D065EEDE9}"/>
    <cellStyle name="Comma 997 5 2" xfId="16829" xr:uid="{A7D19C5E-432B-4AE3-88DB-A1013CDE1AC0}"/>
    <cellStyle name="Comma 997 6" xfId="11655" xr:uid="{7374C737-EA3B-4892-B2F9-5ACABAE21F08}"/>
    <cellStyle name="Comma 998" xfId="1246" xr:uid="{39587E16-AAF2-49A7-8A53-6C6D075AC1C5}"/>
    <cellStyle name="Comma 998 2" xfId="2276" xr:uid="{A6B8DF47-CDFE-4B75-961F-B6EE5C62ACD1}"/>
    <cellStyle name="Comma 998 2 2" xfId="4334" xr:uid="{7B69611D-8756-4ECA-98C6-5B728FDB1FE0}"/>
    <cellStyle name="Comma 998 2 2 2" xfId="9567" xr:uid="{C74B715D-5A1A-46E1-B663-B5F58F1C4051}"/>
    <cellStyle name="Comma 998 2 2 2 2" xfId="19919" xr:uid="{C8037BE9-574B-42CF-A4E5-08700DB64A5A}"/>
    <cellStyle name="Comma 998 2 2 3" xfId="14744" xr:uid="{2BFB63AA-4A4F-46B7-8465-C28D62F430E9}"/>
    <cellStyle name="Comma 998 2 3" xfId="7509" xr:uid="{F7C6C730-4220-488F-85CB-C46BC6A7F85A}"/>
    <cellStyle name="Comma 998 2 3 2" xfId="17861" xr:uid="{603945ED-4B31-4D43-A7AA-F0FA1CFBE3C3}"/>
    <cellStyle name="Comma 998 2 4" xfId="12686" xr:uid="{AF29D18F-C07F-4B2D-85B8-DDCF9A46F062}"/>
    <cellStyle name="Comma 998 3" xfId="3304" xr:uid="{B910F37F-2338-4480-BD23-D2FB37CB4D6C}"/>
    <cellStyle name="Comma 998 3 2" xfId="8537" xr:uid="{B096A7F0-DA6F-4CFB-BC22-6DB808E101F7}"/>
    <cellStyle name="Comma 998 3 2 2" xfId="18889" xr:uid="{28C7AC91-960A-4B93-90E9-2CFEFFB07269}"/>
    <cellStyle name="Comma 998 3 3" xfId="13714" xr:uid="{78A5D393-5AA9-4EBA-B625-56F60FB74DC4}"/>
    <cellStyle name="Comma 998 4" xfId="5430" xr:uid="{4759EB24-1467-4CFD-A6AF-7C3706047957}"/>
    <cellStyle name="Comma 998 4 2" xfId="10606" xr:uid="{C70FC546-9E6B-4A8E-93A7-9502D83E5546}"/>
    <cellStyle name="Comma 998 4 2 2" xfId="20958" xr:uid="{5DBC3747-E550-44EA-992B-A721C6FE0E4F}"/>
    <cellStyle name="Comma 998 4 3" xfId="15782" xr:uid="{B22EF010-9B25-4748-A378-D6A9E148EBD6}"/>
    <cellStyle name="Comma 998 5" xfId="6478" xr:uid="{478A1DF3-A7CC-4717-B708-4FD569351EAB}"/>
    <cellStyle name="Comma 998 5 2" xfId="16830" xr:uid="{A5F9B40C-2DED-4850-9809-FAAD92CC7A02}"/>
    <cellStyle name="Comma 998 6" xfId="11656" xr:uid="{76DFC6E7-807B-47AA-93EA-1F946509A0D0}"/>
    <cellStyle name="Comma 999" xfId="1247" xr:uid="{2434AB7A-27C0-4E21-9A01-30DAB9A57293}"/>
    <cellStyle name="Comma 999 2" xfId="2277" xr:uid="{76E5692C-56B2-4F7D-B6AB-4F1A26E18751}"/>
    <cellStyle name="Comma 999 2 2" xfId="4335" xr:uid="{9A4E1CD1-5AD9-4118-8A6B-A6C39D250E75}"/>
    <cellStyle name="Comma 999 2 2 2" xfId="9568" xr:uid="{1BE14171-D756-45B4-9AFA-2922F33157D4}"/>
    <cellStyle name="Comma 999 2 2 2 2" xfId="19920" xr:uid="{4F50C395-819E-40EB-92F8-D841E6BEDAB1}"/>
    <cellStyle name="Comma 999 2 2 3" xfId="14745" xr:uid="{F3769D47-9907-4D1B-A338-D75059D77B24}"/>
    <cellStyle name="Comma 999 2 3" xfId="7510" xr:uid="{7629BCB6-1780-4E58-954B-0BECD8996F66}"/>
    <cellStyle name="Comma 999 2 3 2" xfId="17862" xr:uid="{52B1EA97-0429-4757-92AF-D9841B268A51}"/>
    <cellStyle name="Comma 999 2 4" xfId="12687" xr:uid="{5D9B8FBF-1C5D-48BD-9E6A-85B0CCDC5B3B}"/>
    <cellStyle name="Comma 999 3" xfId="3305" xr:uid="{CB218D1C-8714-4BE0-9F5C-C8E98BA22B84}"/>
    <cellStyle name="Comma 999 3 2" xfId="8538" xr:uid="{C1A6F3FA-130C-44E3-B328-43BCF0C7BB48}"/>
    <cellStyle name="Comma 999 3 2 2" xfId="18890" xr:uid="{5F793A3D-4966-48BB-AD52-115C3C117166}"/>
    <cellStyle name="Comma 999 3 3" xfId="13715" xr:uid="{D0978238-A9B6-4DF2-8DF6-0D8137E904EA}"/>
    <cellStyle name="Comma 999 4" xfId="5431" xr:uid="{67BFC789-DF78-4F6E-946D-C9ACCFD0DDC1}"/>
    <cellStyle name="Comma 999 4 2" xfId="10607" xr:uid="{37EA064F-A813-4E78-AB15-7874D51117A4}"/>
    <cellStyle name="Comma 999 4 2 2" xfId="20959" xr:uid="{AFD78116-8E05-4811-9ABD-B483D26591BE}"/>
    <cellStyle name="Comma 999 4 3" xfId="15783" xr:uid="{03E6E78F-44A7-4B4D-B899-E5EA28C544D5}"/>
    <cellStyle name="Comma 999 5" xfId="6479" xr:uid="{2D39C12B-405B-49DC-9E4D-C1B6F6DDCB08}"/>
    <cellStyle name="Comma 999 5 2" xfId="16831" xr:uid="{31A5CC83-381A-4FD2-B99F-2AD8DD9D6BE0}"/>
    <cellStyle name="Comma 999 6" xfId="11657" xr:uid="{76A21E81-7389-4014-BD91-1666643EB5FC}"/>
    <cellStyle name="Comma0" xfId="76" xr:uid="{6E799D24-F531-45BD-8CF9-30C1405FC385}"/>
    <cellStyle name="Company" xfId="77" xr:uid="{9A652823-2DB7-4DCD-AE10-5011F0369CB2}"/>
    <cellStyle name="Crystal Report Data" xfId="78" xr:uid="{C0855377-C586-4900-8853-859A17429977}"/>
    <cellStyle name="Crystal Report Field" xfId="79" xr:uid="{0DC414D8-0BDE-4A9A-9660-31F5950D266A}"/>
    <cellStyle name="Currency0" xfId="80" xr:uid="{00A0503A-70D9-4FFB-98AF-EC0984913EAB}"/>
    <cellStyle name="CutHike" xfId="81" xr:uid="{6EF705EB-2515-4D0A-8157-5AC3A6BD8547}"/>
    <cellStyle name="Data1" xfId="82" xr:uid="{10D4BCB7-7C3F-47B1-B955-661509B5A6BC}"/>
    <cellStyle name="Data2" xfId="83" xr:uid="{B4C7A2FB-E81F-49A0-B81F-A59EF76975E6}"/>
    <cellStyle name="Date" xfId="84" xr:uid="{3EFFD2D6-ADD5-450E-8C9C-B16AFF6CB1C7}"/>
    <cellStyle name="Dezimal [0]_RESULTS" xfId="85" xr:uid="{9C2DD864-CABB-463E-B710-A0B3962B3461}"/>
    <cellStyle name="Dezimal_RESULTS" xfId="86" xr:uid="{C6EB6EB0-207A-48B8-8918-79DB8458D798}"/>
    <cellStyle name="Ênfase1" xfId="4392" xr:uid="{33B2A972-6C2E-4C63-8F88-097B96C80445}"/>
    <cellStyle name="Ênfase2" xfId="4393" xr:uid="{D1603CFF-2641-4C14-938F-E270ABEC53A0}"/>
    <cellStyle name="Ênfase3" xfId="4394" xr:uid="{6EC9ABCA-39CB-4220-8788-788A1EA3D7E4}"/>
    <cellStyle name="Ênfase4" xfId="4395" xr:uid="{F7D8D937-17FD-4B51-A471-32FB0FDDC381}"/>
    <cellStyle name="Ênfase5" xfId="4396" xr:uid="{6548B764-EF7D-4E87-AC40-BEF6884B0658}"/>
    <cellStyle name="Ênfase6" xfId="4397" xr:uid="{CCE33A77-A062-4009-97F4-18B5AB2E3708}"/>
    <cellStyle name="Entrada" xfId="7" xr:uid="{2B5746E3-4DF1-49E0-9306-DFD6322582B5}"/>
    <cellStyle name="Entrada 2" xfId="4398" xr:uid="{35D9E639-F676-4A02-AD51-ABA1B44C4447}"/>
    <cellStyle name="Estilo 1" xfId="93" xr:uid="{C2F3D50A-6F78-4404-953E-C32456C35573}"/>
    <cellStyle name="Euro" xfId="94" xr:uid="{911BCACF-3DAA-492D-AABD-2FBB1DAD6279}"/>
    <cellStyle name="Explanatory Text" xfId="179" builtinId="53" customBuiltin="1"/>
    <cellStyle name="Explanatory Text 2" xfId="95" xr:uid="{0FF7D198-63A7-452C-96CF-61E4EA7EE8B1}"/>
    <cellStyle name="Fixed" xfId="96" xr:uid="{2E30ABCF-4F2B-4DA5-A8A8-872D8235B28F}"/>
    <cellStyle name="Footnote" xfId="97" xr:uid="{8F27072C-532C-44BA-8F97-2DD375D753CC}"/>
    <cellStyle name="Good" xfId="4358" builtinId="26" customBuiltin="1"/>
    <cellStyle name="Good 2" xfId="98" xr:uid="{2216409F-0C9E-45BD-BA6A-C9363901608F}"/>
    <cellStyle name="GWN Table Body" xfId="99" xr:uid="{F043E6B5-6C9E-46C1-8022-C30FAA1582AA}"/>
    <cellStyle name="GWN Table Header" xfId="100" xr:uid="{61E7310C-248A-4C1A-A450-B7D509C76C0D}"/>
    <cellStyle name="GWN Table Left Header" xfId="101" xr:uid="{528F47AC-6D44-4D40-A0EB-117E1394B775}"/>
    <cellStyle name="GWN Table Note" xfId="102" xr:uid="{4206F02C-495B-40C4-ABB4-A8F5E01B5781}"/>
    <cellStyle name="GWN Table Title" xfId="103" xr:uid="{22956D83-0CCE-42A0-83E3-639DF35F65D4}"/>
    <cellStyle name="Heading 1" xfId="184" builtinId="16" customBuiltin="1"/>
    <cellStyle name="Heading 1 2" xfId="104" xr:uid="{65F8B756-147A-45F9-9501-CD5489F5E747}"/>
    <cellStyle name="Heading 2" xfId="185" builtinId="17" customBuiltin="1"/>
    <cellStyle name="Heading 2 2" xfId="105" xr:uid="{9681122F-D263-4883-A9D5-4471E84B657E}"/>
    <cellStyle name="Heading 3" xfId="186" builtinId="18" customBuiltin="1"/>
    <cellStyle name="Heading 3 2" xfId="106" xr:uid="{626B0324-0851-4236-97C5-2E954B1FB70A}"/>
    <cellStyle name="Heading 4" xfId="187" builtinId="19" customBuiltin="1"/>
    <cellStyle name="Heading 4 2" xfId="107" xr:uid="{092B0FB6-FF47-42CD-9F17-A3329C007FFC}"/>
    <cellStyle name="Hyperlink 2" xfId="108" xr:uid="{698FF00C-77F1-4CF0-AE5B-8366C85289F1}"/>
    <cellStyle name="Incorreto" xfId="109" xr:uid="{1BF29C57-6398-4691-9B46-CB443F9B37C0}"/>
    <cellStyle name="Input" xfId="4359" builtinId="20" customBuiltin="1"/>
    <cellStyle name="Input 2" xfId="110" xr:uid="{021FB9AE-846D-4933-B5AC-2E95EA6E3F7B}"/>
    <cellStyle name="Item" xfId="111" xr:uid="{9FD6542C-6B2F-46A5-A49D-3E22A3CD8C16}"/>
    <cellStyle name="ItemTypeClass" xfId="112" xr:uid="{36FD69BB-6F1A-4AB3-91BB-AF1D33FBCE14}"/>
    <cellStyle name="Linked Cell" xfId="4360" builtinId="24" customBuiltin="1"/>
    <cellStyle name="Linked Cell 2" xfId="113" xr:uid="{1CCD2CEF-B881-41CB-8C1E-FFD60AEFF4E5}"/>
    <cellStyle name="Moeda [0]_PERSON2" xfId="4399" xr:uid="{6084ECB1-7AEB-4703-8991-9393C103D716}"/>
    <cellStyle name="Moeda_CDI PACTUAL- CLAUDIO" xfId="4400" xr:uid="{608BEDB2-0C67-4615-9322-BF5825D2B983}"/>
    <cellStyle name="Neutra" xfId="114" xr:uid="{6EAC82D1-0290-42A7-AA5C-680BE4C678D2}"/>
    <cellStyle name="Neutral" xfId="6" builtinId="28" customBuiltin="1"/>
    <cellStyle name="Neutral 2" xfId="115" xr:uid="{4984C95F-CD77-40C7-B24B-0D3DF294180A}"/>
    <cellStyle name="Normal" xfId="0" builtinId="0"/>
    <cellStyle name="Normal - Style1" xfId="116" xr:uid="{6CBB2C85-C1A4-49F7-9C12-D9F60D5EFCCE}"/>
    <cellStyle name="Normal 10" xfId="267" xr:uid="{3B930969-2BB3-4786-B841-25A9F5AE7500}"/>
    <cellStyle name="Normal 10 2" xfId="282" xr:uid="{A39B0175-31D2-438E-AA89-0AD9D48484DE}"/>
    <cellStyle name="Normal 11" xfId="283" xr:uid="{2417C1DF-683E-4558-BC3B-EA99BAB83C25}"/>
    <cellStyle name="Normal 11 2" xfId="316" xr:uid="{A2635729-60EB-4E3B-9F81-787B30E6E888}"/>
    <cellStyle name="Normal 11 3" xfId="368" xr:uid="{F8B8DA87-D0A0-4C4C-B10C-0F4F1EDC1E01}"/>
    <cellStyle name="Normal 12" xfId="284" xr:uid="{FE618A9F-CEA9-4F95-8B24-CE3CF6F7675B}"/>
    <cellStyle name="Normal 12 2" xfId="300" xr:uid="{45FF509B-EE8E-40E8-B0B3-D32CA330C2F2}"/>
    <cellStyle name="Normal 12 3" xfId="317" xr:uid="{9DBF763B-9DD5-4BD1-A045-2A1EEFCAE667}"/>
    <cellStyle name="Normal 13" xfId="318" xr:uid="{2DFFC263-7300-4EC8-9636-139FDB526824}"/>
    <cellStyle name="Normal 13 2" xfId="358" xr:uid="{65DDEDF0-5CE1-44D2-951B-5D03C4C0639F}"/>
    <cellStyle name="Normal 14" xfId="319" xr:uid="{659C44F5-A6C5-4830-AEE4-F995E996ED26}"/>
    <cellStyle name="Normal 14 2" xfId="359" xr:uid="{F0CA5039-7D7C-4C08-85C6-8A0A25C352AF}"/>
    <cellStyle name="Normal 15" xfId="320" xr:uid="{70749216-EF90-4D1F-9F17-F870ADED195F}"/>
    <cellStyle name="Normal 15 2" xfId="360" xr:uid="{4C94BD55-16C7-4CBA-A55E-08A91EBE2927}"/>
    <cellStyle name="Normal 16" xfId="380" xr:uid="{9CB5FD33-FFA7-42CB-B84C-87D83C48624A}"/>
    <cellStyle name="Normal 16 2" xfId="1229" xr:uid="{A054CFC8-A8E1-4DAC-9016-BB8E688EA0A2}"/>
    <cellStyle name="Normal 17" xfId="369" xr:uid="{5378B87C-BDCD-4556-A78C-659A6C05D4EF}"/>
    <cellStyle name="Normal 17 2" xfId="1231" xr:uid="{8923B701-9F34-42CE-B14B-C188D0A2AB05}"/>
    <cellStyle name="Normal 18" xfId="370" xr:uid="{9203FDB8-4FA6-4262-937C-ADDF3EC930B1}"/>
    <cellStyle name="Normal 18 2" xfId="1233" xr:uid="{AE3EA9D8-FBD7-4580-8B8E-41E61ABC2280}"/>
    <cellStyle name="Normal 19" xfId="381" xr:uid="{4A5F83A0-E0C0-42DA-8E04-D82774A3FB1A}"/>
    <cellStyle name="Normal 19 2" xfId="1235" xr:uid="{4EB3C161-798C-4807-A8A2-1EEC75470983}"/>
    <cellStyle name="Normal 194" xfId="286" xr:uid="{D75604EF-F8D0-423C-8921-E52F8E7D2A37}"/>
    <cellStyle name="Normal 2" xfId="117" xr:uid="{1723D63A-8C33-42C7-AAAB-555BC084F6C3}"/>
    <cellStyle name="Normal 2 11" xfId="118" xr:uid="{9784929F-E2D8-4C54-B8CB-40BD5DAE26C0}"/>
    <cellStyle name="Normal 2 2" xfId="119" xr:uid="{4804E576-9156-4DE7-A862-04B3A2116C3C}"/>
    <cellStyle name="Normal 2 2 2" xfId="225" xr:uid="{28825D2A-5450-4F35-A726-F725CABFE3B7}"/>
    <cellStyle name="Normal 2 3" xfId="120" xr:uid="{3AFBE575-7E78-406B-A3AB-BBA4F25C5562}"/>
    <cellStyle name="Normal 2 4" xfId="197" xr:uid="{929971C7-26A0-4C76-B57F-675ED88A3842}"/>
    <cellStyle name="Normal 2 5" xfId="224" xr:uid="{D220B6FA-9087-478B-8071-F8661964D1B6}"/>
    <cellStyle name="Normal 2 6" xfId="285" xr:uid="{23596ABA-6F71-4AB7-B4A6-1786C41A94F6}"/>
    <cellStyle name="Normal 20" xfId="1237" xr:uid="{1DAFB88B-591D-4B8B-9920-264BC544A5D4}"/>
    <cellStyle name="Normal 21" xfId="1240" xr:uid="{AAD4631B-4556-4659-878F-77B7AF74F583}"/>
    <cellStyle name="Normal 22" xfId="1241" xr:uid="{34BA1430-F1DC-4871-8DE1-02C7FA5F0AB2}"/>
    <cellStyle name="Normal 23" xfId="1243" xr:uid="{43BEF207-CC17-4B6E-B2DD-92161AE12203}"/>
    <cellStyle name="Normal 24" xfId="372" xr:uid="{0ACAF365-02AA-40E6-B023-DCD05D90ADA4}"/>
    <cellStyle name="Normal 25" xfId="371" xr:uid="{F83B230E-1487-4601-B457-E6CDBA39D6BC}"/>
    <cellStyle name="Normal 268" xfId="121" xr:uid="{B4A829F7-730E-4071-AB2B-415D706D1AF0}"/>
    <cellStyle name="Normal 3" xfId="122" xr:uid="{14E24121-8157-4EDD-9C8C-358F5ED2DF74}"/>
    <cellStyle name="Normal 3 2" xfId="227" xr:uid="{EF6128AC-2A42-449B-93AA-F5FC8ECF0A26}"/>
    <cellStyle name="Normal 3 3" xfId="226" xr:uid="{37406F78-4C49-4684-8790-8D590E167E5B}"/>
    <cellStyle name="Normal 31" xfId="374" xr:uid="{9CF3A4D3-AE2E-471B-8B40-122107ECBB6C}"/>
    <cellStyle name="Normal 32" xfId="373" xr:uid="{0C6B33D0-5905-4FEE-9440-E575139EA7AA}"/>
    <cellStyle name="Normal 39" xfId="377" xr:uid="{E05139CB-224F-4041-8DE0-6DD1E9011020}"/>
    <cellStyle name="Normal 4" xfId="123" xr:uid="{F9689918-0DBF-4B4F-87FD-EC2F8D965E4E}"/>
    <cellStyle name="Normal 4 2" xfId="124" xr:uid="{E663E536-2DA7-4923-BCBC-63B9F52C66BC}"/>
    <cellStyle name="Normal 42" xfId="376" xr:uid="{A28D969F-2E12-4CD4-BC77-0BB2B8A8DC70}"/>
    <cellStyle name="Normal 45" xfId="379" xr:uid="{23841322-4911-4B4A-B771-4A0C3FB34AEA}"/>
    <cellStyle name="Normal 46" xfId="378" xr:uid="{D20FCE35-1F92-4CDD-97A9-C10EE4E7A060}"/>
    <cellStyle name="Normal 5" xfId="125" xr:uid="{E1DEE5B6-BEC5-4EEF-BA01-3E3D8E9C57F6}"/>
    <cellStyle name="Normal 5 2" xfId="126" xr:uid="{3802802E-B57E-4F14-98B5-70F560504447}"/>
    <cellStyle name="Normal 5 3" xfId="228" xr:uid="{3CFF8EBA-9BC3-4DCB-AE20-C23D7F265410}"/>
    <cellStyle name="Normal 6" xfId="196" xr:uid="{5F48E433-92B9-4198-BC0B-A5973C859E06}"/>
    <cellStyle name="Normal 6 2" xfId="287" xr:uid="{07B6FFBD-1CF9-4356-BBFB-FF24D7F2F49E}"/>
    <cellStyle name="Normal 7" xfId="127" xr:uid="{D03F1DBC-571E-402A-8CA7-82721D18E17D}"/>
    <cellStyle name="Normal 8" xfId="232" xr:uid="{46A6B903-11AA-4A05-99ED-B9F72255F855}"/>
    <cellStyle name="Normal 8 2" xfId="258" xr:uid="{70FAD8E0-DB07-4CBF-A64B-597A2353EA1D}"/>
    <cellStyle name="Normal 8 3" xfId="278" xr:uid="{9F85E8E0-24F2-4602-A138-E76F90CDCDC5}"/>
    <cellStyle name="Normal 9" xfId="266" xr:uid="{59306BFF-E6C0-4B8C-9D04-8B495229B543}"/>
    <cellStyle name="Normal 9 2" xfId="281" xr:uid="{0DFEF053-A36B-4487-BA2D-AC1D69CB76D5}"/>
    <cellStyle name="Nota" xfId="11" xr:uid="{C6338A07-0A23-4312-92DD-B12961035702}"/>
    <cellStyle name="Nota 2" xfId="4401" xr:uid="{CD777A75-B138-4C85-8468-70055C202ED4}"/>
    <cellStyle name="Note" xfId="4363" builtinId="10" customBuiltin="1"/>
    <cellStyle name="Note 2" xfId="128" xr:uid="{B9AF3818-6A3D-4020-B764-D5C92F0A338A}"/>
    <cellStyle name="Notes" xfId="129" xr:uid="{A1BA0750-9D09-4E12-AE86-62D0B9D3C27A}"/>
    <cellStyle name="OT" xfId="130" xr:uid="{5D2D3250-436C-4A7F-8864-40BE31B4DB5E}"/>
    <cellStyle name="Output" xfId="140" builtinId="21" customBuiltin="1"/>
    <cellStyle name="Output 2" xfId="131" xr:uid="{3C827637-6694-40F4-AB01-F2204E61AB47}"/>
    <cellStyle name="Percent" xfId="1" builtinId="5"/>
    <cellStyle name="Percent 2" xfId="132" xr:uid="{3E570BB9-D0F4-498F-B5DC-2C7C72C17D2D}"/>
    <cellStyle name="Percent 2 2" xfId="133" xr:uid="{82B993B7-DA67-41F9-80BB-2A91E1BAD6FD}"/>
    <cellStyle name="Percent 3" xfId="229" xr:uid="{416BC693-4291-4772-852D-D7A3105EBA47}"/>
    <cellStyle name="Percent 4" xfId="230" xr:uid="{DC08FDEC-41AA-4386-A52F-0C6A46B830C8}"/>
    <cellStyle name="Percent 5" xfId="4420" xr:uid="{948F0733-19A3-4549-8EE6-D98BB2497B0E}"/>
    <cellStyle name="PercentChange" xfId="134" xr:uid="{5D62D87A-A6D0-4972-A5C4-EFA0FE45FDF9}"/>
    <cellStyle name="Prozent_HP PLotter_open" xfId="135" xr:uid="{3C258FBF-F297-4D80-A7F3-EB017C6A60FB}"/>
    <cellStyle name="RatioX" xfId="136" xr:uid="{676ACE23-3738-4780-8E3E-C1E2B8AC0D64}"/>
    <cellStyle name="RMIR Max Move" xfId="137" xr:uid="{106485D0-B082-454E-A2FD-D69EC94F5B66}"/>
    <cellStyle name="RMIR Size" xfId="138" xr:uid="{8CC1A847-E0A7-4A82-9C90-52D23674F4E4}"/>
    <cellStyle name="RMIR Unit" xfId="139" xr:uid="{5C91C2F2-F389-42DC-95CF-E855E8F7180E}"/>
    <cellStyle name="Saída" xfId="4402" xr:uid="{CCCBA8DA-66A9-4B27-B686-EC5ED5A54BAD}"/>
    <cellStyle name="SAPBEXaggData" xfId="141" xr:uid="{20D734D7-9233-4F28-88F5-794AA0C3AC15}"/>
    <cellStyle name="SAPBEXaggDataEmph" xfId="142" xr:uid="{2A7DE083-B1AB-46B1-AF30-7EAAD90BA260}"/>
    <cellStyle name="SAPBEXaggItem" xfId="143" xr:uid="{798D19C7-5C81-4F29-B1DF-BFE201DECD69}"/>
    <cellStyle name="SAPBEXchaText" xfId="144" xr:uid="{A5B71489-9C8E-4D0E-A35B-1C764ADEAEE5}"/>
    <cellStyle name="SAPBEXexcBad7" xfId="145" xr:uid="{0126A8AC-F05A-44AC-ADD5-CF536FECD1DE}"/>
    <cellStyle name="SAPBEXexcBad8" xfId="146" xr:uid="{020DBDC6-827F-4857-967D-12BEDA76AE0B}"/>
    <cellStyle name="SAPBEXexcBad9" xfId="147" xr:uid="{8725767A-8776-460A-91E6-EDF233A9E175}"/>
    <cellStyle name="SAPBEXexcCritical4" xfId="148" xr:uid="{174677E8-5838-40D8-9733-B24C8FC9A2CF}"/>
    <cellStyle name="SAPBEXexcCritical5" xfId="149" xr:uid="{FD40B471-1E6B-423B-8E5D-CB7717D92D73}"/>
    <cellStyle name="SAPBEXexcCritical6" xfId="150" xr:uid="{35D9727C-1941-4BE4-8695-AB7D63DD52A3}"/>
    <cellStyle name="SAPBEXexcGood1" xfId="151" xr:uid="{219FF065-2F15-453A-88AC-D9AB4C73B1AA}"/>
    <cellStyle name="SAPBEXexcGood2" xfId="152" xr:uid="{B39F4C1B-4D4E-4FA8-BD5F-EA46F76BDE20}"/>
    <cellStyle name="SAPBEXexcGood3" xfId="153" xr:uid="{8A43CDDE-4CAD-4B34-BECF-55CF979D2E39}"/>
    <cellStyle name="SAPBEXfilterDrill" xfId="154" xr:uid="{7B0B64CE-0FA5-4DAD-9133-473F518D6A8D}"/>
    <cellStyle name="SAPBEXfilterItem" xfId="155" xr:uid="{98FC7328-698A-4193-A6DE-A0E8B96270CB}"/>
    <cellStyle name="SAPBEXfilterText" xfId="156" xr:uid="{BCEC4EBA-64F4-4D68-A172-D65D3CBA66D9}"/>
    <cellStyle name="SAPBEXformats" xfId="157" xr:uid="{B72FA335-2A64-48D5-A16F-646BD0D24285}"/>
    <cellStyle name="SAPBEXheaderItem" xfId="158" xr:uid="{847B9D01-E4DF-467C-8EF9-250FF62977D6}"/>
    <cellStyle name="SAPBEXheaderText" xfId="159" xr:uid="{5A51A79E-941C-4021-92B8-34274BD7BD1B}"/>
    <cellStyle name="SAPBEXresData" xfId="160" xr:uid="{9E040078-E368-4EF6-8561-76CAA6CC38D3}"/>
    <cellStyle name="SAPBEXresDataEmph" xfId="161" xr:uid="{F829F2DD-68DE-4FA3-A65D-1E7E520AA26E}"/>
    <cellStyle name="SAPBEXresItem" xfId="162" xr:uid="{2ADD853D-F6E1-47C0-9D89-733EBD2EA3B3}"/>
    <cellStyle name="SAPBEXstdData" xfId="163" xr:uid="{80F0A9CA-9038-4802-8E8A-134FFB450F9B}"/>
    <cellStyle name="SAPBEXstdDataEmph" xfId="164" xr:uid="{247727F2-352A-4D66-9651-4DE805916813}"/>
    <cellStyle name="SAPBEXstdItem" xfId="165" xr:uid="{60C15634-337A-4D72-BF65-A7D91ACED33E}"/>
    <cellStyle name="SAPBEXtitle" xfId="166" xr:uid="{59F370A2-244A-4DAD-A8C7-C84D4954BE20}"/>
    <cellStyle name="SAPBEXundefined" xfId="167" xr:uid="{2AA96E92-E9F5-4609-BEFC-53C30EA6C32D}"/>
    <cellStyle name="ScripFactor" xfId="168" xr:uid="{1B943E7E-6A4E-40D6-AE2E-D6B7C0CD6950}"/>
    <cellStyle name="SectionHeading" xfId="169" xr:uid="{C14706FF-18FF-4769-823A-82A74736952D}"/>
    <cellStyle name="Separador de milhares [0]_PERSON2" xfId="4403" xr:uid="{7B287B8E-2AF6-4689-8CDA-937F09407B56}"/>
    <cellStyle name="Separador de milhares_CDI PACTUAL- CLAUDIO" xfId="4404" xr:uid="{7F9FCE6B-0073-4EF2-A827-4D27CEBA5CDF}"/>
    <cellStyle name="Spread" xfId="170" xr:uid="{45475724-0DFC-41DE-B967-D2C817430C29}"/>
    <cellStyle name="Spreads" xfId="171" xr:uid="{69132EED-8EB8-4047-AC6C-B99A454AE524}"/>
    <cellStyle name="Standaard_KKKKK" xfId="172" xr:uid="{6D54F394-6F04-4D47-A065-D788E4D0DCAD}"/>
    <cellStyle name="Standard_HP PLotter_open" xfId="173" xr:uid="{248DF778-DA23-4561-A217-3D8C2E700CDB}"/>
    <cellStyle name="Style 1" xfId="174" xr:uid="{A37FFB46-549E-4DCB-8C5B-69AD4E9F37D5}"/>
    <cellStyle name="Style 1 2" xfId="175" xr:uid="{004AEDC6-1622-40B7-9876-A89FE8AA4B8C}"/>
    <cellStyle name="Table Heading" xfId="176" xr:uid="{061D9209-4411-4BD8-9264-0E15D7311028}"/>
    <cellStyle name="Table Title" xfId="177" xr:uid="{CE61DF0A-FB99-49F4-B107-3CBB4C291822}"/>
    <cellStyle name="Table Units" xfId="178" xr:uid="{547958AE-53DD-485C-8275-A95B8886BA1C}"/>
    <cellStyle name="Texto de Aviso" xfId="10" xr:uid="{4125D5B1-F12B-4407-BF1A-146041173F44}"/>
    <cellStyle name="Texto de Aviso 2" xfId="4405" xr:uid="{4CE6ECB2-0434-481B-BDFC-EE7E8D4498B3}"/>
    <cellStyle name="Texto Explicativo" xfId="4406" xr:uid="{CB73BE47-996E-4C23-8922-33605F718C96}"/>
    <cellStyle name="Title" xfId="183" builtinId="15" customBuiltin="1"/>
    <cellStyle name="Title 2" xfId="180" xr:uid="{779216B2-66D2-4810-A929-56DB94BCBB82}"/>
    <cellStyle name="Title 2 2" xfId="181" xr:uid="{AD37327C-EA01-43DC-A5EF-DC7F36D7070F}"/>
    <cellStyle name="Titles" xfId="182" xr:uid="{0CF9AE79-F7BA-4413-8C1D-E0CBF88C35AB}"/>
    <cellStyle name="Título" xfId="4407" xr:uid="{83C7B909-FDDF-4786-8526-B354184596FE}"/>
    <cellStyle name="Título 1" xfId="4408" xr:uid="{36B3A3CD-5631-4041-A1EF-A03A3BCF1B8D}"/>
    <cellStyle name="Título 2" xfId="4409" xr:uid="{80B2F631-0225-457D-8F63-257A6161832B}"/>
    <cellStyle name="Título 3" xfId="4410" xr:uid="{08A60EDD-2491-4EB5-B083-4A56F9142F86}"/>
    <cellStyle name="Título 4" xfId="4411" xr:uid="{8D4AA849-4C5A-4103-BB15-444789C92E02}"/>
    <cellStyle name="Título_Data" xfId="4412" xr:uid="{2BDABDC0-7D70-4ADB-A649-15E2BC7A57EE}"/>
    <cellStyle name="Total" xfId="12" builtinId="25" customBuiltin="1"/>
    <cellStyle name="Total 2" xfId="188" xr:uid="{C67F556C-9414-4FC2-BC22-906B07CE7536}"/>
    <cellStyle name="UltimoRate" xfId="189" xr:uid="{CEC497E9-9CC3-403E-A757-98903F1E5EDC}"/>
    <cellStyle name="Vírgula" xfId="4413" xr:uid="{D8E66B37-2579-4EF8-97EB-42F1F7BE9266}"/>
    <cellStyle name="Vírgula 3" xfId="191" xr:uid="{6FC83F1B-A55B-4A8D-B560-C6DCD9DDBF5E}"/>
    <cellStyle name="Vírgula 3 2" xfId="1282" xr:uid="{C51A28FC-92F1-4CF7-B987-B8557BDF7EAE}"/>
    <cellStyle name="Vírgula 3 2 2" xfId="3340" xr:uid="{BC3BC18C-9E3E-4AE1-8DED-7F8946B1C6F0}"/>
    <cellStyle name="Vírgula 3 2 2 2" xfId="8573" xr:uid="{3817314F-B6ED-483D-BB1C-3889AB6DF044}"/>
    <cellStyle name="Vírgula 3 2 2 2 2" xfId="18925" xr:uid="{38F35BC9-EB84-48DB-8E11-3EA055A33F70}"/>
    <cellStyle name="Vírgula 3 2 2 3" xfId="13750" xr:uid="{878C0CAE-6B22-48D6-8C0E-1B55E3A59AE2}"/>
    <cellStyle name="Vírgula 3 2 3" xfId="6515" xr:uid="{CD518607-9E67-43DA-BB5A-3DA8086F01B7}"/>
    <cellStyle name="Vírgula 3 2 3 2" xfId="16867" xr:uid="{27EAA09B-7C05-48DC-A9E0-CDFAD631A960}"/>
    <cellStyle name="Vírgula 3 2 4" xfId="11692" xr:uid="{556880AB-F43B-4AA9-93AC-5EA631DBAC70}"/>
    <cellStyle name="Vírgula 3 3" xfId="2310" xr:uid="{64AA42A3-494B-45AC-821A-85C0BECC6097}"/>
    <cellStyle name="Vírgula 3 3 2" xfId="7543" xr:uid="{F3DC7E4A-7465-418B-895C-9DB40AECB9E9}"/>
    <cellStyle name="Vírgula 3 3 2 2" xfId="17895" xr:uid="{B5EC6083-60D6-43A9-9416-06E410D2EE04}"/>
    <cellStyle name="Vírgula 3 3 3" xfId="12720" xr:uid="{308FE3CF-7ABD-4F51-9730-8F943E96AD5E}"/>
    <cellStyle name="Vírgula 3 4" xfId="4436" xr:uid="{B5BFB2B8-7105-4A82-8E26-E00C338EDE20}"/>
    <cellStyle name="Vírgula 3 4 2" xfId="9612" xr:uid="{D85787CF-D5D3-48E6-AA23-4C6C2991EE9D}"/>
    <cellStyle name="Vírgula 3 4 2 2" xfId="19964" xr:uid="{7F20DF40-2579-4345-8CAE-C43D0D0F8CB8}"/>
    <cellStyle name="Vírgula 3 4 3" xfId="14788" xr:uid="{3EE72203-B75E-40B6-B992-D34DA0E5D9E4}"/>
    <cellStyle name="Vírgula 3 5" xfId="5484" xr:uid="{DF06B457-B86E-4385-8731-073F65E02695}"/>
    <cellStyle name="Vírgula 3 5 2" xfId="15836" xr:uid="{62F88038-E87D-4F31-944F-F621A89DBE09}"/>
    <cellStyle name="Vírgula 3 6" xfId="10662" xr:uid="{0C5EFABB-31CA-435F-979F-5E8ED40EE3AB}"/>
    <cellStyle name="Währung [0]_RESULTS" xfId="192" xr:uid="{7334A04D-DE34-4C83-A2A2-4FE8747907CA}"/>
    <cellStyle name="Währung_RESULTS" xfId="193" xr:uid="{74E2F173-CB01-437C-B2D5-BAA3BD79FABD}"/>
    <cellStyle name="Warning Text" xfId="4362" builtinId="11" customBuiltin="1"/>
    <cellStyle name="Warning Text 2" xfId="194" xr:uid="{9CA85F8E-1FD6-4350-9E41-606A6973E10D}"/>
  </cellStyles>
  <dxfs count="3567">
    <dxf>
      <font>
        <color rgb="FFFF000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numFmt numFmtId="195" formatCode="d/m/yy;@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auto="1"/>
        </patternFill>
      </fill>
    </dxf>
    <dxf>
      <numFmt numFmtId="166" formatCode="#,##0_ ;[Red]\-#,##0\ "/>
    </dxf>
    <dxf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96" formatCode="0.00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numFmt numFmtId="166" formatCode="#,##0_ ;[Red]\-#,##0\ 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7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auto="1"/>
        </patternFill>
      </fill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</dxf>
    <dxf>
      <alignment wrapText="1"/>
    </dxf>
    <dxf>
      <alignment wrapText="1"/>
    </dxf>
    <dxf>
      <alignment horizontal="center"/>
    </dxf>
    <dxf>
      <alignment horizontal="center"/>
    </dxf>
    <dxf>
      <alignment vertical="center"/>
    </dxf>
    <dxf>
      <alignment vertical="center"/>
    </dxf>
    <dxf>
      <numFmt numFmtId="170" formatCode="#,##0.00_ ;[Red]\-#,##0.00\ 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numFmt numFmtId="14" formatCode="0.00%"/>
      <alignment vertical="center" wrapText="1"/>
    </dxf>
    <dxf>
      <font>
        <b/>
      </font>
      <numFmt numFmtId="170" formatCode="#,##0.00_ ;[Red]\-#,##0.00\ "/>
      <alignment horizontal="center" vertical="center" wrapText="1"/>
    </dxf>
    <dxf>
      <numFmt numFmtId="14" formatCode="0.00%"/>
    </dxf>
    <dxf>
      <numFmt numFmtId="14" formatCode="0.00%"/>
    </dxf>
    <dxf>
      <numFmt numFmtId="172" formatCode="0.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left"/>
    </dxf>
    <dxf>
      <alignment wrapText="1"/>
    </dxf>
    <dxf>
      <alignment vertical="center"/>
    </dxf>
    <dxf>
      <numFmt numFmtId="14" formatCode="0.00%"/>
    </dxf>
    <dxf>
      <numFmt numFmtId="14" formatCode="0.0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  <alignment horizontal="general" vertical="bottom" textRotation="0" wrapText="0" indent="0" justifyLastLine="0" shrinkToFit="0" readingOrder="0"/>
    </dxf>
    <dxf>
      <alignment wrapText="1"/>
    </dxf>
    <dxf>
      <numFmt numFmtId="0" formatCode="General"/>
      <alignment horizontal="general" vertical="bottom" textRotation="0" wrapText="0" indent="0" justifyLastLine="0" shrinkToFit="0" readingOrder="0"/>
    </dxf>
    <dxf>
      <numFmt numFmtId="172" formatCode="0.0%"/>
    </dxf>
    <dxf>
      <fill>
        <patternFill patternType="none">
          <bgColor auto="1"/>
        </patternFill>
      </fill>
    </dxf>
    <dxf>
      <numFmt numFmtId="14" formatCode="0.00%"/>
    </dxf>
    <dxf>
      <numFmt numFmtId="14" formatCode="0.00%"/>
      <alignment horizontal="general" vertical="bottom" textRotation="0" wrapText="0" indent="0" justifyLastLine="0" shrinkToFit="0" readingOrder="0"/>
    </dxf>
    <dxf>
      <numFmt numFmtId="14" formatCode="0.00%"/>
      <alignment horizontal="general" vertical="bottom" textRotation="0" wrapText="0" indent="0" justifyLastLine="0" shrinkToFit="0" readingOrder="0"/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1" defaultTableStyle="TableStyleMedium2" defaultPivotStyle="PivotStyleLight16">
    <tableStyle name="Estilo de Tabela 1" pivot="0" count="0" xr9:uid="{DFC942C1-1C08-4C2E-861F-03FFABFBF541}"/>
  </tableStyles>
  <colors>
    <mruColors>
      <color rgb="FFF2F3CF"/>
      <color rgb="FFE5E79D"/>
      <color rgb="FFFEBBB4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>
        <v>0.47481134533882141</v>
        <stp/>
        <stp>BDP|10791202107153378113|22</stp>
        <stp>LITE US 06/18/26 C720 Equity</stp>
        <stp>DELTA_MID_RT</stp>
        <tr r="AF14" s="2"/>
      </tp>
      <tp>
        <v>6.5561644732952118E-2</v>
        <stp/>
        <stp>BDP|15245838115152511120|22</stp>
        <stp>LITE US 02/20/26 C690 Equity</stp>
        <stp>DELTA_MID_RT</stp>
        <tr r="W7" s="89"/>
      </tp>
      <tp>
        <v>407.72</v>
        <stp/>
        <stp>BDP|4064022148367835219|22</stp>
        <stp>SMH Equity</stp>
        <stp>LAST PRICE</stp>
        <tr r="I11" s="338"/>
        <tr r="I12" s="338"/>
        <tr r="I10" s="338"/>
      </tp>
      <tp t="s">
        <v>USD</v>
        <stp/>
        <stp>BDP|2490195519672700929|22</stp>
        <stp>MRVL US 03/20/26 P70 Equity</stp>
        <stp>QUOTED_CURRENCY_REALTIME</stp>
        <tr r="G16" s="2"/>
      </tp>
      <tp>
        <v>-0.70740604400634766</v>
        <stp/>
        <stp>BDP|9213052635530371554|22</stp>
        <stp>QQQ US 02/20/26 P600 Equity</stp>
        <stp>theta_mid_rt</stp>
        <tr r="AN23" s="2"/>
      </tp>
      <tp>
        <v>-0.27932128310203552</v>
        <stp/>
        <stp>BDP|13093442189291786816|22</stp>
        <stp>AMZN US 07/17/26 P180 Equity</stp>
        <stp>DELTA_MID_RT</stp>
        <tr r="W105" s="89"/>
        <tr r="AF5" s="2"/>
      </tp>
      <tp t="s">
        <v>#N/A Real Time</v>
        <stp/>
        <stp>BDP|9106857053131827566|22</stp>
        <stp>SPXW US 12/31/25 C6950 Index</stp>
        <stp>DELTA_MID_RT</stp>
        <tr r="W68" s="89"/>
      </tp>
      <tp>
        <v>4.88</v>
        <stp/>
        <stp>BDP|4964852036923624875|22</stp>
        <stp>NVDA US 03/20/26 C200 Equity</stp>
        <stp>mid</stp>
        <tr r="L21" s="2"/>
      </tp>
      <tp>
        <v>0.31831291317939758</v>
        <stp/>
        <stp>BDP|16080044180315030458|22</stp>
        <stp>META US 04/17/26 C690 Equity</stp>
        <stp>DELTA_MID_RT</stp>
        <tr r="W77" s="89"/>
      </tp>
      <tp>
        <v>1.41</v>
        <stp/>
        <stp>BDP|3408059478776228087|22</stp>
        <stp>NVDA US 03/20/26 C220 Equity</stp>
        <stp>mid</stp>
        <tr r="L22" s="2"/>
      </tp>
      <tp>
        <v>6848.25</v>
        <stp/>
        <stp>BDP|12716372015876005190|22</stp>
        <stp>ESA index</stp>
        <stp>LAST_PRICE</stp>
        <tr r="AI1" s="1"/>
      </tp>
      <tp t="s">
        <v>#N/A Invalid Security</v>
        <stp/>
        <stp>BDP|3593915796088697469|22</stp>
        <stp xml:space="preserve"> Equity</stp>
        <stp>DELTA_MID_RT</stp>
        <tr r="W44" s="89"/>
        <tr r="W86" s="89"/>
        <tr r="W87" s="89"/>
        <tr r="W43" s="89"/>
      </tp>
      <tp t="s">
        <v>#N/A Real Time</v>
        <stp/>
        <stp>BDP|3954062195024173589|22</stp>
        <stp>RTYWU5C3 2425 Index</stp>
        <stp>ask</stp>
        <tr r="L52" s="89"/>
      </tp>
      <tp>
        <v>562000</v>
        <stp/>
        <stp>BDP|16866508691273641435|22</stp>
        <stp>402340 KS Equity</stp>
        <stp>LAST_PRICE</stp>
        <tr r="I24" s="1"/>
      </tp>
      <tp>
        <v>-0.15792374312877655</v>
        <stp/>
        <stp>BDP|2162853239863021436|22</stp>
        <stp>TSM US 06/18/26 C380 Equity</stp>
        <stp>theta_mid_rt</stp>
        <tr r="AN28" s="2"/>
      </tp>
      <tp>
        <v>0.30694511532783508</v>
        <stp/>
        <stp>BDP|13157347630392877266|22</stp>
        <stp>ASHR US 02/27/26 C35 Equity</stp>
        <stp>DELTA_MID_RT</stp>
        <tr r="AF7" s="2"/>
      </tp>
      <tp>
        <v>0.32702887058258057</v>
        <stp/>
        <stp>BDP|10012779820456568860|22</stp>
        <stp>META US 02/27/26 C660 Equity</stp>
        <stp>DELTA_MID_RT</stp>
        <tr r="W88" s="89"/>
      </tp>
      <tp>
        <v>31.92</v>
        <stp/>
        <stp>BDP|4238048935133024019|22</stp>
        <stp>AVGO US 06/18/26 C350 Equity</stp>
        <stp>mid</stp>
        <tr r="L8" s="2"/>
      </tp>
      <tp>
        <v>9.3000000000000007</v>
        <stp/>
        <stp>BDP|7463417341903513692|22</stp>
        <stp>AMZN US 07/17/26 P180 Equity</stp>
        <stp>bid</stp>
        <tr r="K105" s="89"/>
        <tr r="P5" s="2"/>
      </tp>
      <tp>
        <v>-0.46457856893539429</v>
        <stp/>
        <stp>BDP|2900217985434412906|22</stp>
        <stp>QQQ US 02/27/26 P590 Equity</stp>
        <stp>theta_mid_rt</stp>
        <tr r="AN25" s="2"/>
      </tp>
      <tp>
        <v>0.32216265797615051</v>
        <stp/>
        <stp>BDP|11241200936261057653|22</stp>
        <stp>AMZN US 07/17/26 C230 Equity</stp>
        <stp>DELTA_MID_RT</stp>
        <tr r="W104" s="89"/>
      </tp>
      <tp>
        <v>-0.29878926277160645</v>
        <stp/>
        <stp>BDP|18001919194302070479|22</stp>
        <stp>AMZN US 12/18/26 P180 Equity</stp>
        <stp>DELTA_MID_RT</stp>
        <tr r="W96" s="89"/>
      </tp>
      <tp>
        <v>4.8499999999999996</v>
        <stp/>
        <stp>BDP|9604112188718859926|22</stp>
        <stp>NVDA US 03/20/26 C200 Equity</stp>
        <stp>bid</stp>
        <tr r="K13" s="89"/>
        <tr r="P21" s="2"/>
      </tp>
      <tp>
        <v>9.3800000000000008</v>
        <stp/>
        <stp>BDP|3678808639218715288|22</stp>
        <stp>AMZN US 07/17/26 P180 Equity</stp>
        <stp>mid</stp>
        <tr r="L5" s="2"/>
      </tp>
      <tp>
        <v>0.12</v>
        <stp/>
        <stp>BDP|8600931655594281031|22</stp>
        <stp>CSCO US 04/17/26 C100 Equity</stp>
        <stp>ask</stp>
        <tr r="Q10" s="2"/>
      </tp>
      <tp t="s">
        <v>#N/A Real Time</v>
        <stp/>
        <stp>BDP|2533983096932488351|22</stp>
        <stp>RTYWU5C3 2425 Index</stp>
        <stp>bid</stp>
        <tr r="K52" s="89"/>
      </tp>
      <tp>
        <v>5.835263803601265E-2</v>
        <stp/>
        <stp>BDP|14091170888152008254|22</stp>
        <stp>ASHR US 02/20/26 C35 Equity</stp>
        <stp>DELTA_MID_RT</stp>
        <tr r="AF6" s="2"/>
      </tp>
      <tp>
        <v>0.37</v>
        <stp/>
        <stp>BDP|3134495704994157257|22</stp>
        <stp>CSCO US 07/17/26 C100 Equity</stp>
        <stp>bid</stp>
        <tr r="K20" s="89"/>
        <tr r="P11" s="2"/>
      </tp>
      <tp>
        <v>2.65</v>
        <stp/>
        <stp>BDP|8055695907609897797|22</stp>
        <stp>NVDA US 03/20/26 C210 Equity</stp>
        <stp>bid</stp>
        <tr r="K14" s="89"/>
      </tp>
      <tp>
        <v>0.41200947761535645</v>
        <stp/>
        <stp>BDP|13298101022063198194|22</stp>
        <stp>META US 07/17/26 C700 Equity</stp>
        <stp>DELTA_MID_RT</stp>
        <tr r="W79" s="89"/>
      </tp>
      <tp>
        <v>401.32</v>
        <stp/>
        <stp>BDP|274803756834169207|22</stp>
        <stp>MSFT EQUITY</stp>
        <stp>LAST_PRICE</stp>
        <tr r="C7" s="1"/>
      </tp>
      <tp>
        <v>24787.5</v>
        <stp/>
        <stp>BDP|15202915405080361753|22</stp>
        <stp>NQA index</stp>
        <stp>LAST_PRICE</stp>
        <tr r="AG1" s="1"/>
      </tp>
      <tp>
        <v>-0.27933627367019653</v>
        <stp/>
        <stp>BDP|12625852508096869257|22</stp>
        <stp>NFLX US 05/15/26 P70 Equity</stp>
        <stp>DELTA_MID_RT</stp>
        <tr r="AF19" s="2"/>
      </tp>
      <tp>
        <v>0.61</v>
        <stp/>
        <stp>BDP|2776005219137568435|22</stp>
        <stp>CSCO US 07/17/26 C100 Equity</stp>
        <stp>ask</stp>
        <tr r="L20" s="89"/>
        <tr r="Q11" s="2"/>
      </tp>
      <tp t="s">
        <v>#N/A N/A</v>
        <stp/>
        <stp>BDP|11363970475520540729|22</stp>
        <stp>2OG6P 24750 Index</stp>
        <stp>QUOTED_CURRENCY_REALTIME</stp>
        <tr r="F61" s="89"/>
      </tp>
      <tp t="s">
        <v>USD</v>
        <stp/>
        <stp>BDP|6256704095836032074|22</stp>
        <stp>INTC US 07/17/26 C50 Equity</stp>
        <stp>QUOTED_CURRENCY_REALTIME</stp>
        <tr r="G12" s="2"/>
      </tp>
      <tp>
        <v>-4.7091946005821228E-2</v>
        <stp/>
        <stp>BDP|378959552877824203|22</stp>
        <stp>AMZN US 07/17/26 C240 Equity</stp>
        <stp>theta_mid_rt</stp>
        <tr r="AN4" s="2"/>
      </tp>
      <tp>
        <v>1.42</v>
        <stp/>
        <stp>BDP|5807117732816914686|22</stp>
        <stp>NVDA US 03/20/26 C220 Equity</stp>
        <stp>ask</stp>
        <tr r="Q22" s="2"/>
      </tp>
      <tp>
        <v>0.08</v>
        <stp/>
        <stp>BDP|6891644660652723106|22</stp>
        <stp>CSCO US 04/17/26 C100 Equity</stp>
        <stp>bid</stp>
        <tr r="P10" s="2"/>
      </tp>
      <tp>
        <v>-0.65502607822418213</v>
        <stp/>
        <stp>BDP|6890868382895665167|22</stp>
        <stp>QQQ US 02/20/26 P590 Equity</stp>
        <stp>theta_mid_rt</stp>
        <tr r="AN24" s="2"/>
      </tp>
      <tp>
        <v>10.4</v>
        <stp/>
        <stp>BDP|5246680316890063223|22</stp>
        <stp>NVDA US 05/15/26 C200 Equity</stp>
        <stp>bid</stp>
        <tr r="P20" s="2"/>
      </tp>
      <tp>
        <v>0.4282907247543335</v>
        <stp/>
        <stp>BDP|16985722978677522801|22</stp>
        <stp>AMZN US 12/18/26 C230 Equity</stp>
        <stp>DELTA_MID_RT</stp>
        <tr r="W95" s="89"/>
      </tp>
      <tp>
        <v>23.9</v>
        <stp/>
        <stp>BDP|3590605343208203473|22</stp>
        <stp>META US 07/17/26 C750 Equity</stp>
        <stp>ask</stp>
        <tr r="Q15" s="2"/>
      </tp>
      <tp>
        <v>0.25</v>
        <stp/>
        <stp>BDP|1884526111144918673|22</stp>
        <stp>LITE US 02/20/26 C690 Equity</stp>
        <stp>bid</stp>
        <tr r="K7" s="89"/>
      </tp>
      <tp t="s">
        <v>#N/A Requesting Data...3350704996</v>
        <stp/>
        <stp>BDP|17013938858517156635</stp>
        <tr r="AR12" s="2"/>
      </tp>
      <tp t="s">
        <v>#N/A Requesting Data...3681386872</v>
        <stp/>
        <stp>BDP|10279292815169732005</stp>
        <tr r="AG24" s="1"/>
      </tp>
      <tp t="s">
        <v>#N/A Requesting Data...3480544823</v>
        <stp/>
        <stp>BDP|15582332073698885344</stp>
        <tr r="G19" s="446"/>
      </tp>
      <tp t="s">
        <v>#N/A Requesting Data...3756545056</v>
        <stp/>
        <stp>BDP|18146375769712507536</stp>
        <tr r="E2" s="1"/>
      </tp>
      <tp t="s">
        <v>#N/A Requesting Data...3303083157</v>
        <stp/>
        <stp>BDP|13242021194324911410</stp>
        <tr r="Q11" s="338"/>
      </tp>
      <tp t="s">
        <v>#N/A Requesting Data...3674989757</v>
        <stp/>
        <stp>BDP|10639276692284852548</stp>
        <tr r="F28" s="446"/>
      </tp>
      <tp t="s">
        <v>#N/A Requesting Data...3533033357</v>
        <stp/>
        <stp>BDP|13787613079740634862</stp>
        <tr r="C11" s="2"/>
      </tp>
      <tp t="s">
        <v>#N/A Requesting Data...3857706309</v>
        <stp/>
        <stp>BDP|16988359206909621622</stp>
        <tr r="AB16" s="1"/>
        <tr r="AB17" s="1"/>
      </tp>
      <tp t="s">
        <v>#N/A Requesting Data...3080615056</v>
        <stp/>
        <stp>BDP|10749518787913680498</stp>
        <tr r="G41" s="446"/>
      </tp>
      <tp t="s">
        <v>#N/A Requesting Data...2812515106</v>
        <stp/>
        <stp>BDP|18200647556593243237</stp>
        <tr r="AG27" s="1"/>
      </tp>
      <tp t="s">
        <v>#N/A Requesting Data...3074143623</v>
        <stp/>
        <stp>BDP|10145867011121078252</stp>
        <tr r="E79" s="89"/>
      </tp>
      <tp t="s">
        <v>#N/A N/A</v>
        <stp/>
        <stp>BDP|12363723043083315837</stp>
        <tr r="R68" s="89"/>
      </tp>
      <tp t="s">
        <v>#N/A Requesting Data...4277546690</v>
        <stp/>
        <stp>BDP|11086842551085825384</stp>
        <tr r="D14" s="2"/>
      </tp>
      <tp t="s">
        <v>#N/A Requesting Data...3602195273</v>
        <stp/>
        <stp>BDP|16761382649589718257</stp>
        <tr r="F27" s="446"/>
      </tp>
      <tp t="s">
        <v>#N/A Requesting Data...2855388078</v>
        <stp/>
        <stp>BDP|10560430593062313514</stp>
        <tr r="AG43" s="1"/>
      </tp>
      <tp t="s">
        <v>#N/A Requesting Data...3953200737</v>
        <stp/>
        <stp>BDP|13546818454494181070</stp>
        <tr r="AC43" s="1"/>
      </tp>
      <tp>
        <v>0.52849560976028442</v>
        <stp/>
        <stp>BDP|11754717216942473893|22</stp>
        <stp>INTC US 07/17/26 C50 Equity</stp>
        <stp>DELTA_MID_RT</stp>
        <tr r="AF12" s="2"/>
      </tp>
      <tp>
        <v>17.55</v>
        <stp/>
        <stp>BDP|4848057208047863265|22</stp>
        <stp>AMZN US 12/18/26 C230 Equity</stp>
        <stp>ask</stp>
        <tr r="L95" s="89"/>
      </tp>
      <tp t="s">
        <v>#N/A Requesting Data...2949828321</v>
        <stp/>
        <stp>BDP|14708527546846978837</stp>
        <tr r="F22" s="446"/>
      </tp>
      <tp t="s">
        <v>#N/A Requesting Data...3487830698</v>
        <stp/>
        <stp>BDP|17382508591454336498</stp>
        <tr r="F10" s="446"/>
      </tp>
      <tp t="s">
        <v>#N/A Requesting Data...3961851327</v>
        <stp/>
        <stp>BDP|17953939637996030051</stp>
        <tr r="AI25" s="1"/>
      </tp>
      <tp t="s">
        <v>#N/A Requesting Data...3320295914</v>
        <stp/>
        <stp>BDP|15393992280169008616</stp>
        <tr r="F24" s="446"/>
      </tp>
      <tp t="s">
        <v>#N/A Requesting Data...3944805144</v>
        <stp/>
        <stp>BDP|10256865635189905931</stp>
        <tr r="D26" s="446"/>
        <tr r="AC19" s="1"/>
      </tp>
      <tp t="s">
        <v>#N/A Requesting Data...3084009442</v>
        <stp/>
        <stp>BDP|10232111098733952085</stp>
        <tr r="AD13" s="2"/>
      </tp>
      <tp t="s">
        <v>#N/A Requesting Data...2826177789</v>
        <stp/>
        <stp>BDP|17408802988725227915</stp>
        <tr r="AA62" s="89"/>
        <tr r="Z62" s="89"/>
      </tp>
      <tp t="s">
        <v>#N/A N/A</v>
        <stp/>
        <stp>BDP|15319109960459527098</stp>
        <tr r="AC20" s="2"/>
        <tr r="AC21" s="2"/>
        <tr r="AC22" s="2"/>
      </tp>
      <tp t="s">
        <v>#N/A Requesting Data...2803357781</v>
        <stp/>
        <stp>BDP|10551883911794361618</stp>
        <tr r="AD25" s="2"/>
      </tp>
      <tp t="s">
        <v>#N/A Requesting Data...3203883475</v>
        <stp/>
        <stp>BDP|12625403616855824991</stp>
        <tr r="F15" s="446"/>
        <tr r="AB54" s="1"/>
      </tp>
      <tp t="s">
        <v>#N/A Requesting Data...3961416158</v>
        <stp/>
        <stp>BDP|12782377356916696900</stp>
        <tr r="C23" s="2"/>
      </tp>
      <tp t="s">
        <v>#N/A Requesting Data...2970473961</v>
        <stp/>
        <stp>BDP|14527795898659500813</stp>
        <tr r="T36" s="89"/>
      </tp>
      <tp t="s">
        <v>#N/A Requesting Data...2993851801</v>
        <stp/>
        <stp>BDP|10884990929338192894</stp>
        <tr r="K26" s="1"/>
      </tp>
      <tp t="s">
        <v>#N/A Requesting Data...3186616004</v>
        <stp/>
        <stp>BDP|14715903021237576311</stp>
        <tr r="AR24" s="2"/>
      </tp>
      <tp t="s">
        <v>#N/A Requesting Data...3331190110</v>
        <stp/>
        <stp>BDP|10865582194811567656</stp>
        <tr r="C78" s="89"/>
      </tp>
      <tp t="s">
        <v>#N/A Requesting Data...4209040081</v>
        <stp/>
        <stp>BDP|15688519024610633913</stp>
        <tr r="C12" s="2"/>
      </tp>
      <tp t="s">
        <v>#N/A Requesting Data...3304570877</v>
        <stp/>
        <stp>BDP|14191329787186449279</stp>
        <tr r="E96" s="89"/>
      </tp>
      <tp t="s">
        <v>#N/A Requesting Data...4029956392</v>
        <stp/>
        <stp>BDP|16354487536428919237</stp>
        <tr r="P12" s="338"/>
      </tp>
      <tp t="s">
        <v>#N/A Requesting Data...3459493200</v>
        <stp/>
        <stp>BDP|16382697175628205742</stp>
        <tr r="K2" s="2"/>
        <tr r="J1" s="24"/>
      </tp>
      <tp t="s">
        <v>#N/A Requesting Data...4172223600</v>
        <stp/>
        <stp>BDP|12568958234819466988</stp>
        <tr r="AI21" s="1"/>
      </tp>
      <tp t="s">
        <v>#N/A Requesting Data...3974304399</v>
        <stp/>
        <stp>BDP|14534507482414865574</stp>
        <tr r="AF52" s="1"/>
        <tr r="AF53" s="1"/>
      </tp>
      <tp t="s">
        <v>#N/A Requesting Data...3368748253</v>
        <stp/>
        <stp>BDP|17730399697900202503</stp>
        <tr r="AF44" s="1"/>
        <tr r="AF45" s="1"/>
      </tp>
      <tp t="s">
        <v>#N/A Requesting Data...3721871916</v>
        <stp/>
        <stp>BDP|11826078532009062376</stp>
        <tr r="K39" s="1"/>
      </tp>
      <tp t="s">
        <v>#N/A Requesting Data...3030268242</v>
        <stp/>
        <stp>BDP|16441706496850628092</stp>
        <tr r="AF27" s="1"/>
      </tp>
      <tp t="s">
        <v>#N/A Requesting Data...4094845033</v>
        <stp/>
        <stp>BDP|15520986271344702744</stp>
        <tr r="C14" s="2"/>
      </tp>
      <tp t="s">
        <v>#N/A Requesting Data...4265260473</v>
        <stp/>
        <stp>BDP|15994141085646062260</stp>
        <tr r="AA7" s="2"/>
      </tp>
      <tp t="s">
        <v>#N/A Requesting Data...3703470360</v>
        <stp/>
        <stp>BDP|18355353104331140221</stp>
        <tr r="E6" s="1"/>
      </tp>
      <tp t="s">
        <v>#N/A Requesting Data...3846273342</v>
        <stp/>
        <stp>BDP|15808701373659965426</stp>
        <tr r="J5" s="1"/>
      </tp>
      <tp t="s">
        <v>#N/A Requesting Data...4139211046</v>
        <stp/>
        <stp>BDP|17523597308322350848</stp>
        <tr r="D26" s="2"/>
      </tp>
      <tp t="s">
        <v>#N/A Requesting Data...4061021687</v>
        <stp/>
        <stp>BDP|10984584463823555844</stp>
        <tr r="D9" s="2"/>
      </tp>
      <tp t="s">
        <v>#N/A Requesting Data...4183130001</v>
        <stp/>
        <stp>BDP|14077436120512876887</stp>
        <tr r="AH11" s="338"/>
      </tp>
      <tp t="s">
        <v>#N/A Requesting Data...3265353537</v>
        <stp/>
        <stp>BDP|14890753286422716196</stp>
        <tr r="E95" s="89"/>
      </tp>
      <tp t="s">
        <v>#N/A Requesting Data...2786868857</v>
        <stp/>
        <stp>BDP|18192387429696295769</stp>
        <tr r="D20" s="89"/>
      </tp>
      <tp t="s">
        <v>#N/A Requesting Data...2707451612</v>
        <stp/>
        <stp>BDP|11209184266078842639</stp>
        <tr r="AC18" s="1"/>
      </tp>
      <tp t="s">
        <v>#N/A Requesting Data...4127656462</v>
        <stp/>
        <stp>BDP|14264052336898754717</stp>
        <tr r="T79" s="89"/>
      </tp>
      <tp t="s">
        <v>#N/A Requesting Data...3063892598</v>
        <stp/>
        <stp>BDP|13336734141819516127</stp>
        <tr r="C37" s="89"/>
      </tp>
      <tp t="e">
        <v>#N/A</v>
        <stp/>
        <stp>BDH|11142964114241787004</stp>
        <tr r="AN8" s="338"/>
      </tp>
      <tp t="e">
        <v>#N/A</v>
        <stp/>
        <stp>BDH|16510329064548863300</stp>
        <tr r="AN10" s="338"/>
      </tp>
      <tp>
        <v>0.40252652764320374</v>
        <stp/>
        <stp>BDP|10080332628046700882|22</stp>
        <stp>NVDA US 05/15/26 C200 Equity</stp>
        <stp>DELTA_MID_RT</stp>
        <tr r="AF20" s="2"/>
      </tp>
      <tp>
        <v>6.25</v>
        <stp/>
        <stp>BDP|9104155785178681261|22</stp>
        <stp>AMZN US 07/17/26 C240 Equity</stp>
        <stp>mid</stp>
        <tr r="L4" s="2"/>
      </tp>
      <tp t="s">
        <v>#N/A Requesting Data...2813309424</v>
        <stp/>
        <stp>BDP|14228839741476914704</stp>
        <tr r="AF55" s="1"/>
      </tp>
      <tp t="s">
        <v>#N/A Requesting Data...2886022751</v>
        <stp/>
        <stp>BDP|10379287684220430311</stp>
        <tr r="F6" s="2"/>
      </tp>
      <tp t="s">
        <v>#N/A Requesting Data...2795948884</v>
        <stp/>
        <stp>BDP|15959271808308527692</stp>
        <tr r="V79" s="89"/>
      </tp>
      <tp t="s">
        <v>#N/A Requesting Data...3947615601</v>
        <stp/>
        <stp>BDP|15503790003338181325</stp>
        <tr r="AA18" s="2"/>
      </tp>
      <tp t="s">
        <v>#N/A Requesting Data...3887940363</v>
        <stp/>
        <stp>BDP|10372265847399603683</stp>
        <tr r="V20" s="89"/>
        <tr r="AD11" s="2"/>
      </tp>
      <tp t="s">
        <v>#N/A Requesting Data...3699875301</v>
        <stp/>
        <stp>BDP|16116625899439695927</stp>
        <tr r="AD7" s="2"/>
      </tp>
      <tp t="s">
        <v>#N/A Requesting Data...3523121744</v>
        <stp/>
        <stp>BDP|12166611894806857226</stp>
        <tr r="Z31" s="89"/>
        <tr r="AA31" s="89"/>
      </tp>
      <tp t="s">
        <v>#N/A Requesting Data...3051869293</v>
        <stp/>
        <stp>BDP|15913509287530529158</stp>
        <tr r="AF46" s="1"/>
      </tp>
      <tp t="s">
        <v>#N/A Requesting Data...4174608905</v>
        <stp/>
        <stp>BDP|11152961412634383463</stp>
        <tr r="T24" s="2"/>
      </tp>
      <tp t="s">
        <v>#N/A Requesting Data...3693929248</v>
        <stp/>
        <stp>BDP|18279909896309755834</stp>
        <tr r="AG14" s="1"/>
      </tp>
      <tp t="s">
        <v>#N/A Requesting Data...3926153028</v>
        <stp/>
        <stp>BDP|12571041380342291138</stp>
        <tr r="F34" s="446"/>
      </tp>
      <tp t="s">
        <v>#N/A Requesting Data...4131823694</v>
        <stp/>
        <stp>BDP|14378960337990766762</stp>
        <tr r="K30" s="1"/>
      </tp>
      <tp t="s">
        <v>#N/A N/A</v>
        <stp/>
        <stp>BDP|18294824894201725105</stp>
        <tr r="AC12" s="2"/>
      </tp>
      <tp t="s">
        <v>#N/A Requesting Data...3706633086</v>
        <stp/>
        <stp>BDP|16648478878978208488</stp>
        <tr r="O43" s="89"/>
        <tr r="O44" s="89"/>
        <tr r="O86" s="89"/>
        <tr r="O87" s="89"/>
      </tp>
      <tp t="s">
        <v>#N/A Requesting Data...4249609769</v>
        <stp/>
        <stp>BDP|18096821285957052647</stp>
        <tr r="F18" s="446"/>
      </tp>
      <tp t="s">
        <v>#N/A Requesting Data...3225560094</v>
        <stp/>
        <stp>BDP|12912684483811638411</stp>
        <tr r="L23" s="1"/>
        <tr r="L24" s="1"/>
        <tr r="L25" s="1"/>
        <tr r="L26" s="1"/>
      </tp>
      <tp t="s">
        <v>#N/A Requesting Data...3695521618</v>
        <stp/>
        <stp>BDP|16080473360335288805</stp>
        <tr r="AF19" s="1"/>
        <tr r="AF9" s="338"/>
      </tp>
      <tp t="s">
        <v>#N/A Requesting Data...3502959799</v>
        <stp/>
        <stp>BDP|10266278304482033950</stp>
        <tr r="AR17" s="2"/>
      </tp>
      <tp t="s">
        <v>#N/A Requesting Data...3337473740</v>
        <stp/>
        <stp>BDP|18082660766744672526</stp>
        <tr r="X10" s="338"/>
      </tp>
      <tp t="s">
        <v>#N/A Requesting Data...3232381243</v>
        <stp/>
        <stp>BDP|11523137995870593029</stp>
        <tr r="V96" s="89"/>
      </tp>
      <tp t="s">
        <v>#N/A Requesting Data...3421712760</v>
        <stp/>
        <stp>BDP|12667151992105767617</stp>
        <tr r="E94" s="89"/>
      </tp>
      <tp t="s">
        <v>USD</v>
        <stp/>
        <stp>BDP|5285470303739995294|22</stp>
        <stp>CSCO US 07/17/26 C95 Equity</stp>
        <stp>QUOTED_CURRENCY_REALTIME</stp>
        <tr r="F19" s="89"/>
      </tp>
      <tp>
        <v>4.0999999999999996</v>
        <stp/>
        <stp>BDP|7956679718482049249|22</stp>
        <stp>LITE US 02/20/26 C680 Equity</stp>
        <stp>ask</stp>
        <tr r="L8" s="89"/>
      </tp>
      <tp>
        <v>6.2</v>
        <stp/>
        <stp>BDP|5835390435891478673|22</stp>
        <stp>AMZN US 07/17/26 C240 Equity</stp>
        <stp>bid</stp>
        <tr r="K103" s="89"/>
        <tr r="P4" s="2"/>
      </tp>
      <tp>
        <v>1.2</v>
        <stp/>
        <stp>BDP|3157958502139968082|22</stp>
        <stp>LITE US 02/20/26 C680 Equity</stp>
        <stp>bid</stp>
        <tr r="K8" s="89"/>
      </tp>
      <tp t="s">
        <v>#N/A Requesting Data...3634699898</v>
        <stp/>
        <stp>BDP|15816931278674113197</stp>
        <tr r="C6" s="2"/>
      </tp>
      <tp t="s">
        <v>#N/A Requesting Data...3560593072</v>
        <stp/>
        <stp>BDP|15466705637537159880</stp>
        <tr r="AF12" s="1"/>
      </tp>
      <tp t="s">
        <v>#N/A Requesting Data...2784132150</v>
        <stp/>
        <stp>BDP|11861498416348360286</stp>
        <tr r="AF47" s="1"/>
      </tp>
      <tp t="s">
        <v>#N/A Requesting Data...3124323448</v>
        <stp/>
        <stp>BDP|15724899473817422353</stp>
        <tr r="O13" s="89"/>
        <tr r="T21" s="2"/>
      </tp>
      <tp t="s">
        <v>#N/A Requesting Data...3004592146</v>
        <stp/>
        <stp>BDP|11575592951459437656</stp>
        <tr r="E22" s="2"/>
      </tp>
      <tp t="s">
        <v>#N/A Requesting Data...3576293540</v>
        <stp/>
        <stp>BDP|14902852357240652727</stp>
        <tr r="J1" s="1"/>
      </tp>
      <tp t="s">
        <v>#N/A Requesting Data...3986063884</v>
        <stp/>
        <stp>BDP|17255225148738161764</stp>
        <tr r="E15" s="2"/>
      </tp>
      <tp t="s">
        <v>#N/A Requesting Data...2967730029</v>
        <stp/>
        <stp>BDP|11004855748816491574</stp>
        <tr r="AA53" s="89"/>
        <tr r="Z53" s="89"/>
      </tp>
      <tp t="s">
        <v>#N/A Requesting Data...3362748908</v>
        <stp/>
        <stp>BDP|11997978075061334095</stp>
        <tr r="AG38" s="1"/>
      </tp>
      <tp t="s">
        <v>#N/A Requesting Data...3613649591</v>
        <stp/>
        <stp>BDP|14026845325197194708</stp>
        <tr r="AB22" s="1"/>
      </tp>
      <tp t="s">
        <v>#N/A Requesting Data...3683876872</v>
        <stp/>
        <stp>BDP|10959915758722387039</stp>
        <tr r="AR21" s="2"/>
      </tp>
      <tp t="s">
        <v>#N/A Requesting Data...2818214757</v>
        <stp/>
        <stp>BDP|15662606014445331913</stp>
        <tr r="E14" s="2"/>
      </tp>
      <tp t="s">
        <v>#N/A Requesting Data...2777850635</v>
        <stp/>
        <stp>BDP|16505540697484330075</stp>
        <tr r="T14" s="89"/>
      </tp>
      <tp t="s">
        <v>#N/A Requesting Data...3578767034</v>
        <stp/>
        <stp>BDP|12293130266649152236</stp>
        <tr r="AC16" s="1"/>
        <tr r="AC17" s="1"/>
      </tp>
      <tp t="s">
        <v>#N/A Requesting Data...3386737539</v>
        <stp/>
        <stp>BDP|12254931781748441511</stp>
        <tr r="AA6" s="2"/>
      </tp>
      <tp t="s">
        <v>#N/A Requesting Data...3346448179</v>
        <stp/>
        <stp>BDP|16747972762296741126</stp>
        <tr r="AF22" s="1"/>
      </tp>
      <tp t="s">
        <v>#N/A Requesting Data...3577448924</v>
        <stp/>
        <stp>BDP|11380026222574540903</stp>
        <tr r="F4" s="2"/>
      </tp>
      <tp t="s">
        <v>#N/A Requesting Data...4274330296</v>
        <stp/>
        <stp>BDP|16966852497278566182</stp>
        <tr r="J6" s="1"/>
      </tp>
      <tp t="s">
        <v>#N/A Requesting Data...2970368675</v>
        <stp/>
        <stp>BDP|17125127792252061376</stp>
        <tr r="V7" s="89"/>
      </tp>
      <tp t="s">
        <v>#N/A Requesting Data...3951336191</v>
        <stp/>
        <stp>BDP|10985939920197573292</stp>
        <tr r="V30" s="89"/>
      </tp>
      <tp>
        <v>0.48298808932304382</v>
        <stp/>
        <stp>BDP|18110796337974702583|22</stp>
        <stp>AVGO US 06/18/26 C350 Equity</stp>
        <stp>DELTA_MID_RT</stp>
        <tr r="AF8" s="2"/>
      </tp>
      <tp>
        <v>89.2</v>
        <stp/>
        <stp>BDP|5001717955705267450|22</stp>
        <stp>LITE US 06/18/26 C720 Equity</stp>
        <stp>bid</stp>
        <tr r="P14" s="2"/>
      </tp>
      <tp t="s">
        <v>#N/A Requesting Data...3745505757</v>
        <stp/>
        <stp>BDP|14736502366221001988</stp>
        <tr r="AG20" s="1"/>
      </tp>
      <tp t="s">
        <v>#N/A Requesting Data...3305707716</v>
        <stp/>
        <stp>BDP|15951677892556593302</stp>
        <tr r="AA10" s="2"/>
      </tp>
      <tp t="s">
        <v>#N/A Requesting Data...2931429438</v>
        <stp/>
        <stp>BDP|13719327490656774082</stp>
        <tr r="K35" s="1"/>
      </tp>
      <tp t="s">
        <v>#N/A Requesting Data...3175532200</v>
        <stp/>
        <stp>BDP|12067346968488625077</stp>
        <tr r="N9" s="1"/>
      </tp>
      <tp t="s">
        <v>#N/A Requesting Data...3038628924</v>
        <stp/>
        <stp>BDP|18091452871706919222</stp>
        <tr r="AC27" s="1"/>
      </tp>
      <tp t="s">
        <v>#N/A Requesting Data...2866796092</v>
        <stp/>
        <stp>BDP|10458872348380612322</stp>
        <tr r="D32" s="446"/>
      </tp>
      <tp t="s">
        <v>#N/A Requesting Data...2832876396</v>
        <stp/>
        <stp>BDP|11607763991426641696</stp>
        <tr r="O88" s="89"/>
      </tp>
      <tp t="s">
        <v>#N/A Requesting Data...3983289616</v>
        <stp/>
        <stp>BDP|12446616610012704839</stp>
        <tr r="AF14" s="1"/>
      </tp>
      <tp t="s">
        <v>#N/A Requesting Data...4111291589</v>
        <stp/>
        <stp>BDP|12917284443828342304</stp>
        <tr r="AC52" s="1"/>
        <tr r="AC53" s="1"/>
      </tp>
      <tp t="s">
        <v>#N/A Requesting Data...3597151920</v>
        <stp/>
        <stp>BDP|15520885965692162698</stp>
        <tr r="P11" s="338"/>
      </tp>
      <tp t="s">
        <v>#N/A Requesting Data...3263900790</v>
        <stp/>
        <stp>BDP|18411820983824502305</stp>
        <tr r="E9" s="1"/>
      </tp>
      <tp t="s">
        <v>#N/A Requesting Data...3218340614</v>
        <stp/>
        <stp>BDP|14116642911908550426</stp>
        <tr r="AI23" s="1"/>
      </tp>
      <tp t="s">
        <v>#N/A Requesting Data...3523807435</v>
        <stp/>
        <stp>BDP|15088949515073653147</stp>
        <tr r="AI22" s="1"/>
      </tp>
      <tp t="s">
        <v>#N/A N/A</v>
        <stp/>
        <stp>BDP|13400157600295352875</stp>
        <tr r="AQ6" s="2"/>
        <tr r="AQ7" s="2"/>
      </tp>
      <tp t="s">
        <v>#N/A Requesting Data...3668210909</v>
        <stp/>
        <stp>BDP|10282731194108712961</stp>
        <tr r="X8" s="338"/>
      </tp>
      <tp t="s">
        <v>#N/A Requesting Data...3324540158</v>
        <stp/>
        <stp>BDP|11825565969849644458</stp>
        <tr r="G26" s="446"/>
      </tp>
      <tp t="s">
        <v>#N/A Requesting Data...3341465474</v>
        <stp/>
        <stp>BDP|15847969359184061200</stp>
        <tr r="C8" s="89"/>
      </tp>
      <tp t="s">
        <v>#N/A Requesting Data...4276493443</v>
        <stp/>
        <stp>BDP|10754652992714129477</stp>
        <tr r="E78" s="89"/>
      </tp>
      <tp t="s">
        <v>#N/A Requesting Data...2796878450</v>
        <stp/>
        <stp>BDP|13743925468151835237</stp>
        <tr r="AF54" s="1"/>
      </tp>
      <tp t="s">
        <v>USD</v>
        <stp/>
        <stp>BDP|9800175734147310091|22</stp>
        <stp>NFLX US 05/15/26 P70 Equity</stp>
        <stp>QUOTED_CURRENCY_REALTIME</stp>
        <tr r="G19" s="2"/>
      </tp>
      <tp t="s">
        <v>#N/A Invalid Security</v>
        <stp/>
        <stp>BDP|2907514069336957102|22</stp>
        <stp xml:space="preserve"> Index</stp>
        <stp>DELTA_MID_RT</stp>
        <tr r="W62" s="89"/>
      </tp>
      <tp t="s">
        <v>#N/A Requesting Data...3030333256</v>
        <stp/>
        <stp>BDP|17197269406560960918</stp>
        <tr r="AR10" s="2"/>
      </tp>
      <tp t="s">
        <v>#N/A Requesting Data...3087417607</v>
        <stp/>
        <stp>BDP|14151613796081423680</stp>
        <tr r="AI14" s="1"/>
      </tp>
      <tp t="s">
        <v>#N/A Requesting Data...2804852236</v>
        <stp/>
        <stp>BDP|17371945099602318909</stp>
        <tr r="T26" s="2"/>
      </tp>
      <tp t="s">
        <v>#N/A Requesting Data...3326499726</v>
        <stp/>
        <stp>BDP|11028786820390522815</stp>
        <tr r="AK10" s="338"/>
        <tr r="AK11" s="338"/>
        <tr r="AK12" s="338"/>
      </tp>
      <tp t="s">
        <v>#N/A Requesting Data...3487892823</v>
        <stp/>
        <stp>BDP|15549933334837718499</stp>
        <tr r="AJ12" s="338"/>
      </tp>
      <tp t="s">
        <v>#N/A Requesting Data...4090273982</v>
        <stp/>
        <stp>BDP|13021422978704305879</stp>
        <tr r="F33" s="446"/>
      </tp>
      <tp t="s">
        <v>#N/A N/A</v>
        <stp/>
        <stp>BDP|16521478898015424206</stp>
        <tr r="R77" s="89"/>
        <tr r="R79" s="89"/>
        <tr r="R88" s="89"/>
        <tr r="AV15" s="2"/>
        <tr r="R78" s="89"/>
      </tp>
      <tp t="s">
        <v>#N/A Requesting Data...3139700438</v>
        <stp/>
        <stp>BDP|16877024025140252836</stp>
        <tr r="F37" s="446"/>
      </tp>
      <tp t="s">
        <v>#N/A Requesting Data...4153588725</v>
        <stp/>
        <stp>BDP|13386868725006218333</stp>
        <tr r="O14" s="89"/>
      </tp>
      <tp t="s">
        <v>#N/A Requesting Data...3101592224</v>
        <stp/>
        <stp>BDP|10281815271105854697</stp>
        <tr r="K33" s="1"/>
      </tp>
      <tp t="s">
        <v>#N/A Requesting Data...2854334985</v>
        <stp/>
        <stp>BDP|17431748397947127250</stp>
        <tr r="AG39" s="1"/>
        <tr r="AG40" s="1"/>
      </tp>
      <tp t="s">
        <v>#N/A Requesting Data...4137731047</v>
        <stp/>
        <stp>BDP|17099824656111736713</stp>
        <tr r="AA96" s="89"/>
        <tr r="Z96" s="89"/>
      </tp>
      <tp t="s">
        <v>#N/A Requesting Data...4079746475</v>
        <stp/>
        <stp>BDP|14508373378954970866</stp>
        <tr r="D18" s="2"/>
      </tp>
      <tp t="s">
        <v>#N/A Requesting Data...3328336895</v>
        <stp/>
        <stp>BDP|14259965167551312659</stp>
        <tr r="F20" s="2"/>
      </tp>
      <tp t="s">
        <v>#N/A Requesting Data...3595630899</v>
        <stp/>
        <stp>BDP|14226611576428444145</stp>
        <tr r="E104" s="89"/>
      </tp>
      <tp t="s">
        <v>#N/A Requesting Data...3270917336</v>
        <stp/>
        <stp>BDP|12413850570425657438</stp>
        <tr r="K20" s="1"/>
      </tp>
      <tp t="s">
        <v>#N/A Requesting Data...2834110619</v>
        <stp/>
        <stp>BDP|12603143287034451379</stp>
        <tr r="D27" s="446"/>
      </tp>
      <tp t="s">
        <v>#N/A Requesting Data...2878278366</v>
        <stp/>
        <stp>BDP|10004210412887167840</stp>
        <tr r="D40" s="446"/>
      </tp>
      <tp t="s">
        <v>#N/A Invalid Security</v>
        <stp/>
        <stp>BDP|11076688730849429560|22</stp>
        <stp xml:space="preserve"> Equity</stp>
        <stp>bid</stp>
        <tr r="K87" s="89"/>
        <tr r="K86" s="89"/>
        <tr r="K44" s="89"/>
        <tr r="K43" s="89"/>
        <tr r="P2" s="2"/>
      </tp>
      <tp>
        <v>562.74</v>
        <stp/>
        <stp>BDP|336164456245703188|22</stp>
        <stp>LITE US Equity</stp>
        <stp>LAST_PRICE</stp>
        <tr r="S7" s="89"/>
        <tr r="S8" s="89"/>
        <tr r="Z13" s="2"/>
        <tr r="Z14" s="2"/>
      </tp>
      <tp t="s">
        <v>#N/A Requesting Data...3378807979</v>
        <stp/>
        <stp>BDP|12514485676904256829</stp>
        <tr r="E68" s="89"/>
      </tp>
      <tp t="s">
        <v>#N/A Requesting Data...3787033204</v>
        <stp/>
        <stp>BDP|15414745613426896811</stp>
        <tr r="Z19" s="89"/>
        <tr r="AA19" s="89"/>
      </tp>
      <tp t="s">
        <v>#N/A Requesting Data...3005267011</v>
        <stp/>
        <stp>BDP|13594164286172898577</stp>
        <tr r="K13" s="1"/>
      </tp>
      <tp t="s">
        <v>#N/A Requesting Data...2782718037</v>
        <stp/>
        <stp>BDP|16688954571813116693</stp>
        <tr r="T13" s="89"/>
        <tr r="AA21" s="2"/>
      </tp>
      <tp t="s">
        <v>#N/A Requesting Data...4160669266</v>
        <stp/>
        <stp>BDP|10028687100653384862</stp>
        <tr r="T8" s="2"/>
      </tp>
      <tp t="s">
        <v>#N/A Requesting Data...3195702569</v>
        <stp/>
        <stp>BDP|15843140282036113720</stp>
        <tr r="G22" s="446"/>
      </tp>
      <tp t="s">
        <v>#N/A Requesting Data...3815703129</v>
        <stp/>
        <stp>BDP|11776133033106365882</stp>
        <tr r="E37" s="89"/>
      </tp>
      <tp t="s">
        <v>#N/A Requesting Data...3899074460</v>
        <stp/>
        <stp>BDP|10814833293595079976</stp>
        <tr r="E61" s="89"/>
      </tp>
      <tp t="s">
        <v>#N/A Requesting Data...4270434070</v>
        <stp/>
        <stp>BDP|17319342610009091197</stp>
        <tr r="G27" s="446"/>
      </tp>
      <tp t="s">
        <v>#N/A Requesting Data...3727287717</v>
        <stp/>
        <stp>BDP|11924439292996409721</stp>
        <tr r="AG32" s="1"/>
      </tp>
      <tp t="s">
        <v>#N/A Requesting Data...3175054277</v>
        <stp/>
        <stp>BDP|15203515109285203885</stp>
        <tr r="C103" s="89"/>
        <tr r="D4" s="2"/>
      </tp>
      <tp t="s">
        <v>#N/A N/A</v>
        <stp/>
        <stp>BDP|18096474274854136215</stp>
        <tr r="R30" s="89"/>
        <tr r="R36" s="89"/>
        <tr r="R37" s="89"/>
        <tr r="AV23" s="2"/>
        <tr r="AV24" s="2"/>
        <tr r="AV25" s="2"/>
        <tr r="AV26" s="2"/>
        <tr r="R31" s="89"/>
      </tp>
      <tp t="s">
        <v>#N/A Requesting Data...4203884471</v>
        <stp/>
        <stp>BDP|10338895846711825060</stp>
        <tr r="Z20" s="89"/>
        <tr r="AA20" s="89"/>
      </tp>
      <tp t="s">
        <v>#N/A Requesting Data...4168535714</v>
        <stp/>
        <stp>BDP|11804015925529096782</stp>
        <tr r="AI48" s="1"/>
      </tp>
      <tp t="s">
        <v>#N/A Requesting Data...3492503394</v>
        <stp/>
        <stp>BDP|18134613475974825091</stp>
        <tr r="AA13" s="2"/>
      </tp>
      <tp t="s">
        <v>#N/A Requesting Data...4160349292</v>
        <stp/>
        <stp>BDP|10476670090364142661</stp>
        <tr r="K19" s="1"/>
      </tp>
      <tp t="s">
        <v>#N/A Requesting Data...3574990645</v>
        <stp/>
        <stp>BDP|14574759861540790819</stp>
        <tr r="S10" s="338"/>
      </tp>
      <tp t="s">
        <v>#N/A Requesting Data...4112325674</v>
        <stp/>
        <stp>BDP|11934537446469823426</stp>
        <tr r="E20" s="2"/>
      </tp>
      <tp>
        <v>601.91999999999996</v>
        <stp/>
        <stp>BDP|8629289523220789997|22</stp>
        <stp>QQQ Equity</stp>
        <stp>LAST PRICE</stp>
        <tr r="I9" s="338"/>
      </tp>
      <tp>
        <v>38.299999999999997</v>
        <stp/>
        <stp>BDP|4911432985148125573|22</stp>
        <stp>META US 07/17/26 C700 Equity</stp>
        <stp>ask</stp>
        <tr r="L79" s="89"/>
      </tp>
      <tp t="s">
        <v>#N/A Requesting Data...3723831843</v>
        <stp/>
        <stp>BDP|12479552531952149481</stp>
        <tr r="C21" s="2"/>
      </tp>
      <tp t="s">
        <v>#N/A Requesting Data...4018328209</v>
        <stp/>
        <stp>BDP|12339741374220877028</stp>
        <tr r="F21" s="446"/>
      </tp>
      <tp t="s">
        <v>#N/A Requesting Data...4159427913</v>
        <stp/>
        <stp>BDP|15108137503044913212</stp>
        <tr r="T78" s="89"/>
      </tp>
      <tp t="s">
        <v>#N/A Requesting Data...3181541232</v>
        <stp/>
        <stp>BDP|11490202904425845435</stp>
        <tr r="D105" s="89"/>
      </tp>
      <tp t="s">
        <v>#N/A Requesting Data...3806926018</v>
        <stp/>
        <stp>BDP|17283166759686510739</stp>
        <tr r="AA24" s="2"/>
      </tp>
      <tp t="s">
        <v>#N/A Requesting Data...4206752556</v>
        <stp/>
        <stp>BDP|12832425312094016130</stp>
        <tr r="D20" s="2"/>
      </tp>
      <tp t="s">
        <v>#N/A Requesting Data...3700828633</v>
        <stp/>
        <stp>BDP|16848172745796591757</stp>
        <tr r="J9" s="1"/>
      </tp>
      <tp t="s">
        <v>#N/A Requesting Data...3793438256</v>
        <stp/>
        <stp>BDP|16562634359111464613</stp>
        <tr r="AR19" s="2"/>
      </tp>
      <tp t="s">
        <v>#N/A Requesting Data...3567111381</v>
        <stp/>
        <stp>BDP|12394829048358209468</stp>
        <tr r="AR18" s="2"/>
      </tp>
      <tp t="s">
        <v>#N/A Requesting Data...3700146413</v>
        <stp/>
        <stp>BDP|15571587832455231410</stp>
        <tr r="AC25" s="1"/>
      </tp>
      <tp t="s">
        <v>#N/A Requesting Data...2887688079</v>
        <stp/>
        <stp>BDP|12274481806484777070</stp>
        <tr r="J4" s="1"/>
      </tp>
      <tp t="s">
        <v>#N/A Requesting Data...2875857990</v>
        <stp/>
        <stp>BDP|13522017112801049192</stp>
        <tr r="E8" s="89"/>
      </tp>
      <tp t="s">
        <v>#N/A Requesting Data...3714806821</v>
        <stp/>
        <stp>BDP|17837162092485093832</stp>
        <tr r="E21" s="2"/>
      </tp>
      <tp t="s">
        <v>#N/A Requesting Data...4161874592</v>
        <stp/>
        <stp>BDP|17216633965664243193</stp>
        <tr r="L10" s="338"/>
        <tr r="L11" s="338"/>
        <tr r="L12" s="338"/>
        <tr r="J10" s="338"/>
        <tr r="J12" s="338"/>
        <tr r="J11" s="338"/>
      </tp>
      <tp t="s">
        <v>#N/A Requesting Data...3658897432</v>
        <stp/>
        <stp>BDP|16719292853193179031</stp>
        <tr r="T27" s="2"/>
      </tp>
      <tp t="s">
        <v>#N/A Requesting Data...3792999296</v>
        <stp/>
        <stp>BDP|13150872693841225199</stp>
        <tr r="AR20" s="2"/>
      </tp>
      <tp t="s">
        <v>#N/A Requesting Data...2978886659</v>
        <stp/>
        <stp>BDP|13283561452487447630</stp>
        <tr r="AI44" s="1"/>
        <tr r="AI45" s="1"/>
      </tp>
      <tp t="s">
        <v>#N/A Requesting Data...2955998498</v>
        <stp/>
        <stp>BDP|13698454327306550105</stp>
        <tr r="T88" s="89"/>
      </tp>
      <tp t="s">
        <v>#N/A Requesting Data...3485640925</v>
        <stp/>
        <stp>BDP|17950909593432390797</stp>
        <tr r="G29" s="446"/>
      </tp>
      <tp t="s">
        <v>#N/A N/A</v>
        <stp/>
        <stp>BDP|16665812118984554998</stp>
        <tr r="AC16" s="2"/>
        <tr r="AC17" s="2"/>
      </tp>
      <tp t="s">
        <v>#N/A Requesting Data...3934304444</v>
        <stp/>
        <stp>BDP|11085178061566433205</stp>
        <tr r="F23" s="2"/>
      </tp>
      <tp t="s">
        <v>#N/A Requesting Data...3958357208</v>
        <stp/>
        <stp>BDP|12909617883408150686</stp>
        <tr r="F17" s="446"/>
      </tp>
      <tp t="s">
        <v>#N/A Requesting Data...3141963987</v>
        <stp/>
        <stp>BDP|14907590063523957686</stp>
        <tr r="D39" s="446"/>
      </tp>
      <tp t="s">
        <v>#N/A Requesting Data...3104575838</v>
        <stp/>
        <stp>BDP|15427086549125422631</stp>
        <tr r="F29" s="446"/>
      </tp>
      <tp t="s">
        <v>#N/A Requesting Data...2877768389</v>
        <stp/>
        <stp>BDP|14798833541272440858</stp>
        <tr r="L9" s="338"/>
        <tr r="H9" s="338"/>
      </tp>
      <tp t="s">
        <v>#N/A N/A</v>
        <stp/>
        <stp>BDP|17447943913214573912</stp>
        <tr r="AC28" s="2"/>
        <tr r="AC27" s="2"/>
      </tp>
      <tp t="s">
        <v>#N/A Requesting Data...4075539611</v>
        <stp/>
        <stp>BDP|10540491936722929740</stp>
        <tr r="F13" s="446"/>
      </tp>
      <tp t="s">
        <v>#N/A Requesting Data...3126630378</v>
        <stp/>
        <stp>BDP|12465228967747275351</stp>
        <tr r="F8" s="2"/>
      </tp>
      <tp>
        <v>133.97</v>
        <stp/>
        <stp>BDP|1868269163989593436|22</stp>
        <stp>EWY Equity</stp>
        <stp>LAST_PRICE</stp>
        <tr r="I22" s="1"/>
      </tp>
      <tp>
        <v>8.3000000000000007</v>
        <stp/>
        <stp>BDP|3322764634781769714|22</stp>
        <stp>META US 02/27/26 C660 Equity</stp>
        <stp>ask</stp>
        <tr r="L88" s="89"/>
      </tp>
      <tp t="s">
        <v>#N/A Requesting Data...2984058741</v>
        <stp/>
        <stp>BDP|15895214585768543406</stp>
        <tr r="AB20" s="1"/>
      </tp>
      <tp t="s">
        <v>#N/A Requesting Data...3422108176</v>
        <stp/>
        <stp>BDP|12506693576836787640</stp>
        <tr r="AC20" s="1"/>
      </tp>
      <tp t="s">
        <v>#N/A Requesting Data...3184070254</v>
        <stp/>
        <stp>BDP|10102679327761087681</stp>
        <tr r="E17" s="2"/>
      </tp>
      <tp t="s">
        <v>#N/A N/A</v>
        <stp/>
        <stp>BDP|16916588204673977342</stp>
        <tr r="AB61" s="89"/>
      </tp>
      <tp t="s">
        <v>#N/A Requesting Data...3127488562</v>
        <stp/>
        <stp>BDP|18367520190396877112</stp>
        <tr r="AR5" s="2"/>
      </tp>
      <tp t="s">
        <v>#N/A Requesting Data...4129950426</v>
        <stp/>
        <stp>BDP|12197625641431851271</stp>
        <tr r="D16" s="2"/>
      </tp>
      <tp t="s">
        <v>#N/A Requesting Data...2996994450</v>
        <stp/>
        <stp>BDP|15919437567850131436</stp>
        <tr r="G28" s="446"/>
      </tp>
      <tp t="s">
        <v>#N/A N/A</v>
        <stp/>
        <stp>BDP|12988555714434708108</stp>
        <tr r="AV18" s="2"/>
        <tr r="AV19" s="2"/>
      </tp>
      <tp t="s">
        <v>#N/A Requesting Data...4002130935</v>
        <stp/>
        <stp>BDP|13013981730743016977</stp>
        <tr r="T103" s="89"/>
        <tr r="AA4" s="2"/>
      </tp>
      <tp t="s">
        <v>#N/A Requesting Data...3251522494</v>
        <stp/>
        <stp>BDP|13934642593416417954</stp>
        <tr r="AI56" s="1"/>
        <tr r="AI57" s="1"/>
      </tp>
      <tp t="s">
        <v>#N/A Requesting Data...4161884522</v>
        <stp/>
        <stp>BDP|17039732835313216359</stp>
        <tr r="G13" s="446"/>
      </tp>
      <tp t="s">
        <v>#N/A Requesting Data...4215984925</v>
        <stp/>
        <stp>BDP|11848586431027061306</stp>
        <tr r="K57" s="1"/>
      </tp>
      <tp t="s">
        <v>#N/A Requesting Data...2944941796</v>
        <stp/>
        <stp>BDP|10212284669224289309</stp>
        <tr r="G15" s="446"/>
      </tp>
      <tp t="s">
        <v>#N/A Requesting Data...3301440787</v>
        <stp/>
        <stp>BDP|13453491635420155791</stp>
        <tr r="F13" s="2"/>
      </tp>
      <tp t="s">
        <v>#N/A Requesting Data...2921495191</v>
        <stp/>
        <stp>BDP|16139528108117140790</stp>
        <tr r="AA15" s="2"/>
      </tp>
      <tp t="s">
        <v>#N/A Requesting Data...3572087643</v>
        <stp/>
        <stp>BDP|12577068118946906617</stp>
        <tr r="AF24" s="1"/>
      </tp>
      <tp t="s">
        <v>#N/A Requesting Data...3906982554</v>
        <stp/>
        <stp>BDP|16931852689404443127</stp>
        <tr r="F23" s="446"/>
        <tr r="AB15" s="1"/>
      </tp>
      <tp t="s">
        <v>#N/A Requesting Data...3650398831</v>
        <stp/>
        <stp>BDP|14461057417982680435</stp>
        <tr r="AA16" s="2"/>
      </tp>
      <tp t="s">
        <v>#N/A Requesting Data...3435234281</v>
        <stp/>
        <stp>BDP|14468716151160495523</stp>
        <tr r="Z79" s="89"/>
        <tr r="AA79" s="89"/>
      </tp>
      <tp t="s">
        <v>#N/A Requesting Data...2912420907</v>
        <stp/>
        <stp>BDP|14476589039000730102</stp>
        <tr r="D24" s="2"/>
      </tp>
      <tp t="s">
        <v>#N/A Requesting Data...3371983483</v>
        <stp/>
        <stp>BDP|11488079128501837162</stp>
        <tr r="O79" s="89"/>
      </tp>
      <tp t="s">
        <v>#N/A N/A</v>
        <stp/>
        <stp>BDP|16066178257148215968</stp>
        <tr r="AV16" s="2"/>
        <tr r="AV17" s="2"/>
      </tp>
      <tp t="s">
        <v>#N/A Requesting Data...3768573664</v>
        <stp/>
        <stp>BDP|12718343677950174519</stp>
        <tr r="E7" s="1"/>
      </tp>
      <tp t="s">
        <v>#N/A Requesting Data...3857346447</v>
        <stp/>
        <stp>BDP|11858630116733963622</stp>
        <tr r="E13" s="2"/>
      </tp>
      <tp t="e">
        <v>#N/A</v>
        <stp/>
        <stp>BDH|13009210115276287507</stp>
        <tr r="AR8" s="338"/>
      </tp>
      <tp t="e">
        <v>#N/A</v>
        <stp/>
        <stp>BDH|18074831190813966954</stp>
        <tr r="AM9" s="338"/>
      </tp>
      <tp>
        <v>8.4348201751708984E-2</v>
        <stp/>
        <stp>BDP|13450063745953703993|22</stp>
        <stp>CSCO US 07/17/26 C100 Equity</stp>
        <stp>DELTA_MID_RT</stp>
        <tr r="W20" s="89"/>
        <tr r="AF11" s="2"/>
      </tp>
      <tp>
        <v>37.9</v>
        <stp/>
        <stp>BDP|3120711432826724576|22</stp>
        <stp>META US 07/17/26 C700 Equity</stp>
        <stp>bid</stp>
        <tr r="K79" s="89"/>
      </tp>
      <tp t="s">
        <v>#N/A Requesting Data...3461717691</v>
        <stp/>
        <stp>BDP|16634752858660747458</stp>
        <tr r="K43" s="1"/>
      </tp>
      <tp t="s">
        <v>#N/A Requesting Data...3613103874</v>
        <stp/>
        <stp>BDP|14881796519496077416</stp>
        <tr r="AC39" s="1"/>
        <tr r="AC40" s="1"/>
      </tp>
      <tp t="s">
        <v>#N/A Requesting Data...2890391913</v>
        <stp/>
        <stp>BDP|13564540922234351091</stp>
        <tr r="AI16" s="1"/>
        <tr r="AI17" s="1"/>
      </tp>
      <tp t="s">
        <v>#N/A Requesting Data...4172964936</v>
        <stp/>
        <stp>BDP|10384653628097195348</stp>
        <tr r="V9" s="338"/>
      </tp>
      <tp t="s">
        <v>#N/A Requesting Data...3991272836</v>
        <stp/>
        <stp>BDP|18157396268365948849</stp>
        <tr r="G32" s="446"/>
      </tp>
      <tp t="s">
        <v>#N/A Requesting Data...3181002977</v>
        <stp/>
        <stp>BDP|12322490716684467354</stp>
        <tr r="AD28" s="2"/>
      </tp>
      <tp t="s">
        <v>#N/A Requesting Data...2922114358</v>
        <stp/>
        <stp>BDP|11850099902500446183</stp>
        <tr r="AR28" s="2"/>
      </tp>
      <tp t="s">
        <v>#N/A Requesting Data...4212825383</v>
        <stp/>
        <stp>BDP|11843415176814869697</stp>
        <tr r="C20" s="89"/>
        <tr r="D11" s="2"/>
      </tp>
      <tp t="s">
        <v>#N/A Requesting Data...3801805577</v>
        <stp/>
        <stp>BDP|15195339732766983377</stp>
        <tr r="T104" s="89"/>
      </tp>
      <tp t="s">
        <v>#N/A N/A</v>
        <stp/>
        <stp>BDP|13846974553487624841</stp>
        <tr r="AQ26" s="2"/>
        <tr r="AB30" s="89"/>
        <tr r="AB31" s="89"/>
        <tr r="AB36" s="89"/>
        <tr r="AB37" s="89"/>
        <tr r="AQ23" s="2"/>
        <tr r="AQ24" s="2"/>
        <tr r="AQ25" s="2"/>
      </tp>
      <tp t="s">
        <v>#N/A Requesting Data...4083656113</v>
        <stp/>
        <stp>BDP|14667087596678820507</stp>
        <tr r="AI9" s="338"/>
      </tp>
      <tp t="s">
        <v>#N/A Requesting Data...2880827940</v>
        <stp/>
        <stp>BDP|13579976776338550517</stp>
        <tr r="Z37" s="89"/>
        <tr r="AA37" s="89"/>
      </tp>
      <tp t="s">
        <v>#N/A Requesting Data...3749741392</v>
        <stp/>
        <stp>BDP|14736375789817362891</stp>
        <tr r="AC2" s="1"/>
        <tr r="AD2" s="1"/>
      </tp>
      <tp t="s">
        <v>#N/A Requesting Data...4055312206</v>
        <stp/>
        <stp>BDP|16915999897423444512</stp>
        <tr r="AC15" s="1"/>
      </tp>
      <tp t="s">
        <v>#N/A Requesting Data...4269177867</v>
        <stp/>
        <stp>BDP|14701623612717173449</stp>
        <tr r="O20" s="89"/>
        <tr r="T11" s="2"/>
      </tp>
      <tp t="s">
        <v>#N/A Requesting Data...3819725214</v>
        <stp/>
        <stp>BDP|11184865175579332734</stp>
        <tr r="F12" s="446"/>
      </tp>
      <tp t="s">
        <v>#N/A Requesting Data...3831707727</v>
        <stp/>
        <stp>BDP|16647795119072066249</stp>
        <tr r="AF48" s="1"/>
      </tp>
      <tp t="s">
        <v>#N/A Requesting Data...3281806522</v>
        <stp/>
        <stp>BDP|10633791113720948675</stp>
        <tr r="AB48" s="1"/>
      </tp>
      <tp t="s">
        <v>#N/A Requesting Data...3698028659</v>
        <stp/>
        <stp>BDP|16328338120877370061</stp>
        <tr r="C94" s="89"/>
      </tp>
      <tp t="s">
        <v>#N/A N/A</v>
        <stp/>
        <stp>BDP|14646160180655233875</stp>
        <tr r="AC18" s="2"/>
        <tr r="AC19" s="2"/>
      </tp>
      <tp t="s">
        <v>#N/A Requesting Data...3533869343</v>
        <stp/>
        <stp>BDP|14687046296439604453</stp>
        <tr r="T19" s="89"/>
      </tp>
      <tp t="s">
        <v>#N/A Requesting Data...4073883774</v>
        <stp/>
        <stp>BDP|15047991938189051660</stp>
        <tr r="E9" s="2"/>
      </tp>
      <tp t="s">
        <v>#N/A Requesting Data...3586988560</v>
        <stp/>
        <stp>BDP|18338555271382122812</stp>
        <tr r="Q10" s="338"/>
      </tp>
      <tp t="s">
        <v>#N/A Requesting Data...4279144024</v>
        <stp/>
        <stp>BDP|11542574144783666360</stp>
        <tr r="F41" s="446"/>
      </tp>
      <tp t="s">
        <v>#N/A Requesting Data...3003170723</v>
        <stp/>
        <stp>BDP|15940757831551810033</stp>
        <tr r="C62" s="89"/>
      </tp>
      <tp>
        <v>50</v>
        <stp/>
        <stp>BDP|16159638923959198317|22</stp>
        <stp>2OG6P 24750 Index</stp>
        <stp>ask</stp>
        <tr r="L61" s="89"/>
      </tp>
      <tp t="s">
        <v>USD</v>
        <stp/>
        <stp>BDP|2710784205974410109|22</stp>
        <stp>ASHR US 02/20/26 C35 Equity</stp>
        <stp>QUOTED_CURRENCY_REALTIME</stp>
        <tr r="G6" s="2"/>
      </tp>
      <tp t="s">
        <v>#N/A Real Time</v>
        <stp/>
        <stp>BDP|7488669990583969064|22</stp>
        <stp>SPXW US 12/31/25 C6950 Index</stp>
        <stp>ask</stp>
        <tr r="L68" s="89"/>
      </tp>
      <tp t="s">
        <v>#N/A Requesting Data...2912726215</v>
        <stp/>
        <stp>BDP|12055500611067822013</stp>
        <tr r="AJ8" s="338"/>
        <tr r="AH8" s="338"/>
      </tp>
      <tp t="s">
        <v>#N/A Requesting Data...3739558195</v>
        <stp/>
        <stp>BDP|10827554593684445907</stp>
        <tr r="AG33" s="1"/>
        <tr r="AG34" s="1"/>
      </tp>
      <tp t="s">
        <v>#N/A Requesting Data...3126603354</v>
        <stp/>
        <stp>BDP|10435868994421818135</stp>
        <tr r="C28" s="2"/>
      </tp>
      <tp t="s">
        <v>#N/A Requesting Data...3393382544</v>
        <stp/>
        <stp>BDP|10107602623444913161</stp>
        <tr r="AF23" s="1"/>
      </tp>
      <tp t="s">
        <v>#N/A Requesting Data...2875373579</v>
        <stp/>
        <stp>BDP|18017376398746707540</stp>
        <tr r="G37" s="446"/>
      </tp>
      <tp t="s">
        <v>#N/A Requesting Data...3016016492</v>
        <stp/>
        <stp>BDP|11542477562533569196</stp>
        <tr r="D36" s="89"/>
      </tp>
      <tp t="s">
        <v>#N/A Requesting Data...4261837104</v>
        <stp/>
        <stp>BDP|15485750022721819043</stp>
        <tr r="AA61" s="89"/>
        <tr r="Z61" s="89"/>
      </tp>
      <tp t="s">
        <v>#N/A Requesting Data...3442240254</v>
        <stp/>
        <stp>BDP|17365785494690778868</stp>
        <tr r="E5" s="1"/>
      </tp>
      <tp t="s">
        <v>#N/A Requesting Data...3423820000</v>
        <stp/>
        <stp>BDP|15797485450435917089</stp>
        <tr r="AG25" s="1"/>
      </tp>
      <tp t="s">
        <v>#N/A Requesting Data...3821924557</v>
        <stp/>
        <stp>BDP|10629460632567404161</stp>
        <tr r="AF41" s="1"/>
        <tr r="AF42" s="1"/>
      </tp>
      <tp t="s">
        <v>#N/A Requesting Data...3653404293</v>
        <stp/>
        <stp>BDP|11658442792988593552</stp>
        <tr r="AC21" s="1"/>
      </tp>
      <tp t="s">
        <v>#N/A Requesting Data...4135177524</v>
        <stp/>
        <stp>BDP|12205394907945600595</stp>
        <tr r="E31" s="89"/>
      </tp>
      <tp t="s">
        <v>#N/A Requesting Data...3383171077</v>
        <stp/>
        <stp>BDP|11061508652806913689</stp>
        <tr r="O37" s="89"/>
      </tp>
      <tp t="s">
        <v>#N/A Requesting Data...3620771796</v>
        <stp/>
        <stp>BDP|10036162177410701751</stp>
        <tr r="K24" s="1"/>
      </tp>
      <tp t="s">
        <v>#N/A Requesting Data...4250764162</v>
        <stp/>
        <stp>BDP|12568089488138014375</stp>
        <tr r="E5" s="2"/>
      </tp>
      <tp t="s">
        <v>#N/A Requesting Data...3375963626</v>
        <stp/>
        <stp>BDP|15698160403534380128</stp>
        <tr r="AB18" s="1"/>
      </tp>
      <tp t="s">
        <v>#N/A Requesting Data...3375132743</v>
        <stp/>
        <stp>BDP|11998355979195097173</stp>
        <tr r="T68" s="89"/>
      </tp>
      <tp t="s">
        <v>#N/A Requesting Data...2980680462</v>
        <stp/>
        <stp>BDP|16353514989043023996</stp>
        <tr r="AH11" s="338"/>
        <tr r="AJ11" s="338"/>
      </tp>
      <tp t="s">
        <v>#N/A Requesting Data...3484858620</v>
        <stp/>
        <stp>BDP|11341619984086995887</stp>
        <tr r="F11" s="2"/>
      </tp>
      <tp t="s">
        <v>#N/A Requesting Data...3218006886</v>
        <stp/>
        <stp>BDP|10764751743486083471</stp>
        <tr r="E6" s="2"/>
      </tp>
      <tp t="s">
        <v>#N/A Requesting Data...3721478964</v>
        <stp/>
        <stp>BDP|14914589903223067341</stp>
        <tr r="AH8" s="338"/>
      </tp>
      <tp t="e">
        <v>#N/A</v>
        <stp/>
        <stp>BDH|11918155371921360707</stp>
        <tr r="AS8" s="338"/>
      </tp>
      <tp t="s">
        <v>#N/A Requesting Data...3020637719</v>
        <stp/>
        <stp>BDP|12390370547582903136</stp>
        <tr r="F10" s="2"/>
      </tp>
      <tp t="s">
        <v>#N/A Requesting Data...3427097297</v>
        <stp/>
        <stp>BDP|17999460540594333555</stp>
        <tr r="C7" s="89"/>
      </tp>
      <tp t="s">
        <v>#N/A Requesting Data...3713873658</v>
        <stp/>
        <stp>BDP|10297523734239490992</stp>
        <tr r="F19" s="446"/>
        <tr r="AB56" s="1"/>
        <tr r="AB57" s="1"/>
      </tp>
      <tp t="s">
        <v>#N/A Requesting Data...3303770558</v>
        <stp/>
        <stp>BDP|13534980394766736373</stp>
        <tr r="AG52" s="1"/>
        <tr r="AG53" s="1"/>
      </tp>
      <tp t="s">
        <v>#N/A Requesting Data...3527929322</v>
        <stp/>
        <stp>BDP|10811773521330276340</stp>
        <tr r="F42" s="446"/>
      </tp>
      <tp>
        <v>24787.5</v>
        <stp/>
        <stp>BDP|9834598325284437758|22</stp>
        <stp>2OH6 Index</stp>
        <stp>LAST_PRICE</stp>
        <tr r="S61" s="89"/>
      </tp>
      <tp t="s">
        <v>#N/A Requesting Data...3871253962</v>
        <stp/>
        <stp>BDP|18269203655158880133</stp>
        <tr r="F39" s="446"/>
      </tp>
      <tp t="s">
        <v>#N/A Requesting Data...3913400238</v>
        <stp/>
        <stp>BDP|18224492743199735712</stp>
        <tr r="T22" s="2"/>
      </tp>
      <tp t="s">
        <v>#N/A Requesting Data...3078398934</v>
        <stp/>
        <stp>BDP|10799626579213180430</stp>
        <tr r="AC54" s="1"/>
      </tp>
      <tp t="s">
        <v>#N/A Requesting Data...3959405419</v>
        <stp/>
        <stp>BDP|13639162762852624052</stp>
        <tr r="AF36" s="1"/>
        <tr r="AF37" s="1"/>
      </tp>
      <tp t="s">
        <v>#N/A Requesting Data...3856910152</v>
        <stp/>
        <stp>BDP|14765019069313776788</stp>
        <tr r="V8" s="89"/>
      </tp>
      <tp t="s">
        <v>#N/A Requesting Data...3487471726</v>
        <stp/>
        <stp>BDP|18365939499897354990</stp>
        <tr r="D68" s="89"/>
      </tp>
      <tp t="s">
        <v>#N/A Requesting Data...3318430795</v>
        <stp/>
        <stp>BDP|17537017727307383479</stp>
        <tr r="AD22" s="2"/>
      </tp>
      <tp>
        <v>15.95</v>
        <stp/>
        <stp>BDP|5005092167591802286|22</stp>
        <stp>META US 04/17/26 C690 Equity</stp>
        <stp>bid</stp>
        <tr r="K77" s="89"/>
      </tp>
      <tp t="s">
        <v>#N/A Requesting Data...3053360324</v>
        <stp/>
        <stp>BDP|16372986296784191555</stp>
        <tr r="AC46" s="1"/>
      </tp>
      <tp t="s">
        <v>#N/A Requesting Data...2963111988</v>
        <stp/>
        <stp>BDP|14531256854956960242</stp>
        <tr r="D12" s="2"/>
      </tp>
      <tp t="s">
        <v>#N/A N/A</v>
        <stp/>
        <stp>BDP|17370707244810639397</stp>
        <tr r="AC8" s="2"/>
      </tp>
      <tp t="s">
        <v>#N/A Requesting Data...4087926398</v>
        <stp/>
        <stp>BDP|14546342925643453186</stp>
        <tr r="L8" s="338"/>
        <tr r="J8" s="338"/>
      </tp>
      <tp t="s">
        <v>#N/A Requesting Data...3218318506</v>
        <stp/>
        <stp>BDP|14112351219779481819</stp>
        <tr r="C13" s="89"/>
        <tr r="D21" s="2"/>
      </tp>
      <tp t="s">
        <v>#N/A Requesting Data...3203940554</v>
        <stp/>
        <stp>BDP|10775000831607606384</stp>
        <tr r="AB38" s="1"/>
      </tp>
      <tp t="s">
        <v>#N/A Requesting Data...2987504984</v>
        <stp/>
        <stp>BDP|12690186139094589394</stp>
        <tr r="D30" s="89"/>
      </tp>
      <tp t="s">
        <v>#N/A Requesting Data...3850846595</v>
        <stp/>
        <stp>BDP|15404493773766767722</stp>
        <tr r="G36" s="446"/>
      </tp>
      <tp t="s">
        <v>#N/A Requesting Data...4154416870</v>
        <stp/>
        <stp>BDP|18114698683463557242</stp>
        <tr r="AF56" s="1"/>
        <tr r="AF57" s="1"/>
      </tp>
      <tp t="s">
        <v>#N/A Requesting Data...3781900841</v>
        <stp/>
        <stp>BDP|14556104661927858316</stp>
        <tr r="N6" s="1"/>
      </tp>
      <tp t="s">
        <v>#N/A Requesting Data...2943216670</v>
        <stp/>
        <stp>BDP|15545395515946047643</stp>
        <tr r="V19" s="89"/>
      </tp>
      <tp t="s">
        <v>#N/A Requesting Data...3774251958</v>
        <stp/>
        <stp>BDP|12341108167772818008</stp>
        <tr r="T11" s="338"/>
      </tp>
      <tp t="s">
        <v>#N/A Requesting Data...3517623200</v>
        <stp/>
        <stp>BDP|15780779710184950054</stp>
        <tr r="AI27" s="1"/>
      </tp>
      <tp t="s">
        <v>#N/A Requesting Data...3811066237</v>
        <stp/>
        <stp>BDP|15607530839212696655</stp>
        <tr r="AG49" s="1"/>
        <tr r="AG50" s="1"/>
        <tr r="AG51" s="1"/>
      </tp>
      <tp t="s">
        <v>#N/A Requesting Data...4081931819</v>
        <stp/>
        <stp>BDP|10121215574476853434</stp>
        <tr r="AD24" s="2"/>
      </tp>
      <tp t="s">
        <v>#N/A Requesting Data...3408766694</v>
        <stp/>
        <stp>BDP|14683885016388086260</stp>
        <tr r="K49" s="1"/>
      </tp>
      <tp t="s">
        <v>#N/A Requesting Data...3734793966</v>
        <stp/>
        <stp>BDP|16190103000157320731</stp>
        <tr r="V52" s="89"/>
      </tp>
      <tp t="s">
        <v>#N/A Requesting Data...3792836658</v>
        <stp/>
        <stp>BDP|12052868717818962496</stp>
        <tr r="AI8" s="338"/>
      </tp>
      <tp t="s">
        <v>#N/A Requesting Data...4036978681</v>
        <stp/>
        <stp>BDP|14605168762492000638</stp>
        <tr r="K22" s="1"/>
      </tp>
      <tp t="s">
        <v>#N/A Requesting Data...3822791152</v>
        <stp/>
        <stp>BDP|12678050625094398357</stp>
        <tr r="D35" s="446"/>
        <tr r="AC28" s="1"/>
        <tr r="AC29" s="1"/>
      </tp>
      <tp t="s">
        <v>#N/A Requesting Data...2969031331</v>
        <stp/>
        <stp>BDP|10174429034410523025</stp>
        <tr r="E8" s="2"/>
      </tp>
      <tp t="s">
        <v>#N/A Requesting Data...3249578471</v>
        <stp/>
        <stp>BDP|12276525472755323212</stp>
        <tr r="AB46" s="1"/>
      </tp>
      <tp t="s">
        <v>#N/A Requesting Data...3625908474</v>
        <stp/>
        <stp>BDP|13691107662271159260</stp>
        <tr r="AR27" s="2"/>
      </tp>
      <tp t="s">
        <v>#N/A Requesting Data...4056482129</v>
        <stp/>
        <stp>BDP|13455264535315284065</stp>
        <tr r="AF26" s="1"/>
      </tp>
      <tp t="s">
        <v>#N/A Requesting Data...3962704821</v>
        <stp/>
        <stp>BDP|14541260223906476575</stp>
        <tr r="K18" s="1"/>
      </tp>
      <tp t="s">
        <v>#N/A N/A</v>
        <stp/>
        <stp>BDP|13548034063303146173</stp>
        <tr r="AC26" s="2"/>
        <tr r="AC23" s="2"/>
        <tr r="AC24" s="2"/>
        <tr r="AC25" s="2"/>
      </tp>
      <tp t="s">
        <v>#N/A Requesting Data...3382179874</v>
        <stp/>
        <stp>BDP|12760762958325303288</stp>
        <tr r="K28" s="1"/>
      </tp>
      <tp t="s">
        <v>#N/A Requesting Data...3052492632</v>
        <stp/>
        <stp>BDP|16678311834407962683</stp>
        <tr r="V88" s="89"/>
      </tp>
      <tp t="s">
        <v>#N/A Requesting Data...4000576592</v>
        <stp/>
        <stp>BDP|17610933289947663688</stp>
        <tr r="K32" s="1"/>
      </tp>
      <tp t="s">
        <v>#N/A Requesting Data...3829717113</v>
        <stp/>
        <stp>BDP|12020891338657290965</stp>
        <tr r="K48" s="1"/>
      </tp>
      <tp t="s">
        <v>#N/A Requesting Data...3903742199</v>
        <stp/>
        <stp>BDP|15428672453229030857</stp>
        <tr r="T96" s="89"/>
      </tp>
      <tp t="s">
        <v>#N/A Requesting Data...3176243314</v>
        <stp/>
        <stp>BDP|16571375340064291245</stp>
        <tr r="C25" s="2"/>
      </tp>
      <tp t="s">
        <v>#N/A Requesting Data...4112492044</v>
        <stp/>
        <stp>BDP|12377620412822408039</stp>
        <tr r="O95" s="89"/>
      </tp>
      <tp t="s">
        <v>#N/A Requesting Data...4135826215</v>
        <stp/>
        <stp>BDP|17117535562106038540</stp>
        <tr r="X11" s="338"/>
      </tp>
      <tp t="s">
        <v>#N/A Requesting Data...3092030679</v>
        <stp/>
        <stp>BDP|11947265064485960753</stp>
        <tr r="U8" s="338"/>
      </tp>
      <tp t="s">
        <v>#N/A Requesting Data...3274039726</v>
        <stp/>
        <stp>BDP|18073219310938684416</stp>
        <tr r="C61" s="89"/>
      </tp>
      <tp t="s">
        <v>#N/A Requesting Data...3731862102</v>
        <stp/>
        <stp>BDP|13856641820218803820</stp>
        <tr r="AB13" s="1"/>
      </tp>
      <tp>
        <v>89.51</v>
        <stp/>
        <stp>BDP|2057497571936690391|22</stp>
        <stp>XLP Equity</stp>
        <stp>LAST_PRICE</stp>
        <tr r="I56" s="1"/>
        <tr r="I57" s="1"/>
      </tp>
      <tp t="e">
        <v>#N/A</v>
        <stp/>
        <stp>BDH|10029166644816771487</stp>
        <tr r="AR11" s="338"/>
        <tr r="AR12" s="338"/>
        <tr r="AR10" s="338"/>
      </tp>
      <tp>
        <v>23.7</v>
        <stp/>
        <stp>BDP|8316763994800088980|22</stp>
        <stp>META US 07/17/26 C750 Equity</stp>
        <stp>mid</stp>
        <tr r="L15" s="2"/>
      </tp>
      <tp t="s">
        <v>#N/A Requesting Data...3494949027</v>
        <stp/>
        <stp>BDP|12136399326041179666</stp>
        <tr r="AC48" s="1"/>
      </tp>
      <tp t="s">
        <v>#N/A Requesting Data...3741777674</v>
        <stp/>
        <stp>BDP|16918803796942195175</stp>
        <tr r="AR9" s="2"/>
      </tp>
      <tp t="s">
        <v>#N/A Requesting Data...3549947908</v>
        <stp/>
        <stp>BDP|14359282660695781141</stp>
        <tr r="AI54" s="1"/>
      </tp>
      <tp t="s">
        <v>#N/A Requesting Data...3376044494</v>
        <stp/>
        <stp>BDP|12194689278231069699</stp>
        <tr r="AI12" s="1"/>
      </tp>
      <tp t="s">
        <v>#N/A N/A</v>
        <stp/>
        <stp>BDP|15839339977736656325</stp>
        <tr r="AQ13" s="2"/>
        <tr r="AB7" s="89"/>
        <tr r="AB8" s="89"/>
        <tr r="AQ14" s="2"/>
      </tp>
      <tp t="s">
        <v>#N/A Requesting Data...4008391691</v>
        <stp/>
        <stp>BDP|16851834935831563802</stp>
        <tr r="T20" s="2"/>
      </tp>
      <tp t="s">
        <v>#N/A Requesting Data...3664217192</v>
        <stp/>
        <stp>BDP|16396605660213161199</stp>
        <tr r="Z30" s="89"/>
        <tr r="AA30" s="89"/>
      </tp>
      <tp t="s">
        <v>#N/A Requesting Data...3459982477</v>
        <stp/>
        <stp>BDP|18129626680660034281</stp>
        <tr r="AB23" s="1"/>
      </tp>
      <tp t="s">
        <v>#N/A Requesting Data...3533355030</v>
        <stp/>
        <stp>BDP|10276659037702882326</stp>
        <tr r="O8" s="89"/>
      </tp>
      <tp t="s">
        <v>#N/A Requesting Data...2954277084</v>
        <stp/>
        <stp>BDP|17303082674511603530</stp>
        <tr r="C88" s="89"/>
      </tp>
      <tp t="s">
        <v>#N/A Requesting Data...3158596788</v>
        <stp/>
        <stp>BDP|17958159524868336813</stp>
        <tr r="AI24" s="1"/>
      </tp>
      <tp t="s">
        <v>#N/A Requesting Data...4172299729</v>
        <stp/>
        <stp>BDP|11697784175497336241</stp>
        <tr r="F19" s="2"/>
      </tp>
      <tp t="s">
        <v>#N/A Requesting Data...3771368368</v>
        <stp/>
        <stp>BDP|13362587002474685639</stp>
        <tr r="G33" s="446"/>
      </tp>
      <tp t="s">
        <v>#N/A Requesting Data...3418150330</v>
        <stp/>
        <stp>BDP|12253664208158718848</stp>
        <tr r="AC47" s="1"/>
      </tp>
      <tp t="s">
        <v>#N/A Requesting Data...3453217482</v>
        <stp/>
        <stp>BDP|12808259605704536020</stp>
        <tr r="D23" s="2"/>
      </tp>
      <tp t="s">
        <v>#N/A Requesting Data...3068505432</v>
        <stp/>
        <stp>BDP|13306279038280095632</stp>
        <tr r="AR4" s="2"/>
      </tp>
      <tp t="s">
        <v>#N/A Requesting Data...4112559107</v>
        <stp/>
        <stp>BDP|16454410544065930770</stp>
        <tr r="D43" s="89"/>
        <tr r="D44" s="89"/>
        <tr r="D62" s="89"/>
      </tp>
      <tp t="s">
        <v>#N/A Requesting Data...3061716036</v>
        <stp/>
        <stp>BDP|10930560316549062982</stp>
        <tr r="C68" s="89"/>
      </tp>
      <tp t="s">
        <v>#N/A Requesting Data...2956529145</v>
        <stp/>
        <stp>BDP|17624673723155105222</stp>
        <tr r="AB55" s="1"/>
      </tp>
      <tp t="s">
        <v>#N/A Requesting Data...3925182418</v>
        <stp/>
        <stp>BDP|14406440625767437102</stp>
        <tr r="J10" s="1"/>
      </tp>
      <tp t="s">
        <v>#N/A Requesting Data...4225901700</v>
        <stp/>
        <stp>BDP|12635475140716485056</stp>
        <tr r="E24" s="2"/>
      </tp>
      <tp t="s">
        <v>#N/A Requesting Data...3556972428</v>
        <stp/>
        <stp>BDP|16140660531672678504</stp>
        <tr r="O94" s="89"/>
      </tp>
      <tp t="s">
        <v>#N/A Requesting Data...3230516504</v>
        <stp/>
        <stp>BDP|14437871301241284935</stp>
        <tr r="AJ12" s="338"/>
      </tp>
      <tp t="s">
        <v>#N/A Requesting Data...3623701128</v>
        <stp/>
        <stp>BDP|11214745035248274920</stp>
        <tr r="V8" s="338"/>
      </tp>
      <tp t="s">
        <v>#N/A Requesting Data...2999886463</v>
        <stp/>
        <stp>BDP|12168490429210433067</stp>
        <tr r="T77" s="89"/>
      </tp>
      <tp t="s">
        <v>#N/A Requesting Data...3375035146</v>
        <stp/>
        <stp>BDP|11625676250200786659</stp>
        <tr r="T8" s="338"/>
      </tp>
      <tp t="s">
        <v>#N/A N/A</v>
        <stp/>
        <stp>BDP|18042899846108511886</stp>
        <tr r="AQ20" s="2"/>
        <tr r="AB13" s="89"/>
        <tr r="AB14" s="89"/>
        <tr r="AQ21" s="2"/>
        <tr r="AQ22" s="2"/>
      </tp>
      <tp t="s">
        <v>#N/A Requesting Data...3608194188</v>
        <stp/>
        <stp>BDP|14059396921424230587</stp>
        <tr r="AF33" s="1"/>
        <tr r="AF34" s="1"/>
        <tr r="AF11" s="338"/>
      </tp>
      <tp t="s">
        <v>#N/A Requesting Data...3119290223</v>
        <stp/>
        <stp>BDP|17956776735294864366</stp>
        <tr r="E53" s="89"/>
      </tp>
      <tp t="s">
        <v>#N/A Requesting Data...3417741613</v>
        <stp/>
        <stp>BDP|12711401003907750544</stp>
        <tr r="V37" s="89"/>
      </tp>
      <tp t="s">
        <v>#N/A Requesting Data...3311544750</v>
        <stp/>
        <stp>BDP|10337841861653211939</stp>
        <tr r="F14" s="446"/>
        <tr r="AB52" s="1"/>
        <tr r="AB53" s="1"/>
      </tp>
      <tp t="s">
        <v>#N/A Requesting Data...3408018035</v>
        <stp/>
        <stp>BDP|11243430201469561835</stp>
        <tr r="AI30" s="1"/>
        <tr r="AI31" s="1"/>
      </tp>
      <tp t="s">
        <v>#N/A Requesting Data...3876699032</v>
        <stp/>
        <stp>BDP|12113265951137044605</stp>
        <tr r="AI46" s="1"/>
      </tp>
      <tp t="s">
        <v>#N/A Invalid Security</v>
        <stp/>
        <stp>BDP|17276935431976766163|22</stp>
        <stp xml:space="preserve"> Equity</stp>
        <stp>QUOTED_CURRENCY_REALTIME</stp>
        <tr r="F44" s="89"/>
        <tr r="F43" s="89"/>
        <tr r="F86" s="89"/>
        <tr r="F87" s="89"/>
      </tp>
      <tp>
        <v>129</v>
        <stp/>
        <stp>BDP|5871926180393537825|22</stp>
        <stp>LITE US 06/18/26 C600 Equity</stp>
        <stp>ask</stp>
        <tr r="Q13" s="2"/>
      </tp>
      <tp>
        <v>23.5</v>
        <stp/>
        <stp>BDP|1435529279737285533|22</stp>
        <stp>META US 07/17/26 C750 Equity</stp>
        <stp>bid</stp>
        <tr r="P15" s="2"/>
      </tp>
      <tp>
        <v>126.95</v>
        <stp/>
        <stp>BDP|2338299991529458350|22</stp>
        <stp>LITE US 06/18/26 C600 Equity</stp>
        <stp>mid</stp>
        <tr r="L13" s="2"/>
      </tp>
      <tp>
        <v>8.15</v>
        <stp/>
        <stp>BDP|3455432218402996031|22</stp>
        <stp>META US 02/27/26 C660 Equity</stp>
        <stp>bid</stp>
        <tr r="K88" s="89"/>
      </tp>
      <tp>
        <v>124.9</v>
        <stp/>
        <stp>BDP|3994129037389910433|22</stp>
        <stp>LITE US 06/18/26 C600 Equity</stp>
        <stp>bid</stp>
        <tr r="P13" s="2"/>
      </tp>
      <tp>
        <v>12.05</v>
        <stp/>
        <stp>BDP|9130086212153647776|22</stp>
        <stp>AMZN US 12/18/26 C250 Equity</stp>
        <stp>bid</stp>
        <tr r="K94" s="89"/>
      </tp>
      <tp t="s">
        <v>#N/A N/A</v>
        <stp/>
        <stp>BDP|10976567873595722239</stp>
        <tr r="AV28" s="2"/>
        <tr r="AV27" s="2"/>
      </tp>
      <tp t="s">
        <v>#N/A Requesting Data...3761303174</v>
        <stp/>
        <stp>BDP|15085394986433411839</stp>
        <tr r="Z14" s="89"/>
        <tr r="AA14" s="89"/>
      </tp>
      <tp t="s">
        <v>#N/A Requesting Data...4272488260</v>
        <stp/>
        <stp>BDP|15688066863846340087</stp>
        <tr r="D28" s="446"/>
      </tp>
      <tp t="s">
        <v>#N/A Requesting Data...3286205110</v>
        <stp/>
        <stp>BDP|10187425150716047280</stp>
        <tr r="AB47" s="1"/>
      </tp>
      <tp t="s">
        <v>#N/A Requesting Data...3796378972</v>
        <stp/>
        <stp>BDP|15767057305588506896</stp>
        <tr r="AH9" s="338"/>
      </tp>
      <tp t="s">
        <v>#N/A Requesting Data...3465907680</v>
        <stp/>
        <stp>BDP|15429696736422623764</stp>
        <tr r="K23" s="1"/>
      </tp>
      <tp t="s">
        <v>#N/A Requesting Data...3586531107</v>
        <stp/>
        <stp>BDP|12598914732268945550</stp>
        <tr r="E10" s="1"/>
      </tp>
      <tp t="s">
        <v>#N/A Requesting Data...4261114634</v>
        <stp/>
        <stp>BDP|10968744678995921066</stp>
        <tr r="C43" s="89"/>
        <tr r="C44" s="89"/>
        <tr r="C86" s="89"/>
        <tr r="C87" s="89"/>
      </tp>
      <tp t="s">
        <v>#N/A Requesting Data...3415255544</v>
        <stp/>
        <stp>BDP|12490577043850363694</stp>
        <tr r="C77" s="89"/>
      </tp>
      <tp t="s">
        <v>#N/A Requesting Data...4170587685</v>
        <stp/>
        <stp>BDP|15541299241081269729</stp>
        <tr r="O105" s="89"/>
        <tr r="T5" s="2"/>
      </tp>
      <tp t="s">
        <v>#N/A Requesting Data...3782224688</v>
        <stp/>
        <stp>BDP|15872646771885299421</stp>
        <tr r="F16" s="446"/>
      </tp>
      <tp t="s">
        <v>#N/A Requesting Data...3603169901</v>
        <stp/>
        <stp>BDP|16815476022480599563</stp>
        <tr r="E20" s="89"/>
      </tp>
      <tp t="s">
        <v>#N/A Requesting Data...3627202292</v>
        <stp/>
        <stp>BDP|14521485953094621461</stp>
        <tr r="T18" s="2"/>
      </tp>
      <tp t="s">
        <v>#N/A Requesting Data...3376385431</v>
        <stp/>
        <stp>BDP|15051140014688420859</stp>
        <tr r="AC12" s="1"/>
      </tp>
      <tp t="s">
        <v>#N/A Requesting Data...3133567166</v>
        <stp/>
        <stp>BDP|16068368952433220674</stp>
        <tr r="D53" s="89"/>
      </tp>
      <tp t="s">
        <v>#N/A Requesting Data...3536790284</v>
        <stp/>
        <stp>BDP|15098093978681583652</stp>
        <tr r="C30" s="89"/>
      </tp>
      <tp t="s">
        <v>#N/A N/A</v>
        <stp/>
        <stp>BDP|17289014403731542359</stp>
        <tr r="AQ12" s="2"/>
      </tp>
      <tp t="s">
        <v>#N/A Requesting Data...3016278245</v>
        <stp/>
        <stp>BDP|14342024613619901985</stp>
        <tr r="F32" s="446"/>
      </tp>
      <tp t="s">
        <v>#N/A Requesting Data...3786113357</v>
        <stp/>
        <stp>BDP|10937692769253805623</stp>
        <tr r="F9" s="2"/>
      </tp>
      <tp t="s">
        <v>#N/A Requesting Data...3726410399</v>
        <stp/>
        <stp>BDP|15647809597228039929</stp>
        <tr r="F14" s="2"/>
      </tp>
      <tp t="s">
        <v>#N/A Requesting Data...3326847713</v>
        <stp/>
        <stp>BDP|13450917922399223467</stp>
        <tr r="G34" s="446"/>
      </tp>
      <tp t="s">
        <v>#N/A Requesting Data...3346568391</v>
        <stp/>
        <stp>BDP|11202039151326059722</stp>
        <tr r="V104" s="89"/>
      </tp>
      <tp t="s">
        <v>#N/A Requesting Data...3431919008</v>
        <stp/>
        <stp>BDP|12142735374617755031</stp>
        <tr r="AG13" s="1"/>
      </tp>
      <tp t="s">
        <v>#N/A Requesting Data...3840583659</v>
        <stp/>
        <stp>BDP|14142329387503299940</stp>
        <tr r="D25" s="2"/>
      </tp>
      <tp t="s">
        <v>#N/A Requesting Data...3638680902</v>
        <stp/>
        <stp>BDP|12540520710212521104</stp>
        <tr r="AC49" s="1"/>
        <tr r="AC50" s="1"/>
        <tr r="AC51" s="1"/>
      </tp>
      <tp t="s">
        <v>#N/A Requesting Data...3523455231</v>
        <stp/>
        <stp>BDP|14997193200018500815</stp>
        <tr r="AR14" s="2"/>
      </tp>
      <tp t="s">
        <v>#N/A Requesting Data...4256514998</v>
        <stp/>
        <stp>BDP|18269255641489268206</stp>
        <tr r="AC36" s="1"/>
        <tr r="AC37" s="1"/>
      </tp>
      <tp t="s">
        <v>#N/A Requesting Data...3972754460</v>
        <stp/>
        <stp>BDP|15660791077340487089</stp>
        <tr r="E1" s="1"/>
      </tp>
      <tp t="s">
        <v>#N/A Requesting Data...4157410677</v>
        <stp/>
        <stp>BDP|17271244710975447452</stp>
        <tr r="AK9" s="338"/>
      </tp>
      <tp t="s">
        <v>#N/A Requesting Data...3238964661</v>
        <stp/>
        <stp>BDP|14505061934744038618</stp>
        <tr r="AB2" s="1"/>
      </tp>
      <tp t="s">
        <v>#N/A Requesting Data...3066007653</v>
        <stp/>
        <stp>BDP|11370170641465778442</stp>
        <tr r="O77" s="89"/>
      </tp>
      <tp t="e">
        <v>#N/A</v>
        <stp/>
        <stp>BDH|11321447396089307095</stp>
        <tr r="AM11" s="338"/>
      </tp>
    </main>
    <main first="bofaddin.rtdserver">
      <tp>
        <v>262.95999999999998</v>
        <stp/>
        <stp>BDP|7062867511992634566|22</stp>
        <stp>IWM EQUITY</stp>
        <stp>LAST_PRICE</stp>
        <tr r="L8" s="1"/>
      </tp>
      <tp>
        <v>33.68</v>
        <stp/>
        <stp>BDP|16778716474861008512|22</stp>
        <stp>ASHR US Equity</stp>
        <stp>LAST_PRICE</stp>
        <tr r="Z6" s="2"/>
        <tr r="Z7" s="2"/>
      </tp>
      <tp>
        <v>-0.33727678656578064</v>
        <stp/>
        <stp>BDP|8808339680297150545|22</stp>
        <stp>QQQ US 02/27/26 P590 Equity</stp>
        <stp>DELTA_MID_RT</stp>
        <tr r="AF25" s="2"/>
      </tp>
      <tp>
        <v>182400</v>
        <stp/>
        <stp>BDP|2801672589713003233|22</stp>
        <stp>005930 KS Equity</stp>
        <stp>LAST_PRICE</stp>
        <tr r="I25" s="1"/>
      </tp>
      <tp>
        <v>207.32</v>
        <stp/>
        <stp>BDP|8139972387614957050|22</stp>
        <stp>AMD EQUITY</stp>
        <stp>LAST_PRICE</stp>
        <tr r="C4" s="1"/>
      </tp>
      <tp t="s">
        <v>#N/A Real Time</v>
        <stp/>
        <stp>BDP|11820070012775282534|22</stp>
        <stp>RTYWU5C3 2500 Index</stp>
        <stp>ask</stp>
        <tr r="L53" s="89"/>
      </tp>
      <tp>
        <v>325.17</v>
        <stp/>
        <stp>BDP|17019897193923426340|22</stp>
        <stp>AVGO US Equity</stp>
        <stp>LAST_PRICE</stp>
        <tr r="Z8" s="2"/>
      </tp>
      <tp>
        <v>-3.9813593029975891E-3</v>
        <stp/>
        <stp>BDP|1624814207309363770|22</stp>
        <stp>QQQ US 02/13/26 P590 Equity</stp>
        <stp>DELTA_MID_RT</stp>
        <tr r="W37" s="89"/>
      </tp>
      <tp t="s">
        <v>#N/A Real Time</v>
        <stp/>
        <stp>BDP|16831399122066681226|22</stp>
        <stp>RTYWU5C3 2500 Index</stp>
        <stp>bid</stp>
        <tr r="K53" s="89"/>
      </tp>
      <tp>
        <v>127600</v>
        <stp/>
        <stp>BDP|7576338108149543793|22</stp>
        <stp>005935 KS Equity</stp>
        <stp>LAST_PRICE</stp>
        <tr r="I26" s="1"/>
      </tp>
      <tp t="s">
        <v>#N/A Real Time</v>
        <stp/>
        <stp>BDP|9893971634581157776|22</stp>
        <stp>RTYWU5C3 2425 Index</stp>
        <stp>DELTA_MID_RT</stp>
        <tr r="W52" s="89"/>
      </tp>
      <tp t="s">
        <v>USD</v>
        <stp/>
        <stp>BDP|5660057333270635761|22</stp>
        <stp>CSCO US 07/17/26 C100 Equity</stp>
        <stp>QUOTED_CURRENCY_REALTIME</stp>
        <tr r="F20" s="89"/>
        <tr r="G11" s="2"/>
      </tp>
      <tp t="s">
        <v>USD</v>
        <stp/>
        <stp>BDP|7415188276848735494|22</stp>
        <stp>NVDA US 03/20/26 C200 Equity</stp>
        <stp>QUOTED_CURRENCY_REALTIME</stp>
        <tr r="F13" s="89"/>
        <tr r="G21" s="2"/>
      </tp>
      <tp>
        <v>-0.42184844613075256</v>
        <stp/>
        <stp>BDP|353557563566151746|22</stp>
        <stp>QQQ US 02/27/26 P580 Equity</stp>
        <stp>theta_mid_rt</stp>
        <tr r="AN26" s="2"/>
      </tp>
      <tp>
        <v>1915</v>
        <stp/>
        <stp>BDP|7006367744653116074|22</stp>
        <stp>2330 TT Equity</stp>
        <stp>LAST_PRICE</stp>
        <tr r="I27" s="1"/>
      </tp>
      <tp>
        <v>366.36</v>
        <stp/>
        <stp>BDP|5454315708850008901|22</stp>
        <stp>TSM EQUITY</stp>
        <stp>LAST_PRICE</stp>
        <tr r="C3" s="1"/>
      </tp>
      <tp>
        <v>-6.4561213366687298E-3</v>
        <stp/>
        <stp>BDP|1197183387111047278|22</stp>
        <stp>QQQ US 02/13/26 P595 Equity</stp>
        <stp>DELTA_MID_RT</stp>
        <tr r="W36" s="89"/>
      </tp>
      <tp t="s">
        <v>USD</v>
        <stp/>
        <stp>BDP|2430132797707671505|22</stp>
        <stp>NVDA US 05/15/26 C200 Equity</stp>
        <stp>QUOTED_CURRENCY_REALTIME</stp>
        <tr r="G20" s="2"/>
      </tp>
      <tp>
        <v>-2.3706004023551941E-2</v>
        <stp/>
        <stp>BDP|5147365525129605184|22</stp>
        <stp>QQQ US 02/12/26 P599 Equity</stp>
        <stp>DELTA_MID_RT</stp>
        <tr r="W30" s="89"/>
      </tp>
      <tp t="s">
        <v>#N/A Real Time</v>
        <stp/>
        <stp>BDP|3644211716247599726|22</stp>
        <stp>RTYWU5C3 2500 Index</stp>
        <stp>DELTA_MID_RT</stp>
        <tr r="W53" s="89"/>
      </tp>
      <tp>
        <v>-3.1752470880746841E-2</v>
        <stp/>
        <stp>BDP|13286199336537530126|22</stp>
        <stp>ASHR US 02/27/26 C35 Equity</stp>
        <stp>theta_mid_rt</stp>
        <tr r="AN7" s="2"/>
      </tp>
      <tp>
        <v>886000</v>
        <stp/>
        <stp>BDP|6431978350865048428|22</stp>
        <stp>000660 KS Equity</stp>
        <stp>LAST_PRICE</stp>
        <tr r="I23" s="1"/>
      </tp>
      <tp>
        <v>281.58</v>
        <stp/>
        <stp>BDP|4895281984520079725|22</stp>
        <stp>WDC EQUITY</stp>
        <stp>LAST_PRICE</stp>
        <tr r="H7" s="1"/>
      </tp>
      <tp>
        <v>-2.6990573853254318E-2</v>
        <stp/>
        <stp>BDP|11687415304317098980|22</stp>
        <stp>NFLX US 05/15/26 C90 Equity</stp>
        <stp>theta_mid_rt</stp>
        <tr r="AN18" s="2"/>
      </tp>
      <tp t="s">
        <v>USD</v>
        <stp/>
        <stp>BDP|5538688947882732644|22</stp>
        <stp>LITE US 02/20/26 C690 Equity</stp>
        <stp>QUOTED_CURRENCY_REALTIME</stp>
        <tr r="F7" s="89"/>
      </tp>
      <tp t="s">
        <v>USD</v>
        <stp/>
        <stp>BDP|7738847520517229982|22</stp>
        <stp>META US 07/17/26 C670 Equity</stp>
        <stp>QUOTED_CURRENCY_REALTIME</stp>
        <tr r="F78" s="89"/>
      </tp>
      <tp t="s">
        <v>USD</v>
        <stp/>
        <stp>BDP|1362261034397499279|22</stp>
        <stp>AMZN US 12/18/26 C250 Equity</stp>
        <stp>QUOTED_CURRENCY_REALTIME</stp>
        <tr r="F94" s="89"/>
      </tp>
      <tp t="s">
        <v>USD</v>
        <stp/>
        <stp>BDP|6088342743599646986|22</stp>
        <stp>LITE US 06/18/26 C720 Equity</stp>
        <stp>QUOTED_CURRENCY_REALTIME</stp>
        <tr r="G14" s="2"/>
      </tp>
      <tp t="s">
        <v>USD</v>
        <stp/>
        <stp>BDP|5793744081546209980|22</stp>
        <stp>META US 04/17/26 C690 Equity</stp>
        <stp>QUOTED_CURRENCY_REALTIME</stp>
        <tr r="F77" s="89"/>
      </tp>
      <tp t="s">
        <v>#N/A Requesting Data...</v>
        <stp/>
        <stp>BDP|7711838393209043147|22</stp>
        <stp>-1,81405706424895 Index</stp>
        <stp>mid</stp>
        <tr r="L1" s="2"/>
      </tp>
      <tp t="s">
        <v>#N/A Invalid Security</v>
        <stp/>
        <stp>BDP|4149584775528543730|22</stp>
        <stp xml:space="preserve"> Equity</stp>
        <stp>ask</stp>
        <tr r="L43" s="89"/>
        <tr r="L86" s="89"/>
        <tr r="L44" s="89"/>
        <tr r="L87" s="89"/>
        <tr r="Q2" s="2"/>
      </tp>
      <tp>
        <v>411.66</v>
        <stp/>
        <stp>BDP|12429311880057526361|22</stp>
        <stp>MU EQUITY</stp>
        <stp>LAST_PRICE</stp>
        <tr r="H2" s="1"/>
      </tp>
      <tp>
        <v>-0.13726265728473663</v>
        <stp/>
        <stp>BDP|12749296897091541940|22</stp>
        <stp>NVDA US 03/20/26 C200 Equity</stp>
        <stp>theta_mid_rt</stp>
        <tr r="AN21" s="2"/>
      </tp>
      <tp>
        <v>-7.3951557278633118E-2</v>
        <stp/>
        <stp>BDP|12746170727172974965|22</stp>
        <stp>NVDA US 03/20/26 C220 Equity</stp>
        <stp>theta_mid_rt</stp>
        <tr r="AN22" s="2"/>
      </tp>
      <tp t="s">
        <v>USD</v>
        <stp/>
        <stp>BDP|9373829889527232263|22</stp>
        <stp>META US 07/17/26 C750 Equity</stp>
        <stp>QUOTED_CURRENCY_REALTIME</stp>
        <tr r="G15" s="2"/>
      </tp>
      <tp t="s">
        <v>#N/A Real Time</v>
        <stp/>
        <stp>BDP|14971432828971535518|22</stp>
        <stp>RTYWU5C3 2500 Index</stp>
        <stp>QUOTED_CURRENCY_REALTIME</stp>
        <tr r="F53" s="89"/>
      </tp>
      <tp>
        <v>46.79</v>
        <stp/>
        <stp>BDP|15280641543212915371|22</stp>
        <stp>INTC US Equity</stp>
        <stp>LAST_PRICE</stp>
        <tr r="Z12" s="2"/>
      </tp>
      <tp>
        <v>-7.9239405691623688E-2</v>
        <stp/>
        <stp>BDP|16456111785153391042|22</stp>
        <stp>MRVL US 03/20/26 P70 Equity</stp>
        <stp>theta_mid_rt</stp>
        <tr r="AN16" s="2"/>
      </tp>
      <tp t="s">
        <v>USD</v>
        <stp/>
        <stp>BDP|3371138276627182525|22</stp>
        <stp>AMZN US 07/17/26 C240 Equity</stp>
        <stp>QUOTED_CURRENCY_REALTIME</stp>
        <tr r="F103" s="89"/>
        <tr r="G4" s="2"/>
      </tp>
      <tp t="s">
        <v>USD</v>
        <stp/>
        <stp>BDP|13849735381950847499|22</stp>
        <stp>QQQ US 02/13/26 P590 Equity</stp>
        <stp>QUOTED_CURRENCY_REALTIME</stp>
        <tr r="F37" s="89"/>
      </tp>
      <tp>
        <v>198.79</v>
        <stp/>
        <stp>BDP|11431942920512482031|22</stp>
        <stp>AMZN US Equity</stp>
        <stp>LAST_PRICE</stp>
        <tr r="S95" s="89"/>
        <tr r="S94" s="89"/>
        <tr r="S96" s="89"/>
        <tr r="S103" s="89"/>
        <tr r="S105" s="89"/>
        <tr r="Z4" s="2"/>
        <tr r="Z5" s="2"/>
        <tr r="S104" s="89"/>
      </tp>
      <tp>
        <v>107.08</v>
        <stp/>
        <stp>BDP|5743631822536954954|22</stp>
        <stp>NOW EQUITY</stp>
        <stp>LAST_PRICE</stp>
        <tr r="H10" s="1"/>
      </tp>
      <tp t="s">
        <v>USD</v>
        <stp/>
        <stp>BDP|5735107767338324081|22</stp>
        <stp>AMZN US 12/18/26 C230 Equity</stp>
        <stp>QUOTED_CURRENCY_REALTIME</stp>
        <tr r="F95" s="89"/>
      </tp>
      <tp t="s">
        <v>USD</v>
        <stp/>
        <stp>BDP|2475667770607843421|22</stp>
        <stp>AMZN US 07/17/26 P180 Equity</stp>
        <stp>QUOTED_CURRENCY_REALTIME</stp>
        <tr r="F105" s="89"/>
        <tr r="G5" s="2"/>
      </tp>
      <tp>
        <v>601.91999999999996</v>
        <stp/>
        <stp>BDP|360499996244621952|22</stp>
        <stp>QQQ US Equity</stp>
        <stp>LAST_PRICE</stp>
        <tr r="S30" s="89"/>
        <tr r="S36" s="89"/>
        <tr r="S37" s="89"/>
        <tr r="Z23" s="2"/>
        <tr r="Z24" s="2"/>
        <tr r="Z25" s="2"/>
        <tr r="Z26" s="2"/>
        <tr r="S31" s="89"/>
      </tp>
      <tp t="s">
        <v>USD</v>
        <stp/>
        <stp>BDP|4431138389166708026|22</stp>
        <stp>AMZN US 07/17/26 C230 Equity</stp>
        <stp>QUOTED_CURRENCY_REALTIME</stp>
        <tr r="F104" s="89"/>
      </tp>
      <tp>
        <v>639.77</v>
        <stp/>
        <stp>BDP|12884552599081678750|22</stp>
        <stp>META US Equity</stp>
        <stp>LAST_PRICE</stp>
        <tr r="S77" s="89"/>
        <tr r="S79" s="89"/>
        <tr r="S88" s="89"/>
        <tr r="Z15" s="2"/>
        <tr r="S78" s="89"/>
      </tp>
      <tp t="s">
        <v>USD</v>
        <stp/>
        <stp>BDP|14350563132496110248|22</stp>
        <stp>QQQ US 02/20/26 P600 Equity</stp>
        <stp>QUOTED_CURRENCY_REALTIME</stp>
        <tr r="G23" s="2"/>
      </tp>
      <tp>
        <v>-2.3760659620165825E-2</v>
        <stp/>
        <stp>BDP|17856461713270669920|22</stp>
        <stp>INTC US 07/17/26 C50 Equity</stp>
        <stp>theta_mid_rt</stp>
        <tr r="AN12" s="2"/>
      </tp>
      <tp>
        <v>-4.8436082899570465E-2</v>
        <stp/>
        <stp>BDP|10014400757682207201|22</stp>
        <stp>MRVL US 03/20/26 P60 Equity</stp>
        <stp>theta_mid_rt</stp>
        <tr r="AN17" s="2"/>
      </tp>
      <tp>
        <v>82.77</v>
        <stp/>
        <stp>BDP|2213699979188169021|22</stp>
        <stp>IGV EQUITY</stp>
        <stp>LAST_PRICE</stp>
        <tr r="L2" s="1"/>
      </tp>
      <tp>
        <v>-6.8586100824177265E-3</v>
        <stp/>
        <stp>BDP|12282787928556568649|22</stp>
        <stp>CSCO US 07/17/26 C100 Equity</stp>
        <stp>theta_mid_rt</stp>
        <tr r="AN11" s="2"/>
      </tp>
      <tp>
        <v>76.849999999999994</v>
        <stp/>
        <stp>BDP|224343272968290990|22</stp>
        <stp>CSCO Equity</stp>
        <stp>LAST_PRICE</stp>
        <tr r="I41" s="1"/>
        <tr r="I42" s="1"/>
      </tp>
      <tp t="s">
        <v>USD</v>
        <stp/>
        <stp>BDP|8551146402332547609|22</stp>
        <stp>META US 07/17/26 C700 Equity</stp>
        <stp>QUOTED_CURRENCY_REALTIME</stp>
        <tr r="F79" s="89"/>
      </tp>
      <tp t="s">
        <v>#N/A Invalid Security</v>
        <stp/>
        <stp>BDP|7846864529941089881|22</stp>
        <stp xml:space="preserve"> Equity</stp>
        <stp>mid</stp>
        <tr r="L2" s="2"/>
      </tp>
      <tp>
        <v>601.91999999999996</v>
        <stp/>
        <stp>BDP|2689810960265066336|22</stp>
        <stp>QQQ EQUITY</stp>
        <stp>LAST_PRICE</stp>
        <tr r="L6" s="1"/>
      </tp>
      <tp>
        <v>-8.6143746972084045E-2</v>
        <stp/>
        <stp>BDP|11554504603472673655|22</stp>
        <stp>NVDA US 05/15/26 C200 Equity</stp>
        <stp>theta_mid_rt</stp>
        <tr r="AN20" s="2"/>
      </tp>
      <tp t="s">
        <v>USD</v>
        <stp/>
        <stp>BDP|12224588026803956164|22</stp>
        <stp>AMZN US 12/18/26 P180 Equity</stp>
        <stp>QUOTED_CURRENCY_REALTIME</stp>
        <tr r="F96" s="89"/>
      </tp>
      <tp t="s">
        <v>#N/A Requesting Data...3618905377</v>
        <stp/>
        <stp>BDP|3970119255888163378</stp>
        <tr r="L11" s="338"/>
        <tr r="H11" s="338"/>
      </tp>
      <tp t="s">
        <v>#N/A Requesting Data...3496877601</v>
        <stp/>
        <stp>BDP|1780817128230709721</stp>
        <tr r="AC32" s="1"/>
      </tp>
      <tp t="s">
        <v>#N/A Requesting Data...3398338793</v>
        <stp/>
        <stp>BDP|6875767680954769102</stp>
        <tr r="AR8" s="2"/>
      </tp>
      <tp t="s">
        <v>#N/A Requesting Data...3437644122</v>
        <stp/>
        <stp>BDP|7500005297250850236</stp>
        <tr r="N1" s="1"/>
      </tp>
      <tp t="s">
        <v>#N/A Requesting Data...3924892373</v>
        <stp/>
        <stp>BDP|7828562231434179977</stp>
        <tr r="G30" s="446"/>
      </tp>
      <tp t="s">
        <v>#N/A Requesting Data...4199148197</v>
        <stp/>
        <stp>BDP|4792760710096869864</stp>
        <tr r="E11" s="2"/>
      </tp>
      <tp t="s">
        <v>#N/A Requesting Data...3602969248</v>
        <stp/>
        <stp>BDP|8367283627072476679</stp>
        <tr r="AC30" s="1"/>
        <tr r="AC31" s="1"/>
      </tp>
      <tp t="s">
        <v>#N/A Requesting Data...4186519540</v>
        <stp/>
        <stp>BDP|4596394917382492801</stp>
        <tr r="AF10" s="1"/>
      </tp>
      <tp t="s">
        <v>#N/A Requesting Data...3760140065</v>
        <stp/>
        <stp>BDP|5191603809286463901</stp>
        <tr r="V14" s="89"/>
      </tp>
      <tp t="s">
        <v>#N/A Requesting Data...3175065905</v>
        <stp/>
        <stp>BDP|8267476373493896423</stp>
        <tr r="N2" s="1"/>
      </tp>
      <tp t="s">
        <v>#N/A N/A</v>
        <stp/>
        <stp>BDP|3432349159669557008</stp>
        <tr r="R20" s="89"/>
        <tr r="AV9" s="2"/>
        <tr r="AV10" s="2"/>
        <tr r="AV11" s="2"/>
        <tr r="R19" s="89"/>
      </tp>
      <tp t="s">
        <v>#N/A Requesting Data...3279503516</v>
        <stp/>
        <stp>BDP|3823451941108785766</stp>
        <tr r="D19" s="89"/>
      </tp>
      <tp t="s">
        <v>#N/A Requesting Data...3419835353</v>
        <stp/>
        <stp>BDP|7707682811374333805</stp>
        <tr r="AR11" s="2"/>
      </tp>
      <tp t="s">
        <v>#N/A Requesting Data...3688498979</v>
        <stp/>
        <stp>BDP|4738998939235389797</stp>
        <tr r="F8" s="446"/>
      </tp>
      <tp t="s">
        <v>#N/A Requesting Data...3339406690</v>
        <stp/>
        <stp>BDP|5580113800851198970</stp>
        <tr r="J3" s="1"/>
      </tp>
      <tp t="s">
        <v>#N/A Requesting Data...4214233926</v>
        <stp/>
        <stp>BDP|5357847351561143559</stp>
        <tr r="AG21" s="1"/>
      </tp>
      <tp t="s">
        <v>#N/A N/A</v>
        <stp/>
        <stp>BDP|2282995976142786289</stp>
        <tr r="AV8" s="2"/>
      </tp>
      <tp t="s">
        <v>#N/A Requesting Data...4245500082</v>
        <stp/>
        <stp>BDP|8370148836023021531</stp>
        <tr r="AF35" s="1"/>
      </tp>
      <tp t="s">
        <v>#N/A Requesting Data...4029413544</v>
        <stp/>
        <stp>BDP|1367410484473609226</stp>
        <tr r="AK8" s="338"/>
        <tr r="AI8" s="338"/>
      </tp>
      <tp t="s">
        <v>#N/A Requesting Data...4112072843</v>
        <stp/>
        <stp>BDP|8620307866159042824</stp>
        <tr r="T37" s="89"/>
      </tp>
      <tp t="s">
        <v>#N/A Requesting Data...3871824398</v>
        <stp/>
        <stp>BDP|2737330982055463026</stp>
        <tr r="AG35" s="1"/>
      </tp>
      <tp t="s">
        <v>#N/A Requesting Data...3913579093</v>
        <stp/>
        <stp>BDP|3098041072779459130</stp>
        <tr r="E77" s="89"/>
      </tp>
      <tp t="s">
        <v>#N/A Requesting Data...3886540557</v>
        <stp/>
        <stp>BDP|1557865840324483567</stp>
        <tr r="C5" s="2"/>
      </tp>
      <tp t="s">
        <v>#N/A Requesting Data...4192461013</v>
        <stp/>
        <stp>BDP|8920338066988955948</stp>
        <tr r="V31" s="89"/>
      </tp>
      <tp t="s">
        <v>#N/A Requesting Data...3605730130</v>
        <stp/>
        <stp>BDP|4670123577217166936</stp>
        <tr r="D15" s="2"/>
      </tp>
      <tp t="s">
        <v>#N/A Requesting Data...3423557892</v>
        <stp/>
        <stp>BDP|5489377534060375922</stp>
        <tr r="T53" s="89"/>
      </tp>
      <tp t="s">
        <v>#N/A Requesting Data...3208689099</v>
        <stp/>
        <stp>BDP|3262255082576563363</stp>
        <tr r="AD18" s="2"/>
      </tp>
      <tp t="s">
        <v>#N/A Requesting Data...3631577417</v>
        <stp/>
        <stp>BDP|9515949913399601436</stp>
        <tr r="G25" s="446"/>
      </tp>
      <tp t="s">
        <v>#N/A Requesting Data...3203916323</v>
        <stp/>
        <stp>BDP|8263574395840153846</stp>
        <tr r="AA14" s="2"/>
      </tp>
      <tp t="s">
        <v>#N/A Requesting Data...3249659797</v>
        <stp/>
        <stp>BDP|6094571479378853035</stp>
        <tr r="C22" s="2"/>
      </tp>
      <tp t="s">
        <v>#N/A Requesting Data...4288750692</v>
        <stp/>
        <stp>BDP|8438357318146538099</stp>
        <tr r="AA19" s="2"/>
      </tp>
      <tp>
        <v>8.5</v>
        <stp/>
        <stp>BDP|16359753100625413729|22</stp>
        <stp>AMZN US 07/17/26 C230 Equity</stp>
        <stp>ask</stp>
        <tr r="L104" s="89"/>
      </tp>
      <tp>
        <v>0.26410236954689026</v>
        <stp/>
        <stp>BDP|1548409391739816515|22</stp>
        <stp>NFLX US 05/15/26 C90 Equity</stp>
        <stp>DELTA_MID_RT</stp>
        <tr r="AF18" s="2"/>
      </tp>
      <tp t="s">
        <v>#N/A Requesting Data...3751384121</v>
        <stp/>
        <stp>BDP|3337761684491833019</stp>
        <tr r="F44" s="446"/>
      </tp>
      <tp t="s">
        <v>#N/A Requesting Data...4171302034</v>
        <stp/>
        <stp>BDP|4245700180187394193</stp>
        <tr r="E52" s="89"/>
      </tp>
      <tp t="s">
        <v>#N/A Requesting Data...4146256321</v>
        <stp/>
        <stp>BDP|9699474378527567053</stp>
        <tr r="AC22" s="1"/>
      </tp>
      <tp t="e">
        <v>#N/A</v>
        <stp/>
        <stp>BDH|9411520099901384959</stp>
        <tr r="AU8" s="338"/>
      </tp>
      <tp t="s">
        <v>#N/A Requesting Data...3900187823</v>
        <stp/>
        <stp>BDP|5883800860920691608</stp>
        <tr r="F5" s="2"/>
      </tp>
      <tp t="s">
        <v>#N/A Requesting Data...3326990378</v>
        <stp/>
        <stp>BDP|8663395671000280107</stp>
        <tr r="Z105" s="89"/>
        <tr r="AA105" s="89"/>
      </tp>
      <tp t="s">
        <v>#N/A Requesting Data...3964186090</v>
        <stp/>
        <stp>BDP|4958570254160242959</stp>
        <tr r="T9" s="338"/>
      </tp>
      <tp t="s">
        <v>#N/A Requesting Data...3405827638</v>
        <stp/>
        <stp>BDP|7223883239641187000</stp>
        <tr r="G16" s="446"/>
      </tp>
      <tp t="s">
        <v>#N/A Requesting Data...3301662498</v>
        <stp/>
        <stp>BDP|5114854945934215018</stp>
        <tr r="V77" s="89"/>
      </tp>
      <tp t="s">
        <v>#N/A Requesting Data...4294579522</v>
        <stp/>
        <stp>BDP|2518062780023948496</stp>
        <tr r="D94" s="89"/>
      </tp>
      <tp t="s">
        <v>#N/A Requesting Data...3705245719</v>
        <stp/>
        <stp>BDP|2437941904510102664</stp>
        <tr r="AI38" s="1"/>
      </tp>
      <tp t="s">
        <v>#N/A Requesting Data...4092452462</v>
        <stp/>
        <stp>BDP|8023230975554206472</stp>
        <tr r="U9" s="338"/>
      </tp>
      <tp t="s">
        <v>#N/A Requesting Data...4130054047</v>
        <stp/>
        <stp>BDP|2832828567039648888</stp>
        <tr r="D6" s="2"/>
      </tp>
      <tp t="s">
        <v>#N/A Requesting Data...3478550510</v>
        <stp/>
        <stp>BDP|1449141764908407306</stp>
        <tr r="F11" s="446"/>
      </tp>
      <tp t="s">
        <v>#N/A Requesting Data...3833922836</v>
        <stp/>
        <stp>BDP|1330225080490196617</stp>
        <tr r="AA95" s="89"/>
        <tr r="Z95" s="89"/>
      </tp>
      <tp t="s">
        <v>#N/A Requesting Data...3567388503</v>
        <stp/>
        <stp>BDP|7951947862590616582</stp>
        <tr r="AF28" s="1"/>
        <tr r="AF29" s="1"/>
        <tr r="AF10" s="338"/>
      </tp>
      <tp t="s">
        <v>#N/A Requesting Data...4033208669</v>
        <stp/>
        <stp>BDP|9891481019803044282</stp>
        <tr r="G23" s="446"/>
      </tp>
      <tp t="s">
        <v>#N/A Requesting Data...3835611570</v>
        <stp/>
        <stp>BDP|4140538680732569611</stp>
        <tr r="V78" s="89"/>
      </tp>
      <tp t="s">
        <v>#N/A Requesting Data...3643596738</v>
        <stp/>
        <stp>BDP|1020228396141745649</stp>
        <tr r="T13" s="2"/>
      </tp>
      <tp t="s">
        <v>#N/A Requesting Data...3728585043</v>
        <stp/>
        <stp>BDP|7612533417436704812</stp>
        <tr r="AJ10" s="338"/>
      </tp>
      <tp t="s">
        <v>#N/A Requesting Data...3471787016</v>
        <stp/>
        <stp>BDP|9574059420494792234</stp>
        <tr r="L9" s="338"/>
        <tr r="J9" s="338"/>
      </tp>
      <tp t="s">
        <v>#N/A Requesting Data...4144439172</v>
        <stp/>
        <stp>BDP|3007975292676340821</stp>
        <tr r="G24" s="446"/>
      </tp>
      <tp>
        <v>54.9</v>
        <stp/>
        <stp>BDP|10089550128122679017|22</stp>
        <stp>TSM US 06/18/26 C340 Equity</stp>
        <stp>ask</stp>
        <tr r="Q27" s="2"/>
      </tp>
      <tp>
        <v>-0.25573426485061646</v>
        <stp/>
        <stp>BDP|3431413272118379814|22</stp>
        <stp>MRVL US 03/20/26 P70 Equity</stp>
        <stp>DELTA_MID_RT</stp>
        <tr r="AF16" s="2"/>
      </tp>
      <tp t="s">
        <v>#N/A Requesting Data...3352109906</v>
        <stp/>
        <stp>BDP|5266989866390412427</stp>
        <tr r="D38" s="446"/>
      </tp>
      <tp t="s">
        <v>#N/A N/A</v>
        <stp/>
        <stp>BDP|1156396167338661238</stp>
        <tr r="AQ9" s="2"/>
        <tr r="AQ10" s="2"/>
        <tr r="AB19" s="89"/>
        <tr r="AB20" s="89"/>
        <tr r="AQ11" s="2"/>
      </tp>
      <tp t="s">
        <v>#N/A Requesting Data...3890631675</v>
        <stp/>
        <stp>BDP|8481299730697002079</stp>
        <tr r="D31" s="89"/>
      </tp>
      <tp t="s">
        <v>#N/A Requesting Data...4078753589</v>
        <stp/>
        <stp>BDP|7943480731679394789</stp>
        <tr r="AD23" s="2"/>
      </tp>
      <tp t="s">
        <v>#N/A Requesting Data...3260307039</v>
        <stp/>
        <stp>BDP|8452001835880289581</stp>
        <tr r="AB41" s="1"/>
        <tr r="AB42" s="1"/>
      </tp>
      <tp t="s">
        <v>#N/A Requesting Data...4278504220</v>
        <stp/>
        <stp>BDP|8906680696040813971</stp>
        <tr r="T30" s="89"/>
      </tp>
      <tp t="s">
        <v>#N/A Requesting Data...3903961194</v>
        <stp/>
        <stp>BDP|6865956502756622717</stp>
        <tr r="AH12" s="338"/>
        <tr r="AJ12" s="338"/>
      </tp>
      <tp t="s">
        <v>#N/A Requesting Data...3792743176</v>
        <stp/>
        <stp>BDP|2379295593121097618</stp>
        <tr r="D44" s="446"/>
      </tp>
      <tp t="e">
        <v>#N/A</v>
        <stp/>
        <stp>BDH|3788022312485801913</stp>
        <tr r="AN12" s="338"/>
      </tp>
      <tp t="e">
        <v>#N/A</v>
        <stp/>
        <stp>BDH|4044646785433903747</stp>
        <tr r="AR9" s="338"/>
      </tp>
      <tp t="s">
        <v>#N/A N/A</v>
        <stp/>
        <stp>BDP|8927803377951233812</stp>
        <tr r="AB68" s="89"/>
      </tp>
      <tp t="e">
        <v>#N/A</v>
        <stp/>
        <stp>BDH|8770528051467730110</stp>
        <tr r="AP12" s="338"/>
      </tp>
      <tp t="s">
        <v>#N/A Requesting Data...3378151752</v>
        <stp/>
        <stp>BDP|3634566470506988994</stp>
        <tr r="E19" s="2"/>
      </tp>
      <tp t="s">
        <v>#N/A Requesting Data...3874994234</v>
        <stp/>
        <stp>BDP|7820888606445653409</stp>
        <tr r="V94" s="89"/>
      </tp>
      <tp t="s">
        <v>#N/A Requesting Data...3701860249</v>
        <stp/>
        <stp>BDP|2292616657717420814</stp>
        <tr r="AF8" s="338"/>
      </tp>
      <tp t="s">
        <v>#N/A Requesting Data...3493238083</v>
        <stp/>
        <stp>BDP|1704402293557704529</stp>
        <tr r="N7" s="1"/>
      </tp>
      <tp t="e">
        <v>#N/A</v>
        <stp/>
        <stp>BDH|6640776569721176885</stp>
        <tr r="AP11" s="338"/>
      </tp>
      <tp t="s">
        <v>#N/A Requesting Data...3882752004</v>
        <stp/>
        <stp>BDP|8563663333841210245</stp>
        <tr r="T10" s="2"/>
      </tp>
      <tp t="s">
        <v>#N/A Requesting Data...3393068259</v>
        <stp/>
        <stp>BDP|5623416671028593055</stp>
        <tr r="AI9" s="338"/>
        <tr r="AK9" s="338"/>
      </tp>
      <tp t="s">
        <v>#N/A Requesting Data...3706657026</v>
        <stp/>
        <stp>BDP|8367650055794286172</stp>
        <tr r="O103" s="89"/>
        <tr r="T4" s="2"/>
      </tp>
      <tp t="s">
        <v>#N/A Requesting Data...3284647272</v>
        <stp/>
        <stp>BDP|2314906258085901552</stp>
        <tr r="E105" s="89"/>
      </tp>
      <tp t="s">
        <v>#N/A Requesting Data...3329100363</v>
        <stp/>
        <stp>BDP|2644203280360986688</stp>
        <tr r="F35" s="446"/>
        <tr r="AB28" s="1"/>
        <tr r="AB29" s="1"/>
      </tp>
      <tp>
        <v>16.98</v>
        <stp/>
        <stp>BDP|1056906607050736285|22</stp>
        <stp>CPNG Equity</stp>
        <stp>LAST PRICE</stp>
        <tr r="L7" s="446"/>
      </tp>
      <tp>
        <v>366.36</v>
        <stp/>
        <stp>BDP|10734773146792366841|22</stp>
        <stp>TSM US Equity</stp>
        <stp>LAST_PRICE</stp>
        <tr r="Z28" s="2"/>
        <tr r="Z27" s="2"/>
      </tp>
      <tp t="s">
        <v>#N/A Requesting Data...4220497387</v>
        <stp/>
        <stp>BDP|3786323124408946521</stp>
        <tr r="D45" s="446"/>
      </tp>
      <tp t="s">
        <v>#N/A Requesting Data...3877286953</v>
        <stp/>
        <stp>BDP|2806504826139638334</stp>
        <tr r="AG28" s="1"/>
        <tr r="AG29" s="1"/>
      </tp>
      <tp t="s">
        <v>#N/A Requesting Data...3616460002</v>
        <stp/>
        <stp>BDP|4784976331940308190</stp>
        <tr r="AA52" s="89"/>
        <tr r="Z52" s="89"/>
      </tp>
      <tp t="s">
        <v>#N/A Requesting Data...4137263402</v>
        <stp/>
        <stp>BDP|3661005991860731592</stp>
        <tr r="Q12" s="338"/>
      </tp>
      <tp t="s">
        <v>#N/A Requesting Data...3306292527</v>
        <stp/>
        <stp>BDP|8119275495638947437</stp>
        <tr r="AI43" s="1"/>
      </tp>
      <tp t="s">
        <v>#N/A Requesting Data...3559667610</v>
        <stp/>
        <stp>BDP|2842170687233636700</stp>
        <tr r="AH10" s="338"/>
      </tp>
      <tp t="s">
        <v>#N/A Requesting Data...4048158955</v>
        <stp/>
        <stp>BDP|4869589199183306457</stp>
        <tr r="K14" s="1"/>
      </tp>
      <tp t="s">
        <v>#N/A Requesting Data...4221302710</v>
        <stp/>
        <stp>BDP|7952717157178061208</stp>
        <tr r="AI49" s="1"/>
        <tr r="AI50" s="1"/>
        <tr r="AI51" s="1"/>
      </tp>
      <tp t="s">
        <v>#N/A Requesting Data...3782980241</v>
        <stp/>
        <stp>BDP|6268649388386345129</stp>
        <tr r="D52" s="89"/>
      </tp>
      <tp t="s">
        <v>#N/A Requesting Data...4088402920</v>
        <stp/>
        <stp>BDP|7576730522755872830</stp>
        <tr r="F38" s="446"/>
      </tp>
      <tp t="s">
        <v>#N/A Requesting Data...3394759710</v>
        <stp/>
        <stp>BDP|9298275616650973564</stp>
        <tr r="AR13" s="2"/>
      </tp>
      <tp t="s">
        <v>#N/A Requesting Data...4281341124</v>
        <stp/>
        <stp>BDP|4511290661908043710</stp>
        <tr r="AB25" s="1"/>
      </tp>
      <tp t="s">
        <v>#N/A Requesting Data...3323139320</v>
        <stp/>
        <stp>BDP|9575008976887610698</stp>
        <tr r="AD26" s="2"/>
      </tp>
      <tp t="s">
        <v>#N/A Requesting Data...3659522508</v>
        <stp/>
        <stp>BDP|3243919885914808926</stp>
        <tr r="AB14" s="1"/>
      </tp>
      <tp t="s">
        <v>#N/A Requesting Data...3616563289</v>
        <stp/>
        <stp>BDP|4227835034271013190</stp>
        <tr r="D10" s="2"/>
      </tp>
      <tp t="s">
        <v>#N/A Requesting Data...4162782438</v>
        <stp/>
        <stp>BDP|9539667201337640785</stp>
        <tr r="U12" s="338"/>
      </tp>
      <tp t="s">
        <v>#N/A Requesting Data...4009130025</v>
        <stp/>
        <stp>BDP|7446900777882759491</stp>
        <tr r="AF15" s="1"/>
        <tr r="AG9" s="338"/>
      </tp>
      <tp t="s">
        <v>#N/A Requesting Data...4223230905</v>
        <stp/>
        <stp>BDP|8782158116286979106</stp>
        <tr r="AG56" s="1"/>
        <tr r="AG57" s="1"/>
      </tp>
      <tp t="s">
        <v>#N/A Requesting Data...3872191811</v>
        <stp/>
        <stp>BDP|8622760163721094706</stp>
        <tr r="AA43" s="89"/>
        <tr r="AA44" s="89"/>
        <tr r="AA86" s="89"/>
        <tr r="AA87" s="89"/>
        <tr r="Z43" s="89"/>
        <tr r="Z44" s="89"/>
        <tr r="Z86" s="89"/>
        <tr r="Z87" s="89"/>
      </tp>
      <tp t="s">
        <v>#N/A Requesting Data...4072847142</v>
        <stp/>
        <stp>BDP|6981952152763597689</stp>
        <tr r="C18" s="2"/>
      </tp>
      <tp t="s">
        <v>#N/A Requesting Data...4077882217</v>
        <stp/>
        <stp>BDP|5576438787561382724</stp>
        <tr r="AJ9" s="338"/>
      </tp>
      <tp t="s">
        <v>#N/A Requesting Data...3836835332</v>
        <stp/>
        <stp>BDP|2475069015355307957</stp>
        <tr r="V43" s="89"/>
        <tr r="V44" s="89"/>
        <tr r="V86" s="89"/>
        <tr r="V87" s="89"/>
      </tp>
      <tp t="s">
        <v>#N/A Requesting Data...3455256858</v>
        <stp/>
        <stp>BDP|9274343827420648768</stp>
        <tr r="G10" s="446"/>
      </tp>
      <tp t="s">
        <v>#N/A Requesting Data...3891228628</v>
        <stp/>
        <stp>BDP|1937197186723171466</stp>
        <tr r="F27" s="2"/>
      </tp>
      <tp t="s">
        <v>#N/A Requesting Data...3895860976</v>
        <stp/>
        <stp>BDP|7385638697900780713</stp>
        <tr r="AB36" s="1"/>
        <tr r="AB37" s="1"/>
      </tp>
      <tp t="e">
        <v>#N/A</v>
        <stp/>
        <stp>BDH|5282259684910661047</stp>
        <tr r="AM8" s="338"/>
      </tp>
      <tp t="s">
        <v>#N/A Requesting Data...3490777398</v>
        <stp/>
        <stp>BDP|9728149439951510598</stp>
        <tr r="F16" s="2"/>
      </tp>
      <tp t="s">
        <v>#N/A Requesting Data...3491829255</v>
        <stp/>
        <stp>BDP|6970093451128790412</stp>
        <tr r="T15" s="2"/>
      </tp>
      <tp t="s">
        <v>#N/A Requesting Data...3598203193</v>
        <stp/>
        <stp>BDP|1070029333065182873</stp>
        <tr r="E7" s="2"/>
      </tp>
      <tp t="s">
        <v>#N/A Requesting Data...4285583648</v>
        <stp/>
        <stp>BDP|7185263421080695874</stp>
        <tr r="AG48" s="1"/>
      </tp>
      <tp t="e">
        <v>#N/A</v>
        <stp/>
        <stp>BDH|1832194791577135166</stp>
        <tr r="AP10" s="338"/>
      </tp>
      <tp t="s">
        <v>#N/A Requesting Data...3938452776</v>
        <stp/>
        <stp>BDP|6160662584120657700</stp>
        <tr r="G12" s="446"/>
      </tp>
      <tp>
        <v>8.35</v>
        <stp/>
        <stp>BDP|10680447617071332709|22</stp>
        <stp>AMZN US 07/17/26 C230 Equity</stp>
        <stp>bid</stp>
        <tr r="K104" s="89"/>
      </tp>
      <tp>
        <v>325.17</v>
        <stp/>
        <stp>BDP|6093066913446547993|22</stp>
        <stp>AVGO Equity</stp>
        <stp>LAST_PRICE</stp>
        <tr r="I30" s="1"/>
        <tr r="I31" s="1"/>
      </tp>
      <tp>
        <v>354.91</v>
        <stp/>
        <stp>BDP|18350845475156370580|22</stp>
        <stp>AMAT EQUITY</stp>
        <stp>LAST_PRICE</stp>
        <tr r="H4" s="1"/>
      </tp>
      <tp>
        <v>53.05</v>
        <stp/>
        <stp>BDP|14476957307763141828|22</stp>
        <stp>TSM US 06/18/26 C340 Equity</stp>
        <stp>bid</stp>
        <tr r="P27" s="2"/>
      </tp>
      <tp>
        <v>-0.10308077186346054</v>
        <stp/>
        <stp>BDP|2641201430782788314|22</stp>
        <stp>MRVL US 03/20/26 P60 Equity</stp>
        <stp>DELTA_MID_RT</stp>
        <tr r="AF17" s="2"/>
      </tp>
      <tp>
        <v>681.75</v>
        <stp/>
        <stp>BDP|11764468863197025710|22</stp>
        <stp>SPY EQUITY</stp>
        <stp>LAST_PRICE</stp>
        <tr r="L4" s="1"/>
      </tp>
      <tp t="s">
        <v>#N/A Requesting Data...3568570783</v>
        <stp/>
        <stp>BDP|2898694498747321222</stp>
        <tr r="E3" s="1"/>
      </tp>
      <tp t="s">
        <v>#N/A Requesting Data...3367124934</v>
        <stp/>
        <stp>BDP|1950856041903103650</stp>
        <tr r="D37" s="89"/>
      </tp>
      <tp t="s">
        <v>#N/A Requesting Data...3537993996</v>
        <stp/>
        <stp>BDP|7297889124804724106</stp>
        <tr r="K44" s="1"/>
      </tp>
      <tp t="s">
        <v>#N/A Requesting Data...3851700742</v>
        <stp/>
        <stp>BDP|9333244719414698648</stp>
        <tr r="AG23" s="1"/>
      </tp>
      <tp t="s">
        <v>#N/A Requesting Data...4230631775</v>
        <stp/>
        <stp>BDP|3570060505739354288</stp>
        <tr r="F21" s="2"/>
      </tp>
      <tp t="s">
        <v>#N/A Requesting Data...3487378114</v>
        <stp/>
        <stp>BDP|7099656161528162789</stp>
        <tr r="E12" s="2"/>
      </tp>
      <tp t="s">
        <v>#N/A Requesting Data...3670359760</v>
        <stp/>
        <stp>BDP|9541693808182769518</stp>
        <tr r="D29" s="446"/>
      </tp>
      <tp t="s">
        <v>#N/A Requesting Data...3855742161</v>
        <stp/>
        <stp>BDP|4088796183165826605</stp>
        <tr r="J8" s="1"/>
      </tp>
      <tp t="s">
        <v>#N/A Requesting Data...3947866588</v>
        <stp/>
        <stp>BDP|6024155984106720147</stp>
        <tr r="D28" s="2"/>
      </tp>
      <tp t="s">
        <v>#N/A Requesting Data...4198993994</v>
        <stp/>
        <stp>BDP|6839173327418343594</stp>
        <tr r="F7" s="446"/>
      </tp>
      <tp t="s">
        <v>#N/A Requesting Data...4090764027</v>
        <stp/>
        <stp>BDP|5750015540808046152</stp>
        <tr r="F26" s="2"/>
      </tp>
      <tp t="s">
        <v>#N/A Requesting Data...3959674270</v>
        <stp/>
        <stp>BDP|3552831651294208248</stp>
        <tr r="K27" s="1"/>
      </tp>
      <tp t="s">
        <v>#N/A Requesting Data...3447096262</v>
        <stp/>
        <stp>BDP|7027987678572062314</stp>
        <tr r="D36" s="446"/>
        <tr r="AC33" s="1"/>
        <tr r="AC34" s="1"/>
      </tp>
      <tp t="s">
        <v>#N/A Requesting Data...4206452295</v>
        <stp/>
        <stp>BDP|4682039371372442967</stp>
        <tr r="C14" s="89"/>
      </tp>
      <tp t="s">
        <v>#N/A N/A</v>
        <stp/>
        <stp>BDP|9400997768466424874</stp>
        <tr r="AV12" s="2"/>
      </tp>
      <tp t="s">
        <v>#N/A Requesting Data...3509017632</v>
        <stp/>
        <stp>BDP|3206760488552923633</stp>
        <tr r="AR7" s="2"/>
      </tp>
      <tp t="s">
        <v>#N/A Requesting Data...3814755569</v>
        <stp/>
        <stp>BDP|9700577072422456111</stp>
        <tr r="C17" s="2"/>
      </tp>
      <tp t="s">
        <v>#N/A Requesting Data...3386918016</v>
        <stp/>
        <stp>BDP|7729357933776037950</stp>
        <tr r="F17" s="2"/>
      </tp>
      <tp t="s">
        <v>#N/A Requesting Data...4245898517</v>
        <stp/>
        <stp>BDP|9450040674965070308</stp>
        <tr r="E28" s="2"/>
      </tp>
      <tp>
        <v>0.14000000000000001</v>
        <stp/>
        <stp>BDP|107856669483007268|22</stp>
        <stp>CSCO US 04/17/26 C95 Equity</stp>
        <stp>bid</stp>
        <tr r="P9" s="2"/>
      </tp>
      <tp t="s">
        <v>#N/A Requesting Data...3595207664</v>
        <stp/>
        <stp>BDP|9788785317823069539</stp>
        <tr r="C53" s="89"/>
      </tp>
      <tp t="s">
        <v>#N/A Requesting Data...4178990013</v>
        <stp/>
        <stp>BDP|8867427686274035940</stp>
        <tr r="C7" s="2"/>
      </tp>
      <tp t="s">
        <v>#N/A Requesting Data...3391898421</v>
        <stp/>
        <stp>BDP|2257884823860585153</stp>
        <tr r="C52" s="89"/>
      </tp>
      <tp t="s">
        <v>#N/A Requesting Data...3532988778</v>
        <stp/>
        <stp>BDP|8718543474091869263</stp>
        <tr r="T25" s="2"/>
      </tp>
      <tp t="s">
        <v>#N/A Requesting Data...3626749216</v>
        <stp/>
        <stp>BDP|2463897743725982291</stp>
        <tr r="F20" s="446"/>
      </tp>
      <tp t="s">
        <v>#N/A Requesting Data...3457205705</v>
        <stp/>
        <stp>BDP|8207706352447744484</stp>
        <tr r="AG41" s="1"/>
        <tr r="AG42" s="1"/>
      </tp>
      <tp t="s">
        <v>#N/A Requesting Data...3701840917</v>
        <stp/>
        <stp>BDP|3807152186686212561</stp>
        <tr r="V13" s="89"/>
        <tr r="AD21" s="2"/>
      </tp>
      <tp t="s">
        <v>#N/A Requesting Data...4078914923</v>
        <stp/>
        <stp>BDP|8879444952783332316</stp>
        <tr r="E36" s="89"/>
      </tp>
      <tp t="s">
        <v>#N/A N/A</v>
        <stp/>
        <stp>BDP|4257808009861032472</stp>
        <tr r="AC9" s="2"/>
        <tr r="AC10" s="2"/>
        <tr r="AC11" s="2"/>
      </tp>
      <tp t="s">
        <v>#N/A Requesting Data...3729641706</v>
        <stp/>
        <stp>BDP|9887014763094705206</stp>
        <tr r="K54" s="1"/>
      </tp>
      <tp t="s">
        <v>#N/A Requesting Data...3782987860</v>
        <stp/>
        <stp>BDP|9841476796028359579</stp>
        <tr r="AG46" s="1"/>
      </tp>
      <tp t="s">
        <v>#N/A Requesting Data...4092294612</v>
        <stp/>
        <stp>BDP|3411193788855096676</stp>
        <tr r="AA28" s="2"/>
      </tp>
      <tp t="e">
        <v>#N/A</v>
        <stp/>
        <stp>BDH|9889849072446961958</stp>
        <tr r="AS10" s="338"/>
        <tr r="AS12" s="338"/>
        <tr r="AS11" s="338"/>
      </tp>
      <tp t="s">
        <v>#N/A Requesting Data...3302627706</v>
        <stp/>
        <stp>BDP|7993388784955622003</stp>
        <tr r="L47" s="1"/>
      </tp>
      <tp t="s">
        <v>#N/A Requesting Data...3952129212</v>
        <stp/>
        <stp>BDP|1209552834247328939</stp>
        <tr r="AC23" s="1"/>
      </tp>
      <tp t="s">
        <v>#N/A Requesting Data...3443427696</v>
        <stp/>
        <stp>BDP|2048477006706491956</stp>
        <tr r="X9" s="338"/>
      </tp>
      <tp t="s">
        <v>#N/A Requesting Data...4153541297</v>
        <stp/>
        <stp>BDP|3197780086583729681</stp>
        <tr r="AR26" s="2"/>
      </tp>
      <tp t="s">
        <v>#N/A Requesting Data...3522124884</v>
        <stp/>
        <stp>BDP|8993500628312049404</stp>
        <tr r="E88" s="89"/>
      </tp>
      <tp t="s">
        <v>#N/A Requesting Data...3750569227</v>
        <stp/>
        <stp>BDP|8690033388548820123</stp>
        <tr r="AJ11" s="338"/>
      </tp>
      <tp t="s">
        <v>#N/A Requesting Data...3946127031</v>
        <stp/>
        <stp>BDP|6141864573737095712</stp>
        <tr r="T43" s="89"/>
        <tr r="T44" s="89"/>
        <tr r="T86" s="89"/>
        <tr r="T87" s="89"/>
      </tp>
      <tp t="s">
        <v>#N/A N/A</v>
        <stp/>
        <stp>BDP|8508395004434515685</stp>
        <tr r="AQ18" s="2"/>
        <tr r="AQ19" s="2"/>
      </tp>
      <tp>
        <v>16.2</v>
        <stp/>
        <stp>BDP|14111141271769378618|22</stp>
        <stp>META US 04/17/26 C690 Equity</stp>
        <stp>ask</stp>
        <tr r="L77" s="89"/>
      </tp>
      <tp>
        <v>6.3</v>
        <stp/>
        <stp>BDP|11099776990089383032|22</stp>
        <stp>AMZN US 07/17/26 C240 Equity</stp>
        <stp>ask</stp>
        <tr r="L103" s="89"/>
        <tr r="Q4" s="2"/>
      </tp>
      <tp>
        <v>354.66</v>
        <stp/>
        <stp>BDP|18199450611944645778|22</stp>
        <stp>SOXX EQUITY</stp>
        <stp>LAST_PRICE</stp>
        <tr r="L3" s="1"/>
      </tp>
      <tp t="s">
        <v>#N/A N/A</v>
        <stp/>
        <stp>BDP|8177487420461668552</stp>
        <tr r="K1" s="2"/>
      </tp>
      <tp t="s">
        <v>#N/A Requesting Data...3973630640</v>
        <stp/>
        <stp>BDP|7230833674217968563</stp>
        <tr r="S12" s="338"/>
      </tp>
      <tp t="s">
        <v>#N/A Requesting Data...3759949501</v>
        <stp/>
        <stp>BDP|3603190722478324251</stp>
        <tr r="AI33" s="1"/>
        <tr r="AI34" s="1"/>
      </tp>
      <tp t="s">
        <v>#N/A N/A</v>
        <stp/>
        <stp>BDP|1841797186795773188</stp>
        <tr r="R7" s="89"/>
        <tr r="R8" s="89"/>
        <tr r="AV13" s="2"/>
        <tr r="AV14" s="2"/>
      </tp>
      <tp t="s">
        <v>#N/A Requesting Data...3381911726</v>
        <stp/>
        <stp>BDP|6392840872006556586</stp>
        <tr r="E8" s="1"/>
      </tp>
      <tp t="s">
        <v>#N/A Requesting Data...4116083733</v>
        <stp/>
        <stp>BDP|1780808733861584195</stp>
        <tr r="T31" s="89"/>
      </tp>
      <tp t="s">
        <v>#N/A Requesting Data...3747322663</v>
        <stp/>
        <stp>BDP|2382458668849101304</stp>
        <tr r="K12" s="1"/>
      </tp>
      <tp t="s">
        <v>#N/A Requesting Data...3966939473</v>
        <stp/>
        <stp>BDP|3271990383928035073</stp>
        <tr r="N10" s="1"/>
      </tp>
      <tp t="s">
        <v>#N/A Requesting Data...4251787524</v>
        <stp/>
        <stp>BDP|9977817467619706457</stp>
        <tr r="E23" s="2"/>
      </tp>
      <tp t="s">
        <v>#N/A Requesting Data...3952883700</v>
        <stp/>
        <stp>BDP|2322958882768230140</stp>
        <tr r="E43" s="89"/>
        <tr r="E44" s="89"/>
        <tr r="E62" s="89"/>
        <tr r="E86" s="89"/>
        <tr r="E87" s="89"/>
      </tp>
      <tp t="s">
        <v>#N/A Requesting Data...3506964502</v>
        <stp/>
        <stp>BDP|4705798090284803453</stp>
        <tr r="AA94" s="89"/>
        <tr r="Z94" s="89"/>
      </tp>
      <tp t="s">
        <v>#N/A N/A</v>
        <stp/>
        <stp>BDP|8471485932241814460</stp>
        <tr r="AB103" s="89"/>
        <tr r="AB104" s="89"/>
        <tr r="AB105" s="89"/>
        <tr r="AB94" s="89"/>
        <tr r="AB95" s="89"/>
        <tr r="AB96" s="89"/>
        <tr r="AQ4" s="2"/>
        <tr r="AQ5" s="2"/>
      </tp>
      <tp t="s">
        <v>#N/A Requesting Data...4154842813</v>
        <stp/>
        <stp>BDP|6310164690724411011</stp>
        <tr r="J7" s="1"/>
      </tp>
      <tp t="s">
        <v>#N/A Requesting Data...3802881700</v>
        <stp/>
        <stp>BDP|8582278211013363216</stp>
        <tr r="AI15" s="1"/>
      </tp>
      <tp t="s">
        <v>#N/A Requesting Data...3816057648</v>
        <stp/>
        <stp>BDP|9965794027725386324</stp>
        <tr r="F26" s="446"/>
        <tr r="AB19" s="1"/>
      </tp>
      <tp t="s">
        <v>#N/A Requesting Data...3828233884</v>
        <stp/>
        <stp>BDP|4771877785177489975</stp>
        <tr r="T95" s="89"/>
      </tp>
      <tp t="s">
        <v>#N/A Requesting Data...4030841088</v>
        <stp/>
        <stp>BDP|3885846074322660492</stp>
        <tr r="AG55" s="1"/>
      </tp>
      <tp t="s">
        <v>#N/A Requesting Data...4092880406</v>
        <stp/>
        <stp>BDP|6427663149207877946</stp>
        <tr r="F24" s="2"/>
      </tp>
      <tp t="s">
        <v>#N/A Requesting Data...3486622155</v>
        <stp/>
        <stp>BDP|6264442686087790708</stp>
        <tr r="T8" s="89"/>
      </tp>
      <tp t="s">
        <v>#N/A N/A</v>
        <stp/>
        <stp>BDP|2140911238616808459</stp>
        <tr r="AQ15" s="2"/>
        <tr r="AB77" s="89"/>
        <tr r="AB78" s="89"/>
        <tr r="AB79" s="89"/>
        <tr r="AB88" s="89"/>
      </tp>
      <tp>
        <v>3.7</v>
        <stp/>
        <stp>BDP|14632644245714909657|22</stp>
        <stp>LITE US 02/20/26 C690 Equity</stp>
        <stp>ask</stp>
        <tr r="L7" s="89"/>
      </tp>
      <tp t="s">
        <v>#N/A Real Time</v>
        <stp/>
        <stp>BDP|11422101846013417478|22</stp>
        <stp>SPXW US 12/31/25 C6950 Index</stp>
        <stp>bid</stp>
        <tr r="K68" s="89"/>
      </tp>
      <tp>
        <v>53.98</v>
        <stp/>
        <stp>BDP|12794319931511644694|22</stp>
        <stp>TSM US 06/18/26 C340 Equity</stp>
        <stp>mid</stp>
        <tr r="L27" s="2"/>
      </tp>
      <tp t="s">
        <v>#N/A Requesting Data...3930316589</v>
        <stp/>
        <stp>BDP|4600797755115245822</stp>
        <tr r="O36" s="89"/>
      </tp>
      <tp t="s">
        <v>#N/A Requesting Data...3320751714</v>
        <stp/>
        <stp>BDP|8113848798580680214</stp>
        <tr r="AG47" s="1"/>
      </tp>
      <tp t="s">
        <v>#N/A Requesting Data...3908139833</v>
        <stp/>
        <stp>BDP|4720977352876139588</stp>
        <tr r="AD14" s="2"/>
      </tp>
      <tp t="s">
        <v>#N/A Requesting Data...3774030389</v>
        <stp/>
        <stp>BDP|7947858597459107431</stp>
        <tr r="T62" s="89"/>
      </tp>
      <tp t="s">
        <v>#N/A Requesting Data...3414740694</v>
        <stp/>
        <stp>BDP|4502789287684003446</stp>
        <tr r="AR15" s="2"/>
      </tp>
      <tp t="s">
        <v>#N/A Requesting Data...3400447820</v>
        <stp/>
        <stp>BDP|9866940913692641877</stp>
        <tr r="AF20" s="1"/>
      </tp>
      <tp t="s">
        <v>#N/A Requesting Data...3887334073</v>
        <stp/>
        <stp>BDP|8737954890503872047</stp>
        <tr r="D33" s="446"/>
      </tp>
      <tp t="s">
        <v>#N/A Requesting Data...3578638301</v>
        <stp/>
        <stp>BDP|2112788937098040510</stp>
        <tr r="AH9" s="338"/>
        <tr r="AJ9" s="338"/>
      </tp>
      <tp t="s">
        <v>#N/A Requesting Data...3450672663</v>
        <stp/>
        <stp>BDP|7374956153436911633</stp>
        <tr r="T7" s="2"/>
      </tp>
      <tp t="s">
        <v>#N/A Requesting Data...3958994687</v>
        <stp/>
        <stp>BDP|8260183404423443160</stp>
        <tr r="L27" s="1"/>
      </tp>
      <tp t="s">
        <v>#N/A Requesting Data...4101023100</v>
        <stp/>
        <stp>BDP|7001248851652159998</stp>
        <tr r="T10" s="338"/>
      </tp>
      <tp t="s">
        <v>#N/A Requesting Data...3948921165</v>
        <stp/>
        <stp>BDP|8513245560157862045</stp>
        <tr r="C26" s="2"/>
      </tp>
      <tp t="s">
        <v>#N/A Requesting Data...3892301697</v>
        <stp/>
        <stp>BDP|9495447526942096644</stp>
        <tr r="AD17" s="2"/>
      </tp>
      <tp t="s">
        <v>#N/A Requesting Data...3337865725</v>
        <stp/>
        <stp>BDP|1702895140464972256</stp>
        <tr r="T94" s="89"/>
      </tp>
      <tp t="s">
        <v>#N/A Requesting Data...3951200629</v>
        <stp/>
        <stp>BDP|8877503375972789382</stp>
        <tr r="E18" s="2"/>
      </tp>
      <tp t="s">
        <v>#N/A N/A</v>
        <stp/>
        <stp>BDP|2220703499371845606</stp>
        <tr r="R13" s="89"/>
        <tr r="R14" s="89"/>
        <tr r="AV20" s="2"/>
        <tr r="AV21" s="2"/>
        <tr r="AV22" s="2"/>
      </tp>
      <tp t="s">
        <v>#N/A Requesting Data...4191725603</v>
        <stp/>
        <stp>BDP|9615961074615640914</stp>
        <tr r="AK10" s="338"/>
        <tr r="AK11" s="338"/>
        <tr r="AK12" s="338"/>
      </tp>
      <tp t="s">
        <v>#N/A Requesting Data...3458449535</v>
        <stp/>
        <stp>BDP|6241611932378988086</stp>
        <tr r="G42" s="446"/>
      </tp>
      <tp t="s">
        <v>#N/A Requesting Data...3531948912</v>
        <stp/>
        <stp>BDP|7985659615982817917</stp>
        <tr r="V12" s="338"/>
      </tp>
      <tp t="s">
        <v>#N/A Requesting Data...3703169393</v>
        <stp/>
        <stp>BDP|9166490303764928247</stp>
        <tr r="AI26" s="1"/>
      </tp>
      <tp t="s">
        <v>#N/A Requesting Data...3651278365</v>
        <stp/>
        <stp>BDP|5038508661564412926</stp>
        <tr r="AA26" s="2"/>
      </tp>
      <tp t="s">
        <v>#N/A Requesting Data...4136415282</v>
        <stp/>
        <stp>BDP|2612160096671704068</stp>
        <tr r="D31" s="446"/>
      </tp>
      <tp t="s">
        <v>#N/A Requesting Data...4130121885</v>
        <stp/>
        <stp>BDP|6048392586087350188</stp>
        <tr r="F18" s="2"/>
      </tp>
      <tp t="s">
        <v>#N/A Requesting Data...3875809908</v>
        <stp/>
        <stp>BDP|9318183699928316256</stp>
        <tr r="D43" s="446"/>
      </tp>
      <tp t="s">
        <v>#N/A Requesting Data...4122822865</v>
        <stp/>
        <stp>BDP|2130704157473529871</stp>
        <tr r="C16" s="2"/>
      </tp>
      <tp t="s">
        <v>#N/A Requesting Data...3913063626</v>
        <stp/>
        <stp>BDP|8633363721614159645</stp>
        <tr r="G8" s="446"/>
      </tp>
      <tp t="s">
        <v>#N/A Requesting Data...4193780904</v>
        <stp/>
        <stp>BDP|2531545265849859392</stp>
        <tr r="E7" s="89"/>
      </tp>
      <tp t="s">
        <v>#N/A Requesting Data...3928832874</v>
        <stp/>
        <stp>BDP|1953219309458172051</stp>
        <tr r="E103" s="89"/>
      </tp>
      <tp t="s">
        <v>#N/A Requesting Data...3627651798</v>
        <stp/>
        <stp>BDP|7445915677442443033</stp>
        <tr r="AC26" s="1"/>
      </tp>
      <tp>
        <v>78.61</v>
        <stp/>
        <stp>BDP|2279876738225149449|22</stp>
        <stp>MRVL US Equity</stp>
        <stp>LAST_PRICE</stp>
        <tr r="Z16" s="2"/>
        <tr r="Z17" s="2"/>
      </tp>
      <tp>
        <v>-5.1441378891468048E-3</v>
        <stp/>
        <stp>BDP|8924407735712467723|22</stp>
        <stp>CSCO US 04/17/26 C100 Equity</stp>
        <stp>theta_mid_rt</stp>
        <tr r="AN10" s="2"/>
      </tp>
      <tp t="s">
        <v>#N/A Requesting Data...3971481069</v>
        <stp/>
        <stp>BDP|9669031297401111598</stp>
        <tr r="AG36" s="1"/>
        <tr r="AG37" s="1"/>
      </tp>
      <tp t="s">
        <v>#N/A N/A</v>
        <stp/>
        <stp>BDP|4283940605309327082</stp>
        <tr r="AV6" s="2"/>
        <tr r="AV7" s="2"/>
      </tp>
      <tp t="s">
        <v>#N/A Requesting Data...3647595082</v>
        <stp/>
        <stp>BDP|3958804124584137945</stp>
        <tr r="T12" s="2"/>
      </tp>
      <tp t="s">
        <v>#N/A Requesting Data...3406606103</v>
        <stp/>
        <stp>BDP|2906346500884364176</stp>
        <tr r="AJ8" s="338"/>
      </tp>
      <tp t="s">
        <v>#N/A Requesting Data...4242818057</v>
        <stp/>
        <stp>BDP|3419727698730200952</stp>
        <tr r="AR6" s="2"/>
      </tp>
      <tp t="s">
        <v>#N/A Requesting Data...4020322263</v>
        <stp/>
        <stp>BDP|1105691956700330633</stp>
        <tr r="AG30" s="1"/>
        <tr r="AG31" s="1"/>
      </tp>
      <tp t="e">
        <v>#N/A</v>
        <stp/>
        <stp>BDH|7795576132324419187</stp>
        <tr r="AU10" s="338"/>
        <tr r="AU11" s="338"/>
        <tr r="AU12" s="338"/>
      </tp>
      <tp t="s">
        <v>#N/A Requesting Data...4105634619</v>
        <stp/>
        <stp>BDP|7494523709231730773</stp>
        <tr r="F31" s="446"/>
      </tp>
      <tp t="s">
        <v>#N/A Requesting Data...4196503676</v>
        <stp/>
        <stp>BDP|2743037479982482367</stp>
        <tr r="AF43" s="1"/>
      </tp>
      <tp t="s">
        <v>#N/A Requesting Data...3624012776</v>
        <stp/>
        <stp>BDP|8955956356965721515</stp>
        <tr r="Q9" s="338"/>
      </tp>
      <tp t="s">
        <v>#N/A Requesting Data...3407504338</v>
        <stp/>
        <stp>BDP|4916349981223611875</stp>
        <tr r="AA22" s="2"/>
      </tp>
      <tp t="s">
        <v>#N/A Requesting Data...3876600075</v>
        <stp/>
        <stp>BDP|9063402768959888626</stp>
        <tr r="AA12" s="2"/>
      </tp>
      <tp t="s">
        <v>#N/A Requesting Data...3774164344</v>
        <stp/>
        <stp>BDP|1615244074723761330</stp>
        <tr r="T12" s="338"/>
      </tp>
      <tp t="s">
        <v>#N/A Requesting Data...3591003460</v>
        <stp/>
        <stp>BDP|9388220856722747837</stp>
        <tr r="AF16" s="1"/>
        <tr r="AF17" s="1"/>
      </tp>
      <tp t="s">
        <v>#N/A Requesting Data...3356776129</v>
        <stp/>
        <stp>BDP|5790626169004593599</stp>
        <tr r="F40" s="446"/>
      </tp>
      <tp t="s">
        <v>#N/A Requesting Data...3939809682</v>
        <stp/>
        <stp>BDP|7599424229276827376</stp>
        <tr r="AF49" s="1"/>
        <tr r="AF50" s="1"/>
        <tr r="AF51" s="1"/>
      </tp>
      <tp t="s">
        <v>#N/A Requesting Data...3900310706</v>
        <stp/>
        <stp>BDP|1398003727344666338</stp>
        <tr r="AI47" s="1"/>
      </tp>
      <tp t="s">
        <v>#N/A Requesting Data...3384329671</v>
        <stp/>
        <stp>BDP|6940186872470420463</stp>
        <tr r="AI32" s="1"/>
      </tp>
      <tp t="s">
        <v>#N/A Requesting Data...4269569325</v>
        <stp/>
        <stp>BDP|5028796441871860363</stp>
        <tr r="D8" s="2"/>
      </tp>
      <tp t="s">
        <v>#N/A Requesting Data...3469660546</v>
        <stp/>
        <stp>BDP|5440482774885960773</stp>
        <tr r="AH12" s="338"/>
      </tp>
      <tp t="s">
        <v>#N/A Requesting Data...3415500731</v>
        <stp/>
        <stp>BDP|2357040805921494704</stp>
        <tr r="AJ9" s="338"/>
      </tp>
      <tp t="e">
        <v>#N/A</v>
        <stp/>
        <stp>BDH|9339010724867182811</stp>
        <tr r="AP8" s="338"/>
      </tp>
      <tp t="s">
        <v>#N/A Requesting Data...4136079776</v>
        <stp/>
        <stp>BDP|8103428543709687520</stp>
        <tr r="G5" s="446"/>
        <tr r="G6" s="446"/>
      </tp>
      <tp t="s">
        <v>#N/A Requesting Data...3783243901</v>
        <stp/>
        <stp>BDP|5430094244624859152</stp>
        <tr r="D34" s="446"/>
      </tp>
      <tp t="s">
        <v>#N/A Requesting Data...4138984762</v>
        <stp/>
        <stp>BDP|1078729632953183247</stp>
        <tr r="AD9" s="2"/>
      </tp>
      <tp t="s">
        <v>#N/A Requesting Data...4171727345</v>
        <stp/>
        <stp>BDP|4500964458409639588</stp>
        <tr r="K55" s="1"/>
      </tp>
      <tp t="s">
        <v>#N/A Requesting Data...3603313500</v>
        <stp/>
        <stp>BDP|7007213395359878194</stp>
        <tr r="C15" s="2"/>
      </tp>
      <tp>
        <v>639.77</v>
        <stp/>
        <stp>BDP|3807768373389777345|22</stp>
        <stp>META Equity</stp>
        <stp>LAST_PRICE</stp>
        <tr r="I19" s="1"/>
      </tp>
      <tp>
        <v>111.76</v>
        <stp/>
        <stp>BDP|7985005465703992696|22</stp>
        <stp>AKAM Equity</stp>
        <stp>LAST_PRICE</stp>
        <tr r="I40" s="1"/>
        <tr r="I39" s="1"/>
      </tp>
      <tp>
        <v>103.94</v>
        <stp/>
        <stp>BDP|11512636158714040679|22</stp>
        <stp>GDX EQUITY</stp>
        <stp>LAST_PRICE</stp>
        <tr r="L10" s="1"/>
      </tp>
      <tp t="s">
        <v>USD</v>
        <stp/>
        <stp>BDP|15724339035979194733|22</stp>
        <stp>META US 02/27/26 C660 Equity</stp>
        <stp>QUOTED_CURRENCY_REALTIME</stp>
        <tr r="F88" s="89"/>
      </tp>
      <tp t="s">
        <v>#N/A Requesting Data...3462652646</v>
        <stp/>
        <stp>BDP|9005897765572380053</stp>
        <tr r="E16" s="2"/>
      </tp>
      <tp t="s">
        <v>#N/A N/A</v>
        <stp/>
        <stp>BDP|1163242074811817033</stp>
        <tr r="R96" s="89"/>
        <tr r="R95" s="89"/>
        <tr r="R94" s="89"/>
        <tr r="R103" s="89"/>
        <tr r="R105" s="89"/>
        <tr r="AV4" s="2"/>
        <tr r="AV5" s="2"/>
        <tr r="R104" s="89"/>
      </tp>
      <tp t="s">
        <v>#N/A Requesting Data...3681976518</v>
        <stp/>
        <stp>BDP|2837824905837183849</stp>
        <tr r="D103" s="89"/>
      </tp>
      <tp t="s">
        <v>#N/A Requesting Data...3480926504</v>
        <stp/>
        <stp>BDP|2935461966306109320</stp>
        <tr r="AC24" s="1"/>
      </tp>
      <tp t="s">
        <v>#N/A Requesting Data...3617427324</v>
        <stp/>
        <stp>BDP|4780459414043985746</stp>
        <tr r="S9" s="338"/>
      </tp>
      <tp t="s">
        <v>#N/A Requesting Data...3844523804</v>
        <stp/>
        <stp>BDP|3715220583989463590</stp>
        <tr r="F30" s="446"/>
      </tp>
      <tp t="s">
        <v>#N/A Requesting Data...3654234911</v>
        <stp/>
        <stp>BDP|3983744460122577503</stp>
        <tr r="AF30" s="1"/>
        <tr r="AF31" s="1"/>
        <tr r="AF12" s="338"/>
      </tp>
      <tp t="s">
        <v>#N/A Requesting Data...3874571287</v>
        <stp/>
        <stp>BDP|5437055478404805396</stp>
        <tr r="E19" s="89"/>
      </tp>
      <tp t="s">
        <v>#N/A Requesting Data...3505895295</v>
        <stp/>
        <stp>BDP|3617391345682291314</stp>
        <tr r="D7" s="2"/>
      </tp>
      <tp t="s">
        <v>#N/A Requesting Data...4135209318</v>
        <stp/>
        <stp>BDP|3051431949301095732</stp>
        <tr r="AB43" s="1"/>
      </tp>
      <tp t="s">
        <v>#N/A Requesting Data...4159135078</v>
        <stp/>
        <stp>BDP|9260849128942358439</stp>
        <tr r="AD15" s="2"/>
      </tp>
      <tp t="s">
        <v>#N/A Requesting Data...4146214038</v>
        <stp/>
        <stp>BDP|1071396022310529501</stp>
        <tr r="AF25" s="1"/>
      </tp>
      <tp t="s">
        <v>#N/A Requesting Data...3622857198</v>
        <stp/>
        <stp>BDP|2636595951407112010</stp>
        <tr r="D41" s="446"/>
      </tp>
      <tp t="s">
        <v>#N/A Requesting Data...3693804696</v>
        <stp/>
        <stp>BDP|6525006869707181227</stp>
        <tr r="AG10" s="338"/>
        <tr r="AG11" s="338"/>
        <tr r="AG12" s="338"/>
      </tp>
      <tp t="s">
        <v>#N/A Requesting Data...4018929986</v>
        <stp/>
        <stp>BDP|3535065497927976817</stp>
        <tr r="E10" s="2"/>
      </tp>
      <tp t="s">
        <v>#N/A Requesting Data...4215003547</v>
        <stp/>
        <stp>BDP|7410592363259611858</stp>
        <tr r="N3" s="1"/>
      </tp>
      <tp t="s">
        <v>#N/A Requesting Data...4106132337</v>
        <stp/>
        <stp>BDP|9998409481797157749</stp>
        <tr r="T61" s="89"/>
      </tp>
      <tp t="e">
        <v>#N/A</v>
        <stp/>
        <stp>BDH|2673573750117400080</stp>
        <tr r="AP9" s="338"/>
      </tp>
      <tp t="s">
        <v>#N/A Requesting Data...4002863027</v>
        <stp/>
        <stp>BDP|2600239713082155642</stp>
        <tr r="Z104" s="89"/>
        <tr r="AA104" s="89"/>
      </tp>
      <tp t="s">
        <v>#N/A Requesting Data...3697270485</v>
        <stp/>
        <stp>BDP|5133852355808281539</stp>
        <tr r="AD16" s="2"/>
      </tp>
      <tp t="s">
        <v>#N/A Requesting Data...3421062300</v>
        <stp/>
        <stp>BDP|9525835047501594141</stp>
        <tr r="AG18" s="1"/>
      </tp>
      <tp t="e">
        <v>#N/A</v>
        <stp/>
        <stp>BDH|9238444926223958998</stp>
        <tr r="AN9" s="338"/>
      </tp>
      <tp t="s">
        <v>#N/A Requesting Data...3538911863</v>
        <stp/>
        <stp>BDP|6695752411146080338</stp>
        <tr r="AG22" s="1"/>
      </tp>
      <tp t="s">
        <v>#N/A Requesting Data...3701565609</v>
        <stp/>
        <stp>BDP|4316184976870928759</stp>
        <tr r="AF39" s="1"/>
        <tr r="AF40" s="1"/>
      </tp>
      <tp t="s">
        <v>#N/A Requesting Data...3646866034</v>
        <stp/>
        <stp>BDP|7605824123750285830</stp>
        <tr r="E13" s="89"/>
      </tp>
      <tp t="s">
        <v>#N/A Requesting Data...3602172982</v>
        <stp/>
        <stp>BDP|9342992826077801027</stp>
        <tr r="O104" s="89"/>
      </tp>
      <tp t="s">
        <v>#N/A Requesting Data...3919034655</v>
        <stp/>
        <stp>BDP|3531766210442590208</stp>
        <tr r="AF21" s="1"/>
      </tp>
      <tp t="s">
        <v>#N/A Requesting Data...3615663934</v>
        <stp/>
        <stp>BDP|6233465384708388740</stp>
        <tr r="V36" s="89"/>
      </tp>
      <tp t="s">
        <v>#N/A Requesting Data...3931462213</v>
        <stp/>
        <stp>BDP|5962301366600823503</stp>
        <tr r="D7" s="89"/>
      </tp>
      <tp t="s">
        <v>#N/A Requesting Data...3777599844</v>
        <stp/>
        <stp>BDP|5474124358561155585</stp>
        <tr r="Z7" s="89"/>
        <tr r="AA7" s="89"/>
      </tp>
      <tp t="s">
        <v>#N/A Requesting Data...4215281287</v>
        <stp/>
        <stp>BDP|8627744419858747384</stp>
        <tr r="K25" s="1"/>
      </tp>
      <tp t="s">
        <v>#N/A Requesting Data...3755935633</v>
        <stp/>
        <stp>BDP|1049827719034709981</stp>
        <tr r="F25" s="2"/>
      </tp>
      <tp t="s">
        <v>#N/A Requesting Data...4071832169</v>
        <stp/>
        <stp>BDP|7460910680203620073</stp>
        <tr r="E27" s="2"/>
      </tp>
      <tp t="s">
        <v>#N/A Requesting Data...4202714927</v>
        <stp/>
        <stp>BDP|2426662074501571768</stp>
        <tr r="AI39" s="1"/>
        <tr r="AI40" s="1"/>
      </tp>
      <tp>
        <v>17.350000000000001</v>
        <stp/>
        <stp>BDP|17639242458664595880|22</stp>
        <stp>AMZN US 12/18/26 C230 Equity</stp>
        <stp>bid</stp>
        <tr r="K95" s="89"/>
      </tp>
      <tp>
        <v>91.35</v>
        <stp/>
        <stp>BDP|10387723808744264023|22</stp>
        <stp>LITE US 06/18/26 C720 Equity</stp>
        <stp>mid</stp>
        <tr r="L14" s="2"/>
      </tp>
      <tp>
        <v>49.45</v>
        <stp/>
        <stp>BDP|10509480426370688750|22</stp>
        <stp>META US 07/17/26 C670 Equity</stp>
        <stp>bid</stp>
        <tr r="K78" s="89"/>
      </tp>
      <tp t="s">
        <v>USD</v>
        <stp/>
        <stp>BDP|397487976034915571|22</stp>
        <stp>TSM US 06/18/26 C380 Equity</stp>
        <stp>QUOTED_CURRENCY_REALTIME</stp>
        <tr r="G28" s="2"/>
      </tp>
      <tp t="s">
        <v>#N/A Requesting Data...4001053592</v>
        <stp/>
        <stp>BDP|7188757863485888551</stp>
        <tr r="G39" s="446"/>
      </tp>
      <tp t="s">
        <v>#N/A Requesting Data...4098863940</v>
        <stp/>
        <stp>BDP|7422247533576110683</stp>
        <tr r="AI55" s="1"/>
      </tp>
      <tp t="s">
        <v>#N/A Requesting Data...3878839800</v>
        <stp/>
        <stp>BDP|6920156137415862792</stp>
        <tr r="C96" s="89"/>
      </tp>
      <tp t="s">
        <v>#N/A Requesting Data...3585108346</v>
        <stp/>
        <stp>BDP|7978267068122812754</stp>
        <tr r="C20" s="2"/>
      </tp>
      <tp t="s">
        <v>#N/A Requesting Data...3702106323</v>
        <stp/>
        <stp>BDP|1481294716502130617</stp>
        <tr r="AB39" s="1"/>
        <tr r="AB40" s="1"/>
      </tp>
      <tp t="s">
        <v>#N/A Requesting Data...4101533718</v>
        <stp/>
        <stp>BDP|4646626558147768607</stp>
        <tr r="T52" s="89"/>
      </tp>
      <tp t="s">
        <v>#N/A Requesting Data...3723014935</v>
        <stp/>
        <stp>BDP|1754575979255457051</stp>
        <tr r="G14" s="446"/>
      </tp>
      <tp t="s">
        <v>#N/A Requesting Data...3640808026</v>
        <stp/>
        <stp>BDP|6095484704072209604</stp>
        <tr r="AJ10" s="338"/>
      </tp>
      <tp t="s">
        <v>#N/A Requesting Data...4171391762</v>
        <stp/>
        <stp>BDP|6921540255739678909</stp>
        <tr r="AK8" s="338"/>
      </tp>
      <tp t="s">
        <v>#N/A Requesting Data...3577696330</v>
        <stp/>
        <stp>BDP|6647458260250823259</stp>
        <tr r="AD19" s="2"/>
      </tp>
      <tp t="s">
        <v>#N/A Requesting Data...3858901193</v>
        <stp/>
        <stp>BDP|5836174453674625345</stp>
        <tr r="V10" s="338"/>
      </tp>
      <tp t="s">
        <v>#N/A Requesting Data...4244513904</v>
        <stp/>
        <stp>BDP|6914181187250139988</stp>
        <tr r="AA8" s="2"/>
      </tp>
      <tp t="s">
        <v>#N/A Requesting Data...3655264534</v>
        <stp/>
        <stp>BDP|7621929051214853926</stp>
        <tr r="C19" s="89"/>
      </tp>
      <tp t="s">
        <v>#N/A Requesting Data...4280033325</v>
        <stp/>
        <stp>BDP|6424197278955809323</stp>
        <tr r="V62" s="89"/>
      </tp>
      <tp t="s">
        <v>#N/A Requesting Data...3448721547</v>
        <stp/>
        <stp>BDP|3930578222146831483</stp>
        <tr r="G43" s="446"/>
      </tp>
      <tp t="s">
        <v>#N/A Requesting Data...3502111269</v>
        <stp/>
        <stp>BDP|8403728728339567278</stp>
        <tr r="AC56" s="1"/>
        <tr r="AC57" s="1"/>
      </tp>
      <tp t="s">
        <v>#N/A Requesting Data...4123502486</v>
        <stp/>
        <stp>BDP|5969432556003847186</stp>
        <tr r="K47" s="1"/>
      </tp>
      <tp t="s">
        <v>#N/A Requesting Data...3714685275</v>
        <stp/>
        <stp>BDP|3166087990788095446</stp>
        <tr r="G21" s="446"/>
      </tp>
      <tp t="s">
        <v>#N/A Requesting Data...4129399745</v>
        <stp/>
        <stp>BDP|6439251290132958955</stp>
        <tr r="AG54" s="1"/>
      </tp>
      <tp t="s">
        <v>#N/A Requesting Data...3665024520</v>
        <stp/>
        <stp>BDP|7756137857847935285</stp>
        <tr r="Z13" s="89"/>
        <tr r="AA13" s="89"/>
      </tp>
      <tp t="s">
        <v>#N/A Requesting Data...4157024653</v>
        <stp/>
        <stp>BDP|4148348666006447154</stp>
        <tr r="AF18" s="1"/>
      </tp>
      <tp t="s">
        <v>#N/A Requesting Data...3430592191</v>
        <stp/>
        <stp>BDP|3531676896459233342</stp>
        <tr r="G35" s="446"/>
      </tp>
      <tp t="s">
        <v>#N/A Requesting Data...3604649932</v>
        <stp/>
        <stp>BDP|1059373978494524791</stp>
        <tr r="T20" s="89"/>
        <tr r="AA11" s="2"/>
      </tp>
      <tp t="s">
        <v>#N/A Requesting Data...3969101734</v>
        <stp/>
        <stp>BDP|5681827533229472132</stp>
        <tr r="AB24" s="1"/>
      </tp>
      <tp t="s">
        <v>#N/A Requesting Data...4230514715</v>
        <stp/>
        <stp>BDP|1183356610207551274</stp>
        <tr r="T28" s="2"/>
      </tp>
      <tp t="s">
        <v>#N/A Requesting Data...4267724707</v>
        <stp/>
        <stp>BDP|3194722090523190859</stp>
        <tr r="Z36" s="89"/>
        <tr r="AA36" s="89"/>
      </tp>
      <tp t="s">
        <v>#N/A Requesting Data...3526464091</v>
        <stp/>
        <stp>BDP|6404903142698949582</stp>
        <tr r="AB44" s="1"/>
        <tr r="AB45" s="1"/>
      </tp>
      <tp t="s">
        <v>#N/A Requesting Data...3849903489</v>
        <stp/>
        <stp>BDP|8885961869603230210</stp>
        <tr r="AK8" s="338"/>
      </tp>
      <tp t="s">
        <v>#N/A Requesting Data...3495712069</v>
        <stp/>
        <stp>BDP|5018086030232967252</stp>
        <tr r="AA20" s="2"/>
      </tp>
      <tp t="s">
        <v>#N/A Requesting Data...3797911492</v>
        <stp/>
        <stp>BDP|1614615396948740029</stp>
        <tr r="C9" s="2"/>
      </tp>
      <tp t="s">
        <v>#N/A Requesting Data...4177393362</v>
        <stp/>
        <stp>BDP|4118603437684361310</stp>
        <tr r="Z8" s="89"/>
        <tr r="AA8" s="89"/>
      </tp>
      <tp t="s">
        <v>#N/A Requesting Data...3997592405</v>
        <stp/>
        <stp>BDP|1772751390731486839</stp>
        <tr r="AI41" s="1"/>
        <tr r="AI42" s="1"/>
      </tp>
      <tp t="s">
        <v>#N/A Requesting Data...3565038367</v>
        <stp/>
        <stp>BDP|3256176262240474260</stp>
        <tr r="E4" s="1"/>
      </tp>
      <tp t="s">
        <v>#N/A Requesting Data...3873927506</v>
        <stp/>
        <stp>BDP|7214956164048318650</stp>
        <tr r="U10" s="338"/>
      </tp>
      <tp t="s">
        <v>USD</v>
        <stp/>
        <stp>BDP|262218228102537750|22</stp>
        <stp>QQQ US 02/20/26 P590 Equity</stp>
        <stp>QUOTED_CURRENCY_REALTIME</stp>
        <tr r="G24" s="2"/>
      </tp>
      <tp>
        <v>639.77</v>
        <stp/>
        <stp>BDP|8831218337912200139|22</stp>
        <stp>META Equity</stp>
        <stp>LAST PRICE</stp>
        <tr r="G9" s="338"/>
      </tp>
      <tp>
        <v>-0.15971417725086212</v>
        <stp/>
        <stp>BDP|8795046347241444117|22</stp>
        <stp>AVGO US 06/18/26 C350 Equity</stp>
        <stp>theta_mid_rt</stp>
        <tr r="AN8" s="2"/>
      </tp>
      <tp t="s">
        <v>#N/A Requesting Data...4282056387</v>
        <stp/>
        <stp>BDP|8020655386713844215</stp>
        <tr r="D13" s="89"/>
      </tp>
      <tp t="s">
        <v>#N/A Requesting Data...3982225077</v>
        <stp/>
        <stp>BDP|4283425441594897730</stp>
        <tr r="Z77" s="89"/>
        <tr r="AA77" s="89"/>
      </tp>
      <tp t="s">
        <v>#N/A Requesting Data...3977769612</v>
        <stp/>
        <stp>BDP|5680737100072633784</stp>
        <tr r="T14" s="2"/>
      </tp>
      <tp t="s">
        <v>#N/A Requesting Data...4117163950</v>
        <stp/>
        <stp>BDP|4245799967772009077</stp>
        <tr r="D37" s="446"/>
      </tp>
      <tp t="s">
        <v>#N/A Requesting Data...3526927206</v>
        <stp/>
        <stp>BDP|4758516714777806016</stp>
        <tr r="AR16" s="2"/>
      </tp>
      <tp t="s">
        <v>#N/A Requesting Data...3780458033</v>
        <stp/>
        <stp>BDP|7156185906827354649</stp>
        <tr r="AI13" s="1"/>
      </tp>
      <tp t="s">
        <v>#N/A Requesting Data...4074909918</v>
        <stp/>
        <stp>BDP|6577894425722203925</stp>
        <tr r="AI35" s="1"/>
      </tp>
      <tp t="s">
        <v>#N/A Requesting Data...4040846400</v>
        <stp/>
        <stp>BDP|6965263771385751104</stp>
        <tr r="K46" s="1"/>
      </tp>
      <tp t="s">
        <v>#N/A Requesting Data...3948539816</v>
        <stp/>
        <stp>BDP|5947737455944304421</stp>
        <tr r="AB35" s="1"/>
      </tp>
      <tp t="s">
        <v>#N/A Requesting Data...4005183394</v>
        <stp/>
        <stp>BDP|5125169105363920055</stp>
        <tr r="D13" s="2"/>
      </tp>
      <tp t="s">
        <v>#N/A Requesting Data...3719899431</v>
        <stp/>
        <stp>BDP|1092378379464484650</stp>
        <tr r="G9" s="446"/>
      </tp>
      <tp t="s">
        <v>#N/A Requesting Data...4156121413</v>
        <stp/>
        <stp>BDP|7675645627431897518</stp>
        <tr r="C27" s="2"/>
      </tp>
      <tp t="e">
        <v>#N/A</v>
        <stp/>
        <stp>BDH|3646215515800901771</stp>
        <tr r="AN11" s="338"/>
      </tp>
      <tp t="s">
        <v>#N/A Requesting Data...3962345298</v>
        <stp/>
        <stp>BDP|5312075309057886586</stp>
        <tr r="AI52" s="1"/>
        <tr r="AI53" s="1"/>
      </tp>
      <tp t="s">
        <v>#N/A Requesting Data...3615652412</v>
        <stp/>
        <stp>BDP|6065021716531882114</stp>
        <tr r="V95" s="89"/>
      </tp>
      <tp t="s">
        <v>#N/A Requesting Data...3524860048</v>
        <stp/>
        <stp>BDP|2787535871500884705</stp>
        <tr r="S11" s="338"/>
      </tp>
      <tp t="s">
        <v>#N/A N/A</v>
        <stp/>
        <stp>BDP|7341491708322758684</stp>
        <tr r="AB52" s="89"/>
        <tr r="AB53" s="89"/>
      </tp>
      <tp t="s">
        <v>#N/A Requesting Data...4152774614</v>
        <stp/>
        <stp>BDP|9173062933899279466</stp>
        <tr r="AB27" s="1"/>
      </tp>
      <tp t="s">
        <v>#N/A Requesting Data...4049612785</v>
        <stp/>
        <stp>BDP|9683098287681113793</stp>
        <tr r="C79" s="89"/>
      </tp>
      <tp t="s">
        <v>#N/A Requesting Data...3687551250</v>
        <stp/>
        <stp>BDP|2784478986318472123</stp>
        <tr r="V103" s="89"/>
        <tr r="AD4" s="2"/>
      </tp>
      <tp t="s">
        <v>#N/A Requesting Data...3663629790</v>
        <stp/>
        <stp>BDP|9525520782895119651</stp>
        <tr r="C10" s="2"/>
      </tp>
      <tp t="s">
        <v>#N/A Requesting Data...4000844563</v>
        <stp/>
        <stp>BDP|4445164765726738268</stp>
        <tr r="Z78" s="89"/>
        <tr r="AA78" s="89"/>
      </tp>
      <tp t="s">
        <v>#N/A Requesting Data...4098107574</v>
        <stp/>
        <stp>BDP|1776687918603536244</stp>
        <tr r="AD12" s="2"/>
      </tp>
      <tp t="s">
        <v>#N/A Requesting Data...3928939529</v>
        <stp/>
        <stp>BDP|3079946121179139621</stp>
        <tr r="AA9" s="2"/>
      </tp>
      <tp t="s">
        <v>#N/A Requesting Data...4198711008</v>
        <stp/>
        <stp>BDP|5349748450447137713</stp>
        <tr r="AA25" s="2"/>
      </tp>
      <tp t="s">
        <v>#N/A Requesting Data...4051780230</v>
        <stp/>
        <stp>BDP|7057279456164256342</stp>
        <tr r="S8" s="338"/>
      </tp>
      <tp t="s">
        <v>#N/A Requesting Data...4200889846</v>
        <stp/>
        <stp>BDP|6741060317605563544</stp>
        <tr r="O31" s="89"/>
      </tp>
      <tp t="s">
        <v>#N/A Requesting Data...4287453076</v>
        <stp/>
        <stp>BDP|7034052966182144450</stp>
        <tr r="G7" s="446"/>
      </tp>
      <tp t="s">
        <v>#N/A Requesting Data...4226508109</v>
        <stp/>
        <stp>BDP|1609550194052500856</stp>
        <tr r="E26" s="2"/>
      </tp>
      <tp t="s">
        <v>#N/A Requesting Data...3477708362</v>
        <stp/>
        <stp>BDP|1685711720524577765</stp>
        <tr r="T17" s="2"/>
      </tp>
      <tp t="s">
        <v>#N/A Requesting Data...4235518877</v>
        <stp/>
        <stp>BDP|9522498829329639179</stp>
        <tr r="Q8" s="338"/>
      </tp>
      <tp t="s">
        <v>#N/A Requesting Data...3557612205</v>
        <stp/>
        <stp>BDP|1636158366620394139</stp>
        <tr r="V68" s="89"/>
      </tp>
      <tp t="s">
        <v>#N/A Requesting Data...3702858652</v>
        <stp/>
        <stp>BDP|7130911573469165773</stp>
        <tr r="AD8" s="2"/>
      </tp>
      <tp>
        <v>198.79</v>
        <stp/>
        <stp>BDP|4344863504285541564|22</stp>
        <stp>AMZN Equity</stp>
        <stp>LAST_PRICE</stp>
        <tr r="I20" s="1"/>
      </tp>
      <tp t="s">
        <v>#N/A Requesting Data...3989054824</v>
        <stp/>
        <stp>BDP|9478381283761550308</stp>
        <tr r="AD27" s="2"/>
      </tp>
      <tp t="s">
        <v>#N/A Requesting Data...3746634083</v>
        <stp/>
        <stp>BDP|3454753217493992655</stp>
        <tr r="F36" s="446"/>
        <tr r="AB33" s="1"/>
        <tr r="AB34" s="1"/>
      </tp>
      <tp t="s">
        <v>#N/A Requesting Data...4236485261</v>
        <stp/>
        <stp>BDP|8148908707662517398</stp>
        <tr r="AG19" s="1"/>
      </tp>
      <tp t="s">
        <v>#N/A Requesting Data...4273900798</v>
        <stp/>
        <stp>BDP|6955622269271151797</stp>
        <tr r="T6" s="2"/>
      </tp>
      <tp t="s">
        <v>#N/A Requesting Data...3779013421</v>
        <stp/>
        <stp>BDP|1052686415597500132</stp>
        <tr r="C13" s="2"/>
      </tp>
      <tp t="s">
        <v>#N/A N/A</v>
        <stp/>
        <stp>BDP|3685516077896874709</stp>
        <tr r="AC4" s="2"/>
        <tr r="AC5" s="2"/>
      </tp>
      <tp t="s">
        <v>#N/A Requesting Data...3724366530</v>
        <stp/>
        <stp>BDP|2073373381748750195</stp>
        <tr r="F25" s="446"/>
      </tp>
      <tp t="s">
        <v>#N/A Requesting Data...4172921514</v>
        <stp/>
        <stp>BDP|5508729427063936303</stp>
        <tr r="AB32" s="1"/>
      </tp>
      <tp t="s">
        <v>#N/A Requesting Data...3787641705</v>
        <stp/>
        <stp>BDP|1896107105516689627</stp>
        <tr r="C95" s="89"/>
      </tp>
      <tp t="s">
        <v>#N/A N/A</v>
        <stp/>
        <stp>BDP|3833608477975887782</stp>
        <tr r="AC13" s="2"/>
        <tr r="AC14" s="2"/>
      </tp>
      <tp t="s">
        <v>#N/A Requesting Data...3963560144</v>
        <stp/>
        <stp>BDP|5959149956824211564</stp>
        <tr r="G38" s="446"/>
      </tp>
      <tp t="s">
        <v>#N/A Requesting Data...4146914597</v>
        <stp/>
        <stp>BDP|7447621373635349397</stp>
        <tr r="F7" s="2"/>
      </tp>
      <tp t="s">
        <v>#N/A Requesting Data...3686870777</v>
        <stp/>
        <stp>BDP|5381969730908949709</stp>
        <tr r="AD6" s="2"/>
      </tp>
      <tp t="s">
        <v>#N/A Requesting Data...4012974922</v>
        <stp/>
        <stp>BDP|6809118251995947735</stp>
        <tr r="AG16" s="1"/>
        <tr r="AG17" s="1"/>
      </tp>
      <tp t="s">
        <v>#N/A Requesting Data...4096254857</v>
        <stp/>
        <stp>BDP|4209126284524639902</stp>
        <tr r="AI10" s="338"/>
        <tr r="AI11" s="338"/>
        <tr r="AI12" s="338"/>
        <tr r="AK10" s="338"/>
        <tr r="AK11" s="338"/>
        <tr r="AK12" s="338"/>
      </tp>
      <tp t="s">
        <v>#N/A N/A</v>
        <stp/>
        <stp>BDP|3129387768385555361</stp>
        <tr r="AQ8" s="2"/>
      </tp>
      <tp t="s">
        <v>#N/A Requesting Data...3708938866</v>
        <stp/>
        <stp>BDP|2925650370332906175</stp>
        <tr r="AI36" s="1"/>
        <tr r="AI37" s="1"/>
      </tp>
      <tp t="s">
        <v>#N/A Requesting Data...4093655692</v>
        <stp/>
        <stp>BDP|3960122539301296028</stp>
        <tr r="O78" s="89"/>
      </tp>
      <tp t="s">
        <v>#N/A Requesting Data...4213391221</v>
        <stp/>
        <stp>BDP|2469275853951470473</stp>
        <tr r="F12" s="2"/>
      </tp>
      <tp t="s">
        <v>#N/A Requesting Data...4222460822</v>
        <stp/>
        <stp>BDP|4552037620785435316</stp>
        <tr r="P9" s="338"/>
      </tp>
      <tp t="s">
        <v>#N/A Requesting Data...4004287447</v>
        <stp/>
        <stp>BDP|8177301223040694940</stp>
        <tr r="AB21" s="1"/>
      </tp>
      <tp t="s">
        <v>#N/A Requesting Data...3570118151</v>
        <stp/>
        <stp>BDP|5137251643354744701</stp>
        <tr r="L12" s="338"/>
        <tr r="H12" s="338"/>
      </tp>
      <tp t="s">
        <v>#N/A Requesting Data...4167237335</v>
        <stp/>
        <stp>BDP|6283111272633911397</stp>
        <tr r="AJ11" s="338"/>
      </tp>
      <tp t="s">
        <v>#N/A Requesting Data...3712097592</v>
        <stp/>
        <stp>BDP|4597607396168550374</stp>
        <tr r="O30" s="89"/>
      </tp>
      <tp t="s">
        <v>#N/A Requesting Data...3498699794</v>
        <stp/>
        <stp>BDP|6494109425532457744</stp>
        <tr r="AD10" s="2"/>
      </tp>
      <tp t="s">
        <v>#N/A Requesting Data...4247159774</v>
        <stp/>
        <stp>BDP|2847624409581566518</stp>
        <tr r="D19" s="2"/>
      </tp>
      <tp>
        <v>33.549999999999997</v>
        <stp/>
        <stp>BDP|13708122924811862625|22</stp>
        <stp>TSM US 06/18/26 C380 Equity</stp>
        <stp>mid</stp>
        <tr r="L28" s="2"/>
      </tp>
      <tp>
        <v>202.87</v>
        <stp/>
        <stp>BDP|17027429052585223577|22</stp>
        <stp>RSP EQUITY</stp>
        <stp>LAST_PRICE</stp>
        <tr r="L5" s="1"/>
      </tp>
      <tp t="s">
        <v>USD</v>
        <stp/>
        <stp>BDP|14525686062440649527|22</stp>
        <stp>ASHR US 02/27/26 C35 Equity</stp>
        <stp>QUOTED_CURRENCY_REALTIME</stp>
        <tr r="G7" s="2"/>
      </tp>
      <tp t="s">
        <v>#N/A Requesting Data...4203070583</v>
        <stp/>
        <stp>BDP|2164421051462195094</stp>
        <tr r="C31" s="89"/>
      </tp>
      <tp t="s">
        <v>#N/A Requesting Data...3583405484</v>
        <stp/>
        <stp>BDP|7873439462153338720</stp>
        <tr r="AR22" s="2"/>
      </tp>
      <tp t="s">
        <v>#N/A Requesting Data...3493685310</v>
        <stp/>
        <stp>BDP|9463756481665936217</stp>
        <tr r="D104" s="89"/>
      </tp>
      <tp t="s">
        <v>#N/A Requesting Data...3716357824</v>
        <stp/>
        <stp>BDP|4559293195028546640</stp>
        <tr r="AB26" s="1"/>
      </tp>
      <tp t="s">
        <v>#N/A Requesting Data...3603657449</v>
        <stp/>
        <stp>BDP|8348272102438878363</stp>
        <tr r="O96" s="89"/>
      </tp>
      <tp t="s">
        <v>#N/A Requesting Data...4074756478</v>
        <stp/>
        <stp>BDP|5889104764011396273</stp>
        <tr r="AI28" s="1"/>
        <tr r="AI29" s="1"/>
      </tp>
      <tp t="s">
        <v>#N/A Requesting Data...3757047992</v>
        <stp/>
        <stp>BDP|5944295861793852372</stp>
        <tr r="T9" s="2"/>
      </tp>
      <tp t="s">
        <v>#N/A Requesting Data...4084409354</v>
        <stp/>
        <stp>BDP|7107096265956483671</stp>
        <tr r="C36" s="89"/>
      </tp>
      <tp t="s">
        <v>#N/A Requesting Data...3655027807</v>
        <stp/>
        <stp>BDP|8728351878839134440</stp>
        <tr r="AI10" s="338"/>
        <tr r="AI11" s="338"/>
        <tr r="AI12" s="338"/>
      </tp>
      <tp t="s">
        <v>#N/A Requesting Data...3723764143</v>
        <stp/>
        <stp>BDP|4347376869088623847</stp>
        <tr r="AK9" s="338"/>
      </tp>
      <tp t="s">
        <v>#N/A Requesting Data...3916513235</v>
        <stp/>
        <stp>BDP|6241899226908646569</stp>
        <tr r="D42" s="446"/>
      </tp>
      <tp t="s">
        <v>#N/A Requesting Data...4167078362</v>
        <stp/>
        <stp>BDP|5183368778820171035</stp>
        <tr r="F45" s="446"/>
      </tp>
      <tp t="s">
        <v>#N/A Requesting Data...3606188073</v>
        <stp/>
        <stp>BDP|5678783394829319341</stp>
        <tr r="F28" s="2"/>
      </tp>
      <tp t="s">
        <v>#N/A Requesting Data...3906527982</v>
        <stp/>
        <stp>BDP|5223714776062803600</stp>
        <tr r="AC13" s="1"/>
      </tp>
      <tp t="s">
        <v>#N/A Requesting Data...3736969038</v>
        <stp/>
        <stp>BDP|3634455751272018107</stp>
        <tr r="G40" s="446"/>
      </tp>
      <tp t="s">
        <v>#N/A N/A</v>
        <stp/>
        <stp>BDP|9299015762239453779</stp>
        <tr r="R52" s="89"/>
        <tr r="R53" s="89"/>
      </tp>
      <tp t="e">
        <v>#N/A</v>
        <stp/>
        <stp>BDH|4114486319089304919</stp>
        <tr r="AU9" s="338"/>
      </tp>
      <tp t="s">
        <v>#N/A N/A</v>
        <stp/>
        <stp>BDP|9633924773914414208</stp>
        <tr r="AC6" s="2"/>
        <tr r="AC7" s="2"/>
      </tp>
      <tp t="s">
        <v>#N/A Requesting Data...3880989255</v>
        <stp/>
        <stp>BDP|9739406253298596110</stp>
        <tr r="AI18" s="1"/>
      </tp>
      <tp t="s">
        <v>#N/A Requesting Data...3930839965</v>
        <stp/>
        <stp>BDP|7201031534123526605</stp>
        <tr r="E25" s="2"/>
      </tp>
      <tp t="e">
        <v>#N/A</v>
        <stp/>
        <stp>BDH|3033160720463405228</stp>
        <tr r="AS9" s="338"/>
      </tp>
      <tp t="s">
        <v>#N/A N/A</v>
        <stp/>
        <stp>BDP|1821230040030393694</stp>
        <tr r="AQ16" s="2"/>
        <tr r="AQ17" s="2"/>
      </tp>
      <tp t="s">
        <v>#N/A Requesting Data...4245051559</v>
        <stp/>
        <stp>BDP|6324014549174281781</stp>
        <tr r="L8" s="338"/>
        <tr r="H8" s="338"/>
      </tp>
      <tp t="s">
        <v>#N/A N/A</v>
        <stp/>
        <stp>BDP|8968284987484412739</stp>
        <tr r="AQ28" s="2"/>
        <tr r="AQ27" s="2"/>
      </tp>
      <tp t="s">
        <v>#N/A Requesting Data...3639809497</v>
        <stp/>
        <stp>BDP|9939228331380883944</stp>
        <tr r="G11" s="446"/>
      </tp>
      <tp t="s">
        <v>#N/A Requesting Data...4287249665</v>
        <stp/>
        <stp>BDP|9780621726248155457</stp>
        <tr r="AC44" s="1"/>
        <tr r="AC45" s="1"/>
      </tp>
      <tp t="s">
        <v>#N/A Requesting Data...4052430110</v>
        <stp/>
        <stp>BDP|2267087599569280367</stp>
        <tr r="P10" s="338"/>
      </tp>
      <tp t="s">
        <v>#N/A Requesting Data...3714280787</v>
        <stp/>
        <stp>BDP|6497440232258298876</stp>
        <tr r="AF13" s="1"/>
      </tp>
      <tp t="s">
        <v>#N/A Requesting Data...4138620471</v>
        <stp/>
        <stp>BDP|4387077451867676775</stp>
        <tr r="K52" s="1"/>
      </tp>
      <tp t="s">
        <v>#N/A Requesting Data...3768389833</v>
        <stp/>
        <stp>BDP|9382013711271467829</stp>
        <tr r="E14" s="89"/>
      </tp>
      <tp>
        <v>12.2</v>
        <stp/>
        <stp>BDP|15300068175888003113|22</stp>
        <stp>AMZN US 12/18/26 C250 Equity</stp>
        <stp>ask</stp>
        <tr r="L94" s="89"/>
      </tp>
      <tp t="s">
        <v>#N/A Requesting Data...3752180472</v>
        <stp/>
        <stp>BDP|7557490981578662112</stp>
        <tr r="AG44" s="1"/>
        <tr r="AG45" s="1"/>
      </tp>
      <tp t="s">
        <v>#N/A Requesting Data...4057257494</v>
        <stp/>
        <stp>BDP|7860310106547363177</stp>
        <tr r="Z88" s="89"/>
        <tr r="AA88" s="89"/>
      </tp>
      <tp t="s">
        <v>#N/A Requesting Data...3629008592</v>
        <stp/>
        <stp>BDP|4750890120965227941</stp>
        <tr r="D8" s="89"/>
      </tp>
      <tp t="s">
        <v>#N/A Requesting Data...3550191489</v>
        <stp/>
        <stp>BDP|2721287269476965276</stp>
        <tr r="V11" s="338"/>
      </tp>
      <tp t="s">
        <v>#N/A Requesting Data...3941304844</v>
        <stp/>
        <stp>BDP|1927755561564288678</stp>
        <tr r="G45" s="446"/>
      </tp>
      <tp t="s">
        <v>#N/A Requesting Data...3908468634</v>
        <stp/>
        <stp>BDP|3284843281913962260</stp>
        <tr r="C8" s="2"/>
      </tp>
      <tp t="s">
        <v>#N/A Requesting Data...3641740806</v>
        <stp/>
        <stp>BDP|8990383988530074103</stp>
        <tr r="D96" s="89"/>
      </tp>
      <tp t="s">
        <v>#N/A Requesting Data...4028867036</v>
        <stp/>
        <stp>BDP|4669780759770648488</stp>
        <tr r="D14" s="89"/>
      </tp>
      <tp t="s">
        <v>#N/A Requesting Data...3746911650</v>
        <stp/>
        <stp>BDP|5728718823292467081</stp>
        <tr r="N7" s="89"/>
        <tr r="N8" s="89"/>
        <tr r="N13" s="89"/>
        <tr r="N14" s="89"/>
        <tr r="N19" s="89"/>
        <tr r="N20" s="89"/>
        <tr r="N30" s="89"/>
        <tr r="N31" s="89"/>
        <tr r="N36" s="89"/>
        <tr r="N37" s="89"/>
        <tr r="N77" s="89"/>
        <tr r="N78" s="89"/>
        <tr r="N79" s="89"/>
        <tr r="N88" s="89"/>
        <tr r="N94" s="89"/>
        <tr r="N96" s="89"/>
        <tr r="N95" s="89"/>
        <tr r="N103" s="89"/>
        <tr r="N104" s="89"/>
        <tr r="N105" s="89"/>
        <tr r="S4" s="2"/>
        <tr r="S5" s="2"/>
        <tr r="S6" s="2"/>
        <tr r="S7" s="2"/>
        <tr r="S8" s="2"/>
        <tr r="S11" s="2"/>
        <tr r="S12" s="2"/>
        <tr r="S14" s="2"/>
        <tr r="S15" s="2"/>
        <tr r="S16" s="2"/>
        <tr r="S19" s="2"/>
        <tr r="S20" s="2"/>
        <tr r="S21" s="2"/>
        <tr r="S22" s="2"/>
        <tr r="S23" s="2"/>
        <tr r="S24" s="2"/>
        <tr r="S28" s="2"/>
        <tr r="L12" s="1"/>
        <tr r="L13" s="1"/>
        <tr r="L14" s="1"/>
        <tr r="L15" s="1"/>
        <tr r="L16" s="1"/>
        <tr r="L17" s="1"/>
        <tr r="L18" s="1"/>
        <tr r="L19" s="1"/>
        <tr r="L20" s="1"/>
        <tr r="L21" s="1"/>
        <tr r="L22" s="1"/>
        <tr r="L28" s="1"/>
        <tr r="L29" s="1"/>
        <tr r="L30" s="1"/>
        <tr r="L31" s="1"/>
        <tr r="L32" s="1"/>
        <tr r="L33" s="1"/>
        <tr r="L34" s="1"/>
        <tr r="L35" s="1"/>
        <tr r="L36" s="1"/>
        <tr r="L37" s="1"/>
        <tr r="L38" s="1"/>
        <tr r="L39" s="1"/>
        <tr r="L40" s="1"/>
        <tr r="L41" s="1"/>
        <tr r="L42" s="1"/>
        <tr r="L43" s="1"/>
        <tr r="L44" s="1"/>
        <tr r="L45" s="1"/>
        <tr r="L46" s="1"/>
        <tr r="L48" s="1"/>
        <tr r="L49" s="1"/>
        <tr r="L50" s="1"/>
        <tr r="L51" s="1"/>
        <tr r="L52" s="1"/>
        <tr r="L53" s="1"/>
        <tr r="L54" s="1"/>
        <tr r="L55" s="1"/>
        <tr r="L56" s="1"/>
        <tr r="L57" s="1"/>
        <tr r="N68" s="89"/>
        <tr r="S10" s="2"/>
        <tr r="S13" s="2"/>
        <tr r="S17" s="2"/>
        <tr r="S18" s="2"/>
        <tr r="S25" s="2"/>
        <tr r="S26" s="2"/>
        <tr r="S27" s="2"/>
        <tr r="S9" s="2"/>
      </tp>
      <tp t="s">
        <v>#N/A Requesting Data...3577047599</v>
        <stp/>
        <stp>BDP|3004009559840185419</stp>
        <tr r="T19" s="2"/>
      </tp>
      <tp t="s">
        <v>#N/A Requesting Data...4107919058</v>
        <stp/>
        <stp>BDP|4413248519100279551</stp>
        <tr r="AD20" s="2"/>
      </tp>
      <tp t="s">
        <v>#N/A Requesting Data...4202297714</v>
        <stp/>
        <stp>BDP|9919677548080032985</stp>
        <tr r="G44" s="446"/>
      </tp>
      <tp t="s">
        <v>#N/A Requesting Data...4109660746</v>
        <stp/>
        <stp>BDP|9243707684784242083</stp>
        <tr r="T105" s="89"/>
        <tr r="AA5" s="2"/>
      </tp>
      <tp t="s">
        <v>#N/A Requesting Data...3676151368</v>
        <stp/>
        <stp>BDP|3289149679383755445</stp>
        <tr r="AC41" s="1"/>
        <tr r="AC42" s="1"/>
      </tp>
      <tp t="s">
        <v>#N/A Requesting Data...3939082974</v>
        <stp/>
        <stp>BDP|1530194955374557305</stp>
        <tr r="C105" s="89"/>
        <tr r="D5" s="2"/>
      </tp>
      <tp t="s">
        <v>#N/A Requesting Data...3791119136</v>
        <stp/>
        <stp>BDP|6172070853435387447</stp>
        <tr r="AB30" s="1"/>
        <tr r="AB31" s="1"/>
      </tp>
      <tp t="s">
        <v>#N/A Requesting Data...3744250354</v>
        <stp/>
        <stp>BDP|8206125459397329986</stp>
        <tr r="D95" s="89"/>
      </tp>
      <tp t="s">
        <v>#N/A Requesting Data...4021936173</v>
        <stp/>
        <stp>BDP|4636653477250550732</stp>
        <tr r="G31" s="446"/>
      </tp>
      <tp t="s">
        <v>#N/A Requesting Data...3618197309</v>
        <stp/>
        <stp>BDP|5714451203842663158</stp>
        <tr r="N8" s="1"/>
      </tp>
      <tp t="e">
        <v>#N/A</v>
        <stp/>
        <stp>BDH|4705348839957943111</stp>
        <tr r="AM12" s="338"/>
      </tp>
      <tp t="s">
        <v>#N/A Requesting Data...3785969054</v>
        <stp/>
        <stp>BDP|7653538462612700433</stp>
        <tr r="AR23" s="2"/>
      </tp>
      <tp t="s">
        <v>#N/A Requesting Data...4016193965</v>
        <stp/>
        <stp>BDP|6639649066161548527</stp>
        <tr r="AA17" s="2"/>
      </tp>
      <tp t="s">
        <v>#N/A Requesting Data...3752049125</v>
        <stp/>
        <stp>BDP|1648434118662857449</stp>
        <tr r="V105" s="89"/>
        <tr r="AD5" s="2"/>
      </tp>
      <tp t="s">
        <v>#N/A Requesting Data...3581585021</v>
        <stp/>
        <stp>BDP|2053782324771998446</stp>
        <tr r="AR25" s="2"/>
      </tp>
      <tp t="s">
        <v>#N/A Requesting Data...3820658559</v>
        <stp/>
        <stp>BDP|8063366356299445552</stp>
        <tr r="K41" s="1"/>
      </tp>
      <tp t="e">
        <v>#N/A</v>
        <stp/>
        <stp>BDH|9452835466416970392</stp>
        <tr r="AM10" s="338"/>
      </tp>
      <tp t="s">
        <v>#N/A Requesting Data...4072310858</v>
        <stp/>
        <stp>BDP|3519061147724655148</stp>
        <tr r="AJ8" s="338"/>
      </tp>
      <tp>
        <v>7.48</v>
        <stp/>
        <stp>BDP|128233551744823152|22</stp>
        <stp>QQQ US 02/27/26 P590 Equity</stp>
        <stp>ask</stp>
        <tr r="Q25" s="2"/>
      </tp>
      <tp t="s">
        <v>#N/A Real Time</v>
        <stp/>
        <stp>BDP|7002617886444187304|22</stp>
        <stp>RUWZ5 Index</stp>
        <stp>LAST_PRICE</stp>
        <tr r="S52" s="89"/>
        <tr r="S53" s="89"/>
      </tp>
      <tp t="s">
        <v>#N/A Requesting Data...3906994058</v>
        <stp/>
        <stp>BDP|4669365388388290407</stp>
        <tr r="N5" s="1"/>
      </tp>
      <tp t="s">
        <v>#N/A Requesting Data...4150237129</v>
        <stp/>
        <stp>BDP|2591422732557732191</stp>
        <tr r="L10" s="338"/>
        <tr r="H10" s="338"/>
      </tp>
      <tp t="s">
        <v>#N/A Requesting Data...3882304405</v>
        <stp/>
        <stp>BDP|2000559898458006561</stp>
        <tr r="K21" s="1"/>
      </tp>
      <tp t="s">
        <v>#N/A Requesting Data...4289726512</v>
        <stp/>
        <stp>BDP|7115677759757668004</stp>
        <tr r="AC35" s="1"/>
      </tp>
      <tp t="s">
        <v>#N/A Requesting Data...3735102929</v>
        <stp/>
        <stp>BDP|3754293213215371607</stp>
        <tr r="F5" s="446"/>
        <tr r="F6" s="446"/>
        <tr r="AB49" s="1"/>
        <tr r="AB50" s="1"/>
        <tr r="AB51" s="1"/>
      </tp>
      <tp t="s">
        <v>#N/A Requesting Data...4231562120</v>
        <stp/>
        <stp>BDP|9588206623063881918</stp>
        <tr r="AF32" s="1"/>
      </tp>
      <tp t="s">
        <v>#N/A Requesting Data...4073647662</v>
        <stp/>
        <stp>BDP|7961266924697349349</stp>
        <tr r="X12" s="338"/>
      </tp>
      <tp t="s">
        <v>#N/A Requesting Data...3913172963</v>
        <stp/>
        <stp>BDP|7777047645317887721</stp>
        <tr r="V53" s="89"/>
      </tp>
      <tp t="s">
        <v>#N/A Requesting Data...3711898842</v>
        <stp/>
        <stp>BDP|7965895520036679846</stp>
        <tr r="F22" s="2"/>
      </tp>
      <tp t="s">
        <v>#N/A Requesting Data...3589600853</v>
        <stp/>
        <stp>BDP|8020332285295353568</stp>
        <tr r="P8" s="338"/>
      </tp>
      <tp t="s">
        <v>#N/A Requesting Data...4131223261</v>
        <stp/>
        <stp>BDP|2434188206592879222</stp>
        <tr r="F15" s="2"/>
      </tp>
      <tp t="s">
        <v>#N/A Requesting Data...3943594396</v>
        <stp/>
        <stp>BDP|5888175656914033689</stp>
        <tr r="AA27" s="2"/>
      </tp>
      <tp t="s">
        <v>#N/A Requesting Data...4207864532</v>
        <stp/>
        <stp>BDP|4542086962510815165</stp>
        <tr r="C4" s="2"/>
      </tp>
      <tp t="s">
        <v>#N/A Requesting Data...3758221678</v>
        <stp/>
        <stp>BDP|5377447429962982265</stp>
        <tr r="T23" s="2"/>
      </tp>
      <tp t="s">
        <v>#N/A Requesting Data...3721644502</v>
        <stp/>
        <stp>BDP|6109913190467097261</stp>
        <tr r="AG8" s="338"/>
      </tp>
      <tp t="s">
        <v>#N/A Requesting Data...3845667828</v>
        <stp/>
        <stp>BDP|6515604110606525460</stp>
        <tr r="AC55" s="1"/>
      </tp>
      <tp t="s">
        <v>#N/A Requesting Data...3580972750</v>
        <stp/>
        <stp>BDP|6281575064076017068</stp>
        <tr r="AC14" s="1"/>
      </tp>
      <tp t="s">
        <v>#N/A Requesting Data...3991362493</v>
        <stp/>
        <stp>BDP|9553534995241448739</stp>
        <tr r="AC38" s="1"/>
      </tp>
      <tp t="s">
        <v>#N/A Requesting Data...4291493945</v>
        <stp/>
        <stp>BDP|8245865345547421013</stp>
        <tr r="D30" s="446"/>
      </tp>
      <tp>
        <v>49.9</v>
        <stp/>
        <stp>BDP|18176311034118889492|22</stp>
        <stp>META US 07/17/26 C670 Equity</stp>
        <stp>ask</stp>
        <tr r="L78" s="89"/>
      </tp>
      <tp>
        <v>93.5</v>
        <stp/>
        <stp>BDP|11084639238104923975|22</stp>
        <stp>LITE US 06/18/26 C720 Equity</stp>
        <stp>ask</stp>
        <tr r="Q14" s="2"/>
      </tp>
      <tp>
        <v>2.67</v>
        <stp/>
        <stp>BDP|10066408953628833564|22</stp>
        <stp>NVDA US 03/20/26 C210 Equity</stp>
        <stp>ask</stp>
        <tr r="L14" s="89"/>
      </tp>
      <tp>
        <v>1.1399999999999999</v>
        <stp/>
        <stp>BDP|17345654414559390667|22</stp>
        <stp>MRVL US 03/20/26 P60 Equity</stp>
        <stp>ask</stp>
        <tr r="Q17" s="2"/>
      </tp>
      <tp>
        <v>24787.5</v>
        <stp/>
        <stp>BDP|6336356566907345204|22</stp>
        <stp>NQA Index</stp>
        <stp>LAST_PRICE</stp>
        <tr r="I16" s="1"/>
        <tr r="I17" s="1"/>
      </tp>
      <tp>
        <v>-0.14873254299163818</v>
        <stp/>
        <stp>BDP|12098786877158670568|22</stp>
        <stp>TSM US 06/18/26 C340 Equity</stp>
        <stp>theta_mid_rt</stp>
        <tr r="AN27" s="2"/>
      </tp>
      <tp>
        <v>6.65</v>
        <stp/>
        <stp>BDP|15563065055018194263|22</stp>
        <stp>INTC US 07/17/26 C50 Equity</stp>
        <stp>ask</stp>
        <tr r="Q12" s="2"/>
      </tp>
      <tp>
        <v>15.15</v>
        <stp/>
        <stp>BDP|16830491554564289416|22</stp>
        <stp>AMZN US 12/18/26 P180 Equity</stp>
        <stp>bid</stp>
        <tr r="K96" s="89"/>
      </tp>
      <tp>
        <v>0.12629111111164093</v>
        <stp/>
        <stp>BDP|2245788133334579455|22</stp>
        <stp>CSCO US 07/17/26 C95 Equity</stp>
        <stp>DELTA_MID_RT</stp>
        <tr r="W19" s="89"/>
      </tp>
      <tp>
        <v>-5.3123012185096741E-2</v>
        <stp/>
        <stp>BDP|9860136461363758180|22</stp>
        <stp>AMZN US 07/17/26 P180 Equity</stp>
        <stp>theta_mid_rt</stp>
        <tr r="AN5" s="2"/>
      </tp>
      <tp>
        <v>0.18</v>
        <stp/>
        <stp>BDP|17591677967966841629|22</stp>
        <stp>CSCO US 04/17/26 C95 Equity</stp>
        <stp>ask</stp>
        <tr r="Q9" s="2"/>
      </tp>
      <tp>
        <v>2.97</v>
        <stp/>
        <stp>BDP|16635244585526588457|22</stp>
        <stp>MRVL US 03/20/26 P70 Equity</stp>
        <stp>mid</stp>
        <tr r="L16" s="2"/>
      </tp>
      <tp>
        <v>0.49</v>
        <stp/>
        <stp>BDP|12134530778567356433|22</stp>
        <stp>CSCO US 07/17/26 C100 Equity</stp>
        <stp>mid</stp>
        <tr r="L11" s="2"/>
      </tp>
      <tp>
        <v>31.65</v>
        <stp/>
        <stp>BDP|17652529992752880187|22</stp>
        <stp>AVGO US 06/18/26 C350 Equity</stp>
        <stp>bid</stp>
        <tr r="P8" s="2"/>
      </tp>
      <tp>
        <v>3.87</v>
        <stp/>
        <stp>BDP|14435633374055221494|22</stp>
        <stp>QQQ US 02/20/26 P590 Equity</stp>
        <stp>ask</stp>
        <tr r="Q24" s="2"/>
      </tp>
      <tp>
        <v>0.02</v>
        <stp/>
        <stp>BDP|11513750604953722286|22</stp>
        <stp>QQQ US 02/12/26 P599 Equity</stp>
        <stp>ask</stp>
        <tr r="L30" s="89"/>
      </tp>
      <tp>
        <v>-0.53191626071929932</v>
        <stp/>
        <stp>BDP|6040650329541765947|22</stp>
        <stp>LITE US 06/18/26 C600 Equity</stp>
        <stp>theta_mid_rt</stp>
        <tr r="AN13" s="2"/>
      </tp>
      <tp>
        <v>7.45</v>
        <stp/>
        <stp>BDP|14887919075916398022|22</stp>
        <stp>QQQ US 02/27/26 P590 Equity</stp>
        <stp>mid</stp>
        <tr r="L25" s="2"/>
      </tp>
      <tp>
        <v>15.3</v>
        <stp/>
        <stp>BDP|13471282404913569444|22</stp>
        <stp>AMZN US 12/18/26 P180 Equity</stp>
        <stp>ask</stp>
        <tr r="L96" s="89"/>
      </tp>
      <tp>
        <v>9.4499999999999993</v>
        <stp/>
        <stp>BDP|18200108726829665129|22</stp>
        <stp>AMZN US 07/17/26 P180 Equity</stp>
        <stp>ask</stp>
        <tr r="L105" s="89"/>
        <tr r="Q5" s="2"/>
      </tp>
      <tp>
        <v>1464.13</v>
        <stp/>
        <stp>BDP|13350676150568078370|22</stp>
        <stp>KLAC EQUITY</stp>
        <stp>LAST_PRICE</stp>
        <tr r="H5" s="1"/>
      </tp>
      <tp>
        <v>-0.1660333126783371</v>
        <stp/>
        <stp>BDP|7815535696147585871|22</stp>
        <stp>META US 07/17/26 C750 Equity</stp>
        <stp>theta_mid_rt</stp>
        <tr r="AN15" s="2"/>
      </tp>
      <tp t="s">
        <v>USD</v>
        <stp/>
        <stp>BDP|14649358559893085324|22</stp>
        <stp>AVGO US 06/18/26 C350 Equity</stp>
        <stp>QUOTED_CURRENCY_REALTIME</stp>
        <tr r="G8" s="2"/>
      </tp>
      <tp>
        <v>3.1</v>
        <stp/>
        <stp>BDP|15925931344332195569|22</stp>
        <stp>MRVL US 03/20/26 P70 Equity</stp>
        <stp>ask</stp>
        <tr r="Q16" s="2"/>
      </tp>
      <tp>
        <v>217.23</v>
        <stp/>
        <stp>BDP|6334594798441429827|22</stp>
        <stp>COHR Equity</stp>
        <stp>LAST_PRICE</stp>
        <tr r="I38" s="1"/>
      </tp>
      <tp>
        <v>76.87</v>
        <stp/>
        <stp>BDP|2401224757541047929|22</stp>
        <stp>NFLX Equity</stp>
        <stp>LAST_PRICE</stp>
        <tr r="I21" s="1"/>
      </tp>
      <tp>
        <v>33.200000000000003</v>
        <stp/>
        <stp>BDP|982929759879592273|22</stp>
        <stp>TSM US 06/18/26 C380 Equity</stp>
        <stp>bid</stp>
        <tr r="P28" s="2"/>
      </tp>
      <tp>
        <v>76.849999999999994</v>
        <stp/>
        <stp>BDP|9569865315112868913|22</stp>
        <stp>CSCO US Equity</stp>
        <stp>LAST_PRICE</stp>
        <tr r="S20" s="89"/>
        <tr r="Z9" s="2"/>
        <tr r="Z10" s="2"/>
        <tr r="Z11" s="2"/>
        <tr r="S19" s="89"/>
      </tp>
      <tp>
        <v>1406.61</v>
        <stp/>
        <stp>BDP|12845263168978951663|22</stp>
        <stp>ASML EQUITY</stp>
        <stp>LAST_PRICE</stp>
        <tr r="H3" s="1"/>
      </tp>
      <tp>
        <v>5.14</v>
        <stp/>
        <stp>BDP|16331414956004771286|22</stp>
        <stp>QQQ US 02/27/26 P580 Equity</stp>
        <stp>mid</stp>
        <tr r="L26" s="2"/>
      </tp>
      <tp>
        <v>0.1</v>
        <stp/>
        <stp>BDP|13612731503328822817|22</stp>
        <stp>CSCO US 04/17/26 C100 Equity</stp>
        <stp>mid</stp>
        <tr r="L10" s="2"/>
      </tp>
      <tp>
        <v>626.55999999999995</v>
        <stp/>
        <stp>BDP|16456740670778988606|22</stp>
        <stp>SNDK EQUITY</stp>
        <stp>LAST_PRICE</stp>
        <tr r="H1" s="1"/>
      </tp>
      <tp>
        <v>6.74</v>
        <stp/>
        <stp>BDP|12258953384695047480|22</stp>
        <stp>QQQ US 02/20/26 P600 Equity</stp>
        <stp>bid</stp>
        <tr r="P23" s="2"/>
      </tp>
      <tp>
        <v>102.68</v>
        <stp/>
        <stp>BDP|11511261369815685982|22</stp>
        <stp>QQQE EQUITY</stp>
        <stp>LAST_PRICE</stp>
        <tr r="L7" s="1"/>
      </tp>
      <tp>
        <v>76.87</v>
        <stp/>
        <stp>BDP|8263106965958046051|22</stp>
        <stp>NFLX US Equity</stp>
        <stp>LAST_PRICE</stp>
        <tr r="Z18" s="2"/>
        <tr r="Z19" s="2"/>
      </tp>
      <tp>
        <v>0.01</v>
        <stp/>
        <stp>BDP|10681961344077431885|22</stp>
        <stp>QQQ US 02/12/26 P599 Equity</stp>
        <stp>bid</stp>
        <tr r="K30" s="89"/>
      </tp>
      <tp t="s">
        <v>#N/A Requesting Data...3839654135</v>
        <stp/>
        <stp>BDP|62889616002568526</stp>
        <tr r="K16" s="1"/>
      </tp>
      <tp>
        <v>2.21</v>
        <stp/>
        <stp>BDP|13120707178130364758|22</stp>
        <stp>NFLX US 05/15/26 C90 Equity</stp>
        <stp>mid</stp>
        <tr r="L18" s="2"/>
      </tp>
      <tp>
        <v>255.78</v>
        <stp/>
        <stp>BDP|13852632459561529635|22</stp>
        <stp>AAPL EQUITY</stp>
        <stp>LAST_PRICE</stp>
        <tr r="C6" s="1"/>
      </tp>
      <tp>
        <v>6.77</v>
        <stp/>
        <stp>BDP|10186466544648283698|22</stp>
        <stp>QQQ US 02/20/26 P600 Equity</stp>
        <stp>mid</stp>
        <tr r="L23" s="2"/>
      </tp>
      <tp t="s">
        <v>#N/A Invalid Security</v>
        <stp/>
        <stp>BDP|6557385432147823307|22</stp>
        <stp xml:space="preserve"> Index</stp>
        <stp>QUOTED_CURRENCY_REALTIME</stp>
        <tr r="F62" s="89"/>
      </tp>
      <tp t="s">
        <v>#N/A Requesting Data...3976540916</v>
        <stp/>
        <stp>BDP|48780265181667148</stp>
        <tr r="E4" s="2"/>
      </tp>
      <tp>
        <v>3.25</v>
        <stp/>
        <stp>BDP|11644130666006175934|22</stp>
        <stp>NFLX US 05/15/26 P70 Equity</stp>
        <stp>mid</stp>
        <tr r="L19" s="2"/>
      </tp>
      <tp>
        <v>137.01</v>
        <stp/>
        <stp>BDP|7581686725725045071|22</stp>
        <stp>BIDU Equity</stp>
        <stp>LAST_PRICE</stp>
        <tr r="I13" s="1"/>
      </tp>
      <tp>
        <v>7.41</v>
        <stp/>
        <stp>BDP|14873651858422123319|22</stp>
        <stp>QQQ US 02/27/26 P590 Equity</stp>
        <stp>bid</stp>
        <tr r="P25" s="2"/>
      </tp>
      <tp t="s">
        <v>#N/A N/A</v>
        <stp/>
        <stp>BDP|13588862582237658239|22</stp>
        <stp>ASHR US 02/27/26 C35 Equity</stp>
        <stp>bid</stp>
        <tr r="P7" s="2"/>
      </tp>
      <tp>
        <v>182.81</v>
        <stp/>
        <stp>BDP|2630581548609766860|22</stp>
        <stp>NVDA US Equity</stp>
        <stp>LAST_PRICE</stp>
        <tr r="S13" s="89"/>
        <tr r="S14" s="89"/>
        <tr r="Z20" s="2"/>
        <tr r="Z21" s="2"/>
        <tr r="Z22" s="2"/>
      </tp>
      <tp>
        <v>4.4267099350690842E-2</v>
        <stp/>
        <stp>BDP|3129328441793734956|22</stp>
        <stp>CSCO US 04/17/26 C95 Equity</stp>
        <stp>DELTA_MID_RT</stp>
        <tr r="AF9" s="2"/>
      </tp>
      <tp>
        <v>305.72000000000003</v>
        <stp/>
        <stp>BDP|7379094059985716684|22</stp>
        <stp>GOOGL EQUITY</stp>
        <stp>LAST_PRICE</stp>
        <tr r="C8" s="1"/>
      </tp>
      <tp>
        <v>32.200000000000003</v>
        <stp/>
        <stp>BDP|16021407028720881249|22</stp>
        <stp>AVGO US 06/18/26 C350 Equity</stp>
        <stp>ask</stp>
        <tr r="Q8" s="2"/>
      </tp>
      <tp>
        <v>144.41999999999999</v>
        <stp/>
        <stp>BDP|6290765801174780597|22</stp>
        <stp>WDAY Equity</stp>
        <stp>LAST PRICE</stp>
        <tr r="L10" s="446"/>
      </tp>
      <tp>
        <v>6836.17</v>
        <stp/>
        <stp>BDP|2596990609892593565|22</stp>
        <stp>SPX Index</stp>
        <stp>LAST_PRICE</stp>
        <tr r="S68" s="89"/>
      </tp>
      <tp>
        <v>6.42</v>
        <stp/>
        <stp>BDP|13492411471909401383|22</stp>
        <stp>INTC US 07/17/26 C50 Equity</stp>
        <stp>mid</stp>
        <tr r="L12" s="2"/>
      </tp>
      <tp>
        <v>10.45</v>
        <stp/>
        <stp>BDP|10572433094613538553|22</stp>
        <stp>NVDA US 05/15/26 C200 Equity</stp>
        <stp>mid</stp>
        <tr r="L20" s="2"/>
      </tp>
      <tp>
        <v>198.79</v>
        <stp/>
        <stp>BDP|12911088506019095722|22</stp>
        <stp>AMZN EQUITY</stp>
        <stp>LAST_PRICE</stp>
        <tr r="C5" s="1"/>
      </tp>
      <tp>
        <v>162.1</v>
        <stp/>
        <stp>BDP|14624041017326012038|22</stp>
        <stp>ENR GY Equity</stp>
        <stp>LAST_PRICE</stp>
        <tr r="I47" s="1"/>
      </tp>
      <tp>
        <v>4.9000000000000004</v>
        <stp/>
        <stp>BDP|16331557295328954080|22</stp>
        <stp>NVDA US 03/20/26 C200 Equity</stp>
        <stp>ask</stp>
        <tr r="L13" s="89"/>
        <tr r="Q21" s="2"/>
      </tp>
      <tp>
        <v>10.5</v>
        <stp/>
        <stp>BDP|15097796525407453303|22</stp>
        <stp>NVDA US 05/15/26 C200 Equity</stp>
        <stp>ask</stp>
        <tr r="Q20" s="2"/>
      </tp>
      <tp>
        <v>1.03</v>
        <stp/>
        <stp>BDP|15976575646475181995|22</stp>
        <stp>MRVL US 03/20/26 P60 Equity</stp>
        <stp>mid</stp>
        <tr r="L17" s="2"/>
      </tp>
      <tp>
        <v>5.2229000000000001</v>
        <stp/>
        <stp>BDP|10515480241315630363|22</stp>
        <stp>brl Curncy</stp>
        <stp>LAST_PRICE</stp>
        <tr r="AC3" s="1"/>
      </tp>
      <tp>
        <v>5.1100000000000003</v>
        <stp/>
        <stp>BDP|17369015568953994746|22</stp>
        <stp>QQQ US 02/27/26 P580 Equity</stp>
        <stp>bid</stp>
        <tr r="P26" s="2"/>
      </tp>
      <tp t="s">
        <v>#N/A Requesting Data...4054852725</v>
        <stp/>
        <stp>BDP|71070930486218271</stp>
        <tr r="C104" s="89"/>
      </tp>
      <tp t="s">
        <v>USD</v>
        <stp/>
        <stp>BDP|11865293611396887098|22</stp>
        <stp>NVDA US 03/20/26 C210 Equity</stp>
        <stp>QUOTED_CURRENCY_REALTIME</stp>
        <tr r="F14" s="89"/>
      </tp>
      <tp>
        <v>1.4</v>
        <stp/>
        <stp>BDP|15386835356560847880|22</stp>
        <stp>NVDA US 03/20/26 C220 Equity</stp>
        <stp>bid</stp>
        <tr r="P22" s="2"/>
      </tp>
      <tp>
        <v>182.81</v>
        <stp/>
        <stp>BDP|12910010818921564731|22</stp>
        <stp>NVDA EQUITY</stp>
        <stp>LAST_PRICE</stp>
        <tr r="C2" s="1"/>
      </tp>
      <tp t="s">
        <v>#N/A N/A</v>
        <stp/>
        <stp>BDP|13313241791293231340|22</stp>
        <stp>QQQ US 02/13/26 P595 Equity</stp>
        <stp>bid</stp>
        <tr r="K36" s="89"/>
      </tp>
      <tp>
        <v>-0.54655909538269043</v>
        <stp/>
        <stp>BDP|5714138372496753528|22</stp>
        <stp>LITE US 06/18/26 C720 Equity</stp>
        <stp>theta_mid_rt</stp>
        <tr r="AN14" s="2"/>
      </tp>
      <tp t="s">
        <v>#N/A Real Time</v>
        <stp/>
        <stp>BDP|2893526367884529171|22</stp>
        <stp>RTYWU5C3 2425 Index</stp>
        <stp>QUOTED_CURRENCY_REALTIME</stp>
        <tr r="F52" s="89"/>
      </tp>
      <tp t="s">
        <v>#N/A Requesting Data...3874132141</v>
        <stp/>
        <stp>BDP|131268774970069099</stp>
        <tr r="AG26" s="1"/>
      </tp>
      <tp t="s">
        <v>#N/A Requesting Data...3822282500</v>
        <stp/>
        <stp>BDP|520527012585306457</stp>
        <tr r="G18" s="446"/>
      </tp>
      <tp>
        <v>0.19417892396450043</v>
        <stp/>
        <stp>BDP|5265299860059613399|22</stp>
        <stp>NVDA US 03/20/26 C210 Equity</stp>
        <stp>DELTA_MID_RT</stp>
        <tr r="W14" s="89"/>
      </tp>
      <tp>
        <v>139.65</v>
        <stp/>
        <stp>BDP|15031025441735979532|22</stp>
        <stp>RDDT Equity</stp>
        <stp>LAST PRICE</stp>
        <tr r="L11" s="446"/>
      </tp>
      <tp t="s">
        <v>#N/A Requesting Data...3841327074</v>
        <stp/>
        <stp>BDP|608595985359488024</stp>
        <tr r="AJ10" s="338"/>
        <tr r="AH10" s="338"/>
      </tp>
      <tp t="s">
        <v>USD</v>
        <stp/>
        <stp>BDP|5173670518168763258|22</stp>
        <stp>QQQ US 02/12/26 P599 Equity</stp>
        <stp>QUOTED_CURRENCY_REALTIME</stp>
        <tr r="F30" s="89"/>
      </tp>
      <tp>
        <v>0.30479326844215393</v>
        <stp/>
        <stp>BDP|4308641896528540112|22</stp>
        <stp>NVDA US 03/20/26 C200 Equity</stp>
        <stp>DELTA_MID_RT</stp>
        <tr r="W13" s="89"/>
        <tr r="AF21" s="2"/>
      </tp>
      <tp>
        <v>425.99</v>
        <stp/>
        <stp>BDP|432481419162495379|22</stp>
        <stp>STX EQUITY</stp>
        <stp>LAST_PRICE</stp>
        <tr r="H8" s="1"/>
      </tp>
      <tp t="s">
        <v>#N/A Requesting Data...4105237241</v>
        <stp/>
        <stp>BDP|506862199115732352</stp>
        <tr r="AF38" s="1"/>
      </tp>
      <tp t="s">
        <v>#N/A Requesting Data...4124778208</v>
        <stp/>
        <stp>BDP|686234847331911027</stp>
        <tr r="G17" s="446"/>
      </tp>
      <tp t="s">
        <v>#N/A Requesting Data...4261484538</v>
        <stp/>
        <stp>BDP|703780504329627859</stp>
        <tr r="AI19" s="1"/>
      </tp>
      <tp t="s">
        <v>#N/A Requesting Data...4083052521</v>
        <stp/>
        <stp>BDP|442362000255018060</stp>
        <tr r="T7" s="89"/>
      </tp>
      <tp t="s">
        <v>#N/A Requesting Data...3865010471</v>
        <stp/>
        <stp>BDP|685429430720763165</stp>
        <tr r="K36" s="1"/>
      </tp>
      <tp t="s">
        <v>#N/A Requesting Data...3860912250</v>
        <stp/>
        <stp>BDP|169056124584855096</stp>
        <tr r="E30" s="89"/>
      </tp>
      <tp>
        <v>160.13999999999999</v>
        <stp/>
        <stp>BDP|7132801475716187902|22</stp>
        <stp>ORCL EQUITY</stp>
        <stp>LAST_PRICE</stp>
        <tr r="C10" s="1"/>
      </tp>
      <tp t="s">
        <v>#N/A Requesting Data...4012252799</v>
        <stp/>
        <stp>BDP|930699410161740793</stp>
        <tr r="D27" s="2"/>
      </tp>
      <tp>
        <v>0.11652334034442902</v>
        <stp/>
        <stp>BDP|5895157816315927322|22</stp>
        <stp>NVDA US 03/20/26 C220 Equity</stp>
        <stp>DELTA_MID_RT</stp>
        <tr r="AF22" s="2"/>
      </tp>
      <tp t="s">
        <v>USD</v>
        <stp/>
        <stp>BDP|8981067423373284499|22</stp>
        <stp>QQQ US 02/13/26 P595 Equity</stp>
        <stp>QUOTED_CURRENCY_REALTIME</stp>
        <tr r="F36" s="89"/>
      </tp>
      <tp t="s">
        <v>#N/A Requesting Data...3977525277</v>
        <stp/>
        <stp>BDP|739245098392147969</stp>
        <tr r="AG15" s="1"/>
      </tp>
      <tp t="s">
        <v>#N/A Requesting Data...3906882296</v>
        <stp/>
        <stp>BDP|608869092031732096</stp>
        <tr r="D22" s="2"/>
      </tp>
      <tp t="s">
        <v>#N/A Requesting Data...4119547239</v>
        <stp/>
        <stp>BDP|960144136580687245</stp>
        <tr r="Z103" s="89"/>
        <tr r="AA103" s="89"/>
      </tp>
      <tp t="s">
        <v>#N/A Requesting Data...3728813905</v>
        <stp/>
        <stp>BDP|798980087638306908</stp>
        <tr r="N4" s="1"/>
      </tp>
      <tp t="s">
        <v>USD</v>
        <stp/>
        <stp>BDP|202668223694481599|22</stp>
        <stp>LITE US 02/20/26 C680 Equity</stp>
        <stp>QUOTED_CURRENCY_REALTIME</stp>
        <tr r="F8" s="89"/>
      </tp>
      <tp t="s">
        <v>#N/A N/A</v>
        <stp/>
        <stp>BDP|9334234529534302543|22</stp>
        <stp>2OG6P 24750 Index</stp>
        <stp>bid</stp>
        <tr r="K61" s="89"/>
      </tp>
      <tp>
        <v>2.6777865365147591E-2</v>
        <stp/>
        <stp>BDP|8974293417399556479|22</stp>
        <stp>CSCO US 04/17/26 C100 Equity</stp>
        <stp>DELTA_MID_RT</stp>
        <tr r="AF10" s="2"/>
      </tp>
      <tp t="s">
        <v>#N/A Requesting Data...4285158950</v>
        <stp/>
        <stp>BDP|831190738783169237</stp>
        <tr r="C24" s="2"/>
      </tp>
      <tp t="s">
        <v>#N/A N/A</v>
        <stp/>
        <stp>BDP|128295106685337499</stp>
        <tr r="R61" s="89"/>
      </tp>
      <tp>
        <v>85.61</v>
        <stp/>
        <stp>BDP|6244681688337820540|22</stp>
        <stp>KBWB EQUITY</stp>
        <stp>LAST_PRICE</stp>
        <tr r="L1" s="1"/>
      </tp>
      <tp>
        <v>15.22</v>
        <stp/>
        <stp>BDP|11593899381746563402|22</stp>
        <stp>RIOT Equity</stp>
        <stp>LAST_PRICE</stp>
        <tr r="I43" s="1"/>
      </tp>
      <tp>
        <v>33.9</v>
        <stp/>
        <stp>BDP|7303697284640564666|22</stp>
        <stp>TSM US 06/18/26 C380 Equity</stp>
        <stp>ask</stp>
        <tr r="Q28" s="2"/>
      </tp>
      <tp t="s">
        <v>#N/A Requesting Data...4237720706</v>
        <stp/>
        <stp>BDP|450712038053400567</stp>
        <tr r="AG12" s="1"/>
      </tp>
      <tp>
        <v>601.91999999999996</v>
        <stp/>
        <stp>BDP|13846945124532688911|22</stp>
        <stp>QQQ Equity</stp>
        <stp>LAST_PRICE</stp>
        <tr r="I15" s="1"/>
      </tp>
      <tp t="s">
        <v>#N/A Requesting Data...3949574284</v>
        <stp/>
        <stp>BDP|305594615691195780</stp>
        <tr r="O7" s="89"/>
      </tp>
      <tp t="s">
        <v>#N/A Requesting Data...4079047427</v>
        <stp/>
        <stp>BDP|310378113498032857</stp>
        <tr r="F9" s="446"/>
      </tp>
      <tp>
        <v>6.9048999999999996</v>
        <stp/>
        <stp>BDP|294453488151020053|22</stp>
        <stp>cny Curncy</stp>
        <stp>LAST_PRICE</stp>
        <tr r="I50" s="54"/>
      </tp>
      <tp t="s">
        <v>#N/A N/A</v>
        <stp/>
        <stp>BDP|894652130481491978</stp>
        <tr r="AC15" s="2"/>
      </tp>
      <tp t="s">
        <v>#N/A Requesting Data...3720741766</v>
        <stp/>
        <stp>BDP|263361638079522403</stp>
        <tr r="AA23" s="2"/>
      </tp>
      <tp t="s">
        <v>#N/A Requesting Data...3930067430</v>
        <stp/>
        <stp>BDP|297742743876267805</stp>
        <tr r="O19" s="89"/>
      </tp>
      <tp>
        <v>681.75</v>
        <stp/>
        <stp>BDP|13189918054944550299|22</stp>
        <stp>SPY Equity</stp>
        <stp>LAST_PRICE</stp>
        <tr r="X3" s="1"/>
      </tp>
      <tp>
        <v>802.13</v>
        <stp/>
        <stp>BDP|10549492573951112588|22</stp>
        <stp>GEV Equity</stp>
        <stp>LAST_PRICE</stp>
        <tr r="I46" s="1"/>
      </tp>
      <tp>
        <v>204.53</v>
        <stp/>
        <stp>BDP|200703832930302358|22</stp>
        <stp>SAP EQUITY</stp>
        <stp>LAST_PRICE</stp>
        <tr r="H9" s="1"/>
      </tp>
      <tp t="s">
        <v>#N/A Requesting Data...3810911681</v>
        <stp/>
        <stp>BDP|987924063845804559</stp>
        <tr r="J2" s="1"/>
      </tp>
      <tp>
        <v>639.77</v>
        <stp/>
        <stp>BDP|3305523752982270676|22</stp>
        <stp>META EQUITY</stp>
        <stp>LAST_PRICE</stp>
        <tr r="C9" s="1"/>
      </tp>
      <tp t="s">
        <v>#N/A Invalid Security</v>
        <stp/>
        <stp>BDP|2916980996058497149|22</stp>
        <stp xml:space="preserve"> Index</stp>
        <stp>ask</stp>
        <tr r="L62" s="89"/>
      </tp>
      <tp t="s">
        <v>#N/A Requesting Data...3840913208</v>
        <stp/>
        <stp>BDP|887987616640012698</stp>
        <tr r="AB12" s="1"/>
      </tp>
      <tp t="s">
        <v>#N/A Requesting Data...3945394547</v>
        <stp/>
        <stp>BDP|305146922705307837</stp>
        <tr r="C19" s="2"/>
      </tp>
      <tp t="s">
        <v>#N/A Requesting Data...4206586932</v>
        <stp/>
        <stp>BDP|804143981805222282</stp>
        <tr r="D61" s="89"/>
      </tp>
      <tp>
        <v>33.68</v>
        <stp/>
        <stp>BDP|18329643987132492211|22</stp>
        <stp>ASHR Equity</stp>
        <stp>LAST_PRICE</stp>
        <tr r="I14" s="1"/>
      </tp>
      <tp t="s">
        <v>#N/A Requesting Data...3801024159</v>
        <stp/>
        <stp>BDP|757266498405781787</stp>
        <tr r="X3" s="1"/>
      </tp>
      <tp t="s">
        <v>#N/A Requesting Data...3808833523</v>
        <stp/>
        <stp>BDP|321567796020124549</stp>
        <tr r="F43" s="446"/>
      </tp>
      <tp t="s">
        <v>#N/A Requesting Data...3991559840</v>
        <stp/>
        <stp>BDP|748281786590893378</stp>
        <tr r="AA68" s="89"/>
        <tr r="Z68" s="89"/>
      </tp>
      <tp>
        <v>103.94</v>
        <stp/>
        <stp>BDP|12455594618882884319|22</stp>
        <stp>GDX Equity</stp>
        <stp>LAST_PRICE</stp>
        <tr r="I49" s="1"/>
        <tr r="I50" s="1"/>
        <tr r="I51" s="1"/>
      </tp>
      <tp t="s">
        <v>#N/A Requesting Data...3762085430</v>
        <stp/>
        <stp>BDP|345620769730348823</stp>
        <tr r="G20" s="446"/>
      </tp>
      <tp>
        <v>409.95</v>
        <stp/>
        <stp>BDP|10424645079239254273|22</stp>
        <stp>AGX Equity</stp>
        <stp>LAST_PRICE</stp>
        <tr r="I44" s="1"/>
        <tr r="I45" s="1"/>
      </tp>
      <tp t="s">
        <v>#N/A Requesting Data...4061989231</v>
        <stp/>
        <stp>BDP|493910466490440711</stp>
        <tr r="T16" s="2"/>
      </tp>
      <tp t="s">
        <v>#N/A Requesting Data...4251660280</v>
        <stp/>
        <stp>BDP|771655587750732627</stp>
        <tr r="AI20" s="1"/>
      </tp>
      <tp>
        <v>82.77</v>
        <stp/>
        <stp>BDP|17908492883037311012|22</stp>
        <stp>IGV Equity</stp>
        <stp>LAST PRICE</stp>
        <tr r="I8" s="338"/>
      </tp>
      <tp t="s">
        <v>#N/A Requesting Data...3876439159</v>
        <stp/>
        <stp>BDP|237201852408926413</stp>
        <tr r="U11" s="338"/>
      </tp>
      <tp t="s">
        <v>#N/A Invalid Security</v>
        <stp/>
        <stp>BDP|6093648676714149714|22</stp>
        <stp xml:space="preserve"> Index</stp>
        <stp>bid</stp>
        <tr r="K62" s="89"/>
      </tp>
      <tp t="s">
        <v>#N/A Requesting Data...3895274775</v>
        <stp/>
        <stp>BDP|315966408504131726</stp>
        <tr r="K15" s="1"/>
      </tp>
      <tp t="s">
        <v>#N/A Requesting Data...4136635008</v>
        <stp/>
        <stp>BDP|721330484650791132</stp>
        <tr r="D17" s="2"/>
      </tp>
      <tp t="s">
        <v>#N/A Requesting Data...3736567926</v>
        <stp/>
        <stp>BDP|728321980932410339</stp>
        <tr r="V61" s="89"/>
      </tp>
      <tp>
        <v>325.17</v>
        <stp/>
        <stp>BDP|1725093802414075352|22</stp>
        <stp>AVGO EQUITY</stp>
        <stp>LAST_PRICE</stp>
        <tr r="C1" s="1"/>
      </tp>
      <tp t="s">
        <v>USD</v>
        <stp/>
        <stp>BDP|7311297011545948714|22</stp>
        <stp>QQQ US 02/12/26 P598 Equity</stp>
        <stp>QUOTED_CURRENCY_REALTIME</stp>
        <tr r="F31" s="89"/>
      </tp>
      <tp>
        <v>-0.44627535343170166</v>
        <stp/>
        <stp>BDP|18209953850822191386|22</stp>
        <stp>QQQ US 02/20/26 P600 Equity</stp>
        <stp>DELTA_MID_RT</stp>
        <tr r="AF23" s="2"/>
      </tp>
      <tp>
        <v>78.61</v>
        <stp/>
        <stp>BDP|14735743812855208855|22</stp>
        <stp>MRVL Equity</stp>
        <stp>LAST_PRICE</stp>
        <tr r="I35" s="1"/>
      </tp>
      <tp>
        <v>182.81</v>
        <stp/>
        <stp>BDP|18083567340910719726|22</stp>
        <stp>NVDA Equity</stp>
        <stp>LAST PRICE</stp>
        <tr r="G11" s="338"/>
      </tp>
      <tp>
        <v>0.01</v>
        <stp/>
        <stp>BDP|3382977598666834708|22</stp>
        <stp>QQQ US 02/13/26 P590 Equity</stp>
        <stp>ask</stp>
        <tr r="L37" s="89"/>
      </tp>
      <tp>
        <v>0.02</v>
        <stp/>
        <stp>BDP|2443162597663585904|22</stp>
        <stp>QQQ US 02/12/26 P598 Equity</stp>
        <stp>ask</stp>
        <tr r="L31" s="89"/>
      </tp>
      <tp>
        <v>3</v>
        <stp/>
        <stp>BDP|4198991794791802947|22</stp>
        <stp>NFLX US 05/15/26 P70 Equity</stp>
        <stp>bid</stp>
        <tr r="P19" s="2"/>
      </tp>
      <tp>
        <v>2.2799999999999998</v>
        <stp/>
        <stp>BDP|8949169944132404204|22</stp>
        <stp>NFLX US 05/15/26 C90 Equity</stp>
        <stp>ask</stp>
        <tr r="Q18" s="2"/>
      </tp>
      <tp t="s">
        <v>#N/A N/A</v>
        <stp/>
        <stp>BDP|2613884890573679483|22</stp>
        <stp>QQQ US 02/13/26 P590 Equity</stp>
        <stp>bid</stp>
        <tr r="K37" s="89"/>
      </tp>
      <tp>
        <v>0.94</v>
        <stp/>
        <stp>BDP|8756946435615578390|22</stp>
        <stp>CSCO US 07/17/26 C95 Equity</stp>
        <stp>ask</stp>
        <tr r="L19" s="89"/>
      </tp>
      <tp>
        <v>182.81</v>
        <stp/>
        <stp>BDP|10556089213855348182|22</stp>
        <stp>NVDA Equity</stp>
        <stp>LAST_PRICE</stp>
        <tr r="I33" s="1"/>
        <tr r="I34" s="1"/>
      </tp>
      <tp>
        <v>8.355376124382019E-2</v>
        <stp/>
        <stp>BDP|5912738480285834307|22</stp>
        <stp>LITE US 02/20/26 C680 Equity</stp>
        <stp>DELTA_MID_RT</stp>
        <tr r="W8" s="89"/>
      </tp>
      <tp>
        <v>-0.27866187691688538</v>
        <stp/>
        <stp>BDP|16717608110745995139|22</stp>
        <stp>QQQ US 02/20/26 P590 Equity</stp>
        <stp>DELTA_MID_RT</stp>
        <tr r="AF24" s="2"/>
      </tp>
      <tp>
        <v>72.28</v>
        <stp/>
        <stp>BDP|12824948095476956285|22</stp>
        <stp>WMB Equity</stp>
        <stp>LAST_PRICE</stp>
        <tr r="I48" s="1"/>
      </tp>
      <tp>
        <v>51.65</v>
        <stp/>
        <stp>BDP|11210988692762470107|22</stp>
        <stp>XLF Equity</stp>
        <stp>LAST_PRICE</stp>
        <tr r="I52" s="1"/>
        <tr r="I53" s="1"/>
      </tp>
      <tp>
        <v>-7.0999232120811939E-3</v>
        <stp/>
        <stp>BDP|4903226982801918550|22</stp>
        <stp>CSCO US 04/17/26 C95 Equity</stp>
        <stp>theta_mid_rt</stp>
        <tr r="AN9" s="2"/>
      </tp>
      <tp>
        <v>-1.5740003436803818E-2</v>
        <stp/>
        <stp>BDP|13556712232817309221|22</stp>
        <stp>QQQ US 02/12/26 P598 Equity</stp>
        <stp>DELTA_MID_RT</stp>
        <tr r="W31" s="89"/>
      </tp>
      <tp>
        <v>46.79</v>
        <stp/>
        <stp>BDP|10275830506276374754|22</stp>
        <stp>INTC Equity</stp>
        <stp>LAST_PRICE</stp>
        <tr r="I32" s="1"/>
      </tp>
      <tp>
        <v>-7.5299562886357307E-3</v>
        <stp/>
        <stp>BDP|5598166511208398697|22</stp>
        <stp>ASHR US 02/20/26 C35 Equity</stp>
        <stp>theta_mid_rt</stp>
        <tr r="AN6" s="2"/>
      </tp>
      <tp>
        <v>85.61</v>
        <stp/>
        <stp>BDP|16647003187596374852|22</stp>
        <stp>KBWB Equity</stp>
        <stp>LAST_PRICE</stp>
        <tr r="I54" s="1"/>
      </tp>
      <tp>
        <v>155.72999999999999</v>
        <stp/>
        <stp>BDP|16076910053857732698|22</stp>
        <stp>BABA Equity</stp>
        <stp>LAST_PRICE</stp>
        <tr r="I12" s="1"/>
      </tp>
      <tp>
        <v>0.01</v>
        <stp/>
        <stp>BDP|4634208072736715005|22</stp>
        <stp>QQQ US 02/12/26 P598 Equity</stp>
        <stp>bid</stp>
        <tr r="K31" s="89"/>
      </tp>
      <tp t="s">
        <v>#N/A Real Time</v>
        <stp/>
        <stp>BDP|16732714406053690944|22</stp>
        <stp>KMU5 Index</stp>
        <stp>LAST PRICE</stp>
        <tr r="L13" s="446"/>
      </tp>
      <tp>
        <v>0.67608213424682617</v>
        <stp/>
        <stp>BDP|16687792746206833445|22</stp>
        <stp>TSM US 06/18/26 C340 Equity</stp>
        <stp>DELTA_MID_RT</stp>
        <tr r="AF27" s="2"/>
      </tp>
      <tp>
        <v>0.44</v>
        <stp/>
        <stp>BDP|5744678466973659230|22</stp>
        <stp>ASHR US 02/27/26 C35 Equity</stp>
        <stp>ask</stp>
        <tr r="Q7" s="2"/>
      </tp>
      <tp>
        <v>0.56000000000000005</v>
        <stp/>
        <stp>BDP|8989615576811822286|22</stp>
        <stp>CSCO US 07/17/26 C95 Equity</stp>
        <stp>bid</stp>
        <tr r="K19" s="89"/>
      </tp>
      <tp>
        <v>0.25737655162811279</v>
        <stp/>
        <stp>BDP|4566483656655524211|22</stp>
        <stp>AMZN US 07/17/26 C240 Equity</stp>
        <stp>DELTA_MID_RT</stp>
        <tr r="W103" s="89"/>
        <tr r="AF4" s="2"/>
      </tp>
      <tp>
        <v>5.17</v>
        <stp/>
        <stp>BDP|3766651537479906892|22</stp>
        <stp>QQQ US 02/27/26 P580 Equity</stp>
        <stp>ask</stp>
        <tr r="Q26" s="2"/>
      </tp>
      <tp>
        <v>6.8</v>
        <stp/>
        <stp>BDP|4238822232610329926|22</stp>
        <stp>QQQ US 02/20/26 P600 Equity</stp>
        <stp>ask</stp>
        <tr r="Q23" s="2"/>
      </tp>
      <tp>
        <v>75.97</v>
        <stp/>
        <stp>BDP|11576966289528241643|22</stp>
        <stp>HOOD Equity</stp>
        <stp>LAST PRICE</stp>
        <tr r="L5" s="446"/>
        <tr r="L6" s="446"/>
      </tp>
      <tp>
        <v>-0.24310283362865448</v>
        <stp/>
        <stp>BDP|17243319253822680332|22</stp>
        <stp>QQQ US 02/27/26 P580 Equity</stp>
        <stp>DELTA_MID_RT</stp>
        <tr r="AF26" s="2"/>
      </tp>
      <tp>
        <v>562.74</v>
        <stp/>
        <stp>BDP|13530810646219131800|22</stp>
        <stp>LITE Equity</stp>
        <stp>LAST_PRICE</stp>
        <tr r="I37" s="1"/>
        <tr r="I36" s="1"/>
      </tp>
      <tp>
        <v>224.23</v>
        <stp/>
        <stp>BDP|13659659385475398852|22</stp>
        <stp>ACN Equity</stp>
        <stp>LAST PRICE</stp>
        <tr r="L8" s="446"/>
      </tp>
      <tp>
        <v>0.33078858256340027</v>
        <stp/>
        <stp>BDP|9201492330588297547|22</stp>
        <stp>AMZN US 12/18/26 C250 Equity</stp>
        <stp>DELTA_MID_RT</stp>
        <tr r="W94" s="89"/>
      </tp>
      <tp>
        <v>325.17</v>
        <stp/>
        <stp>BDP|17391786708796275229|22</stp>
        <stp>AVGO Equity</stp>
        <stp>LAST PRICE</stp>
        <tr r="G12" s="338"/>
      </tp>
      <tp>
        <v>235.53</v>
        <stp/>
        <stp>BDP|4463437285265374374|22</stp>
        <stp>LRCX EQUITY</stp>
        <stp>LAST_PRICE</stp>
        <tr r="H6" s="1"/>
      </tp>
      <tp>
        <v>-3.1301379203796387E-2</v>
        <stp/>
        <stp>BDP|1880248133672197461|22</stp>
        <stp>NFLX US 05/15/26 P70 Equity</stp>
        <stp>theta_mid_rt</stp>
        <tr r="AN19" s="2"/>
      </tp>
      <tp>
        <v>6.2</v>
        <stp/>
        <stp>BDP|9317551536395983431|22</stp>
        <stp>INTC US 07/17/26 C50 Equity</stp>
        <stp>bid</stp>
        <tr r="P12" s="2"/>
      </tp>
      <tp>
        <v>0.91</v>
        <stp/>
        <stp>BDP|6215650409594363711|22</stp>
        <stp>MRVL US 03/20/26 P60 Equity</stp>
        <stp>bid</stp>
        <tr r="P17" s="2"/>
      </tp>
      <tp>
        <v>3.5</v>
        <stp/>
        <stp>BDP|8826778433184054251|22</stp>
        <stp>NFLX US 05/15/26 P70 Equity</stp>
        <stp>ask</stp>
        <tr r="Q19" s="2"/>
      </tp>
      <tp>
        <v>-0.47955486178398132</v>
        <stp/>
        <stp>BDP|4850800782704536302|22</stp>
        <stp>2OG6P 24750 Index</stp>
        <stp>DELTA_MID_RT</stp>
        <tr r="W61" s="89"/>
      </tp>
      <tp>
        <v>87.94</v>
        <stp/>
        <stp>BDP|3517880411788471110|22</stp>
        <stp>COPX EQUITY</stp>
        <stp>LAST_PRICE</stp>
        <tr r="L9" s="1"/>
      </tp>
      <tp>
        <v>0.48948341608047485</v>
        <stp/>
        <stp>BDP|1115882164603689622|22</stp>
        <stp>META US 07/17/26 C670 Equity</stp>
        <stp>DELTA_MID_RT</stp>
        <tr r="W78" s="89"/>
      </tp>
      <tp>
        <v>0.16</v>
        <stp/>
        <stp>BDP|6559733617078447128|22</stp>
        <stp>CSCO US 04/17/26 C95 Equity</stp>
        <stp>mid</stp>
        <tr r="L9" s="2"/>
      </tp>
      <tp>
        <v>3.83</v>
        <stp/>
        <stp>BDP|4879115531248824760|22</stp>
        <stp>QQQ US 02/20/26 P590 Equity</stp>
        <stp>bid</stp>
        <tr r="P24" s="2"/>
      </tp>
      <tp>
        <v>0.51349765062332153</v>
        <stp/>
        <stp>BDP|17478839230977938286|22</stp>
        <stp>TSM US 06/18/26 C380 Equity</stp>
        <stp>DELTA_MID_RT</stp>
        <tr r="AF28" s="2"/>
      </tp>
      <tp>
        <v>0.29414078593254089</v>
        <stp/>
        <stp>BDP|7125100259003145731|22</stp>
        <stp>META US 07/17/26 C750 Equity</stp>
        <stp>DELTA_MID_RT</stp>
        <tr r="AF15" s="2"/>
      </tp>
      <tp>
        <v>189.72</v>
        <stp/>
        <stp>BDP|18434337130911834676|22</stp>
        <stp>CRM Equity</stp>
        <stp>LAST PRICE</stp>
        <tr r="L9" s="446"/>
        <tr r="G8" s="338"/>
      </tp>
      <tp>
        <v>366.36</v>
        <stp/>
        <stp>BDP|13113113388917834281|22</stp>
        <stp>TSM Equity</stp>
        <stp>LAST_PRICE</stp>
        <tr r="I28" s="1"/>
        <tr r="I29" s="1"/>
      </tp>
      <tp>
        <v>306.02</v>
        <stp/>
        <stp>BDP|16760158171648826820|22</stp>
        <stp>GOOG Equity</stp>
        <stp>LAST_PRICE</stp>
        <tr r="I18" s="1"/>
      </tp>
      <tp t="s">
        <v>#N/A N/A</v>
        <stp/>
        <stp>BDP|9704315770915911503|22</stp>
        <stp>ASHR US 02/20/26 C35 Equity</stp>
        <stp>bid</stp>
        <tr r="P6" s="2"/>
      </tp>
      <tp>
        <v>24.8</v>
        <stp/>
        <stp>BDP|12167170999494993919|22</stp>
        <stp>KHC Equity</stp>
        <stp>LAST_PRICE</stp>
        <tr r="I55" s="1"/>
      </tp>
      <tp>
        <v>5369</v>
        <stp/>
        <stp>BDP|18259571086573127790|22</stp>
        <stp>HCTA Index</stp>
        <stp>LAST PRICE</stp>
        <tr r="L12" s="446"/>
      </tp>
      <tp>
        <v>2.83</v>
        <stp/>
        <stp>BDP|5295851568697877083|22</stp>
        <stp>MRVL US 03/20/26 P70 Equity</stp>
        <stp>bid</stp>
        <tr r="P16" s="2"/>
      </tp>
      <tp>
        <v>0.59300315380096436</v>
        <stp/>
        <stp>BDP|3339707825527805733|22</stp>
        <stp>LITE US 06/18/26 C600 Equity</stp>
        <stp>DELTA_MID_RT</stp>
        <tr r="AF13" s="2"/>
      </tp>
      <tp t="s">
        <v>USD</v>
        <stp/>
        <stp>BDP|489157209106839653|22</stp>
        <stp>NVDA US 03/20/26 C220 Equity</stp>
        <stp>QUOTED_CURRENCY_REALTIME</stp>
        <tr r="G22" s="2"/>
      </tp>
      <tp>
        <v>2.13</v>
        <stp/>
        <stp>BDP|5541024631542138350|22</stp>
        <stp>NFLX US 05/15/26 C90 Equity</stp>
        <stp>bid</stp>
        <tr r="P18" s="2"/>
      </tp>
      <tp>
        <v>0.02</v>
        <stp/>
        <stp>BDP|8465872380432047250|22</stp>
        <stp>ASHR US 02/20/26 C35 Equity</stp>
        <stp>ask</stp>
        <tr r="Q6" s="2"/>
      </tp>
      <tp>
        <v>3.85</v>
        <stp/>
        <stp>BDP|6119932909512956310|22</stp>
        <stp>QQQ US 02/20/26 P590 Equity</stp>
        <stp>mid</stp>
        <tr r="L24" s="2"/>
      </tp>
      <tp>
        <v>0.01</v>
        <stp/>
        <stp>BDP|5237029452497081922|22</stp>
        <stp>QQQ US 02/13/26 P595 Equity</stp>
        <stp>ask</stp>
        <tr r="L36" s="89"/>
      </tp>
      <tp>
        <v>366.36</v>
        <stp/>
        <stp>BDP|18226792745994375460|22</stp>
        <stp>TSM Equity</stp>
        <stp>LAST PRICE</stp>
        <tr r="G10" s="338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'Master P&amp;L'!$B$12:$B$57</c:f>
              <c:strCache>
                <c:ptCount val="46"/>
                <c:pt idx="0">
                  <c:v>BABA</c:v>
                </c:pt>
                <c:pt idx="1">
                  <c:v>BIDU</c:v>
                </c:pt>
                <c:pt idx="2">
                  <c:v>ASHR</c:v>
                </c:pt>
                <c:pt idx="3">
                  <c:v>QQQ</c:v>
                </c:pt>
                <c:pt idx="4">
                  <c:v>NQA</c:v>
                </c:pt>
                <c:pt idx="5">
                  <c:v>NQA</c:v>
                </c:pt>
                <c:pt idx="6">
                  <c:v>GOOG</c:v>
                </c:pt>
                <c:pt idx="7">
                  <c:v>META</c:v>
                </c:pt>
                <c:pt idx="8">
                  <c:v>AMZN</c:v>
                </c:pt>
                <c:pt idx="9">
                  <c:v>NFLX</c:v>
                </c:pt>
                <c:pt idx="10">
                  <c:v>EWY</c:v>
                </c:pt>
                <c:pt idx="11">
                  <c:v>000660 KS</c:v>
                </c:pt>
                <c:pt idx="12">
                  <c:v>402340 KS</c:v>
                </c:pt>
                <c:pt idx="13">
                  <c:v>005930 KS</c:v>
                </c:pt>
                <c:pt idx="14">
                  <c:v>005935 KS</c:v>
                </c:pt>
                <c:pt idx="15">
                  <c:v>2330 TT</c:v>
                </c:pt>
                <c:pt idx="16">
                  <c:v>TSM</c:v>
                </c:pt>
                <c:pt idx="17">
                  <c:v>TSM</c:v>
                </c:pt>
                <c:pt idx="18">
                  <c:v>AVGO</c:v>
                </c:pt>
                <c:pt idx="19">
                  <c:v>AVGO</c:v>
                </c:pt>
                <c:pt idx="20">
                  <c:v>INTC</c:v>
                </c:pt>
                <c:pt idx="21">
                  <c:v>NVDA</c:v>
                </c:pt>
                <c:pt idx="22">
                  <c:v>NVDA</c:v>
                </c:pt>
                <c:pt idx="23">
                  <c:v>MRVL</c:v>
                </c:pt>
                <c:pt idx="24">
                  <c:v>LITE</c:v>
                </c:pt>
                <c:pt idx="25">
                  <c:v>LITE</c:v>
                </c:pt>
                <c:pt idx="26">
                  <c:v>COHR</c:v>
                </c:pt>
                <c:pt idx="27">
                  <c:v>AKAM</c:v>
                </c:pt>
                <c:pt idx="28">
                  <c:v>AKAM</c:v>
                </c:pt>
                <c:pt idx="29">
                  <c:v>CSCO</c:v>
                </c:pt>
                <c:pt idx="30">
                  <c:v>CSCO</c:v>
                </c:pt>
                <c:pt idx="31">
                  <c:v>RIOT</c:v>
                </c:pt>
                <c:pt idx="32">
                  <c:v>AGX</c:v>
                </c:pt>
                <c:pt idx="33">
                  <c:v>AGX</c:v>
                </c:pt>
                <c:pt idx="34">
                  <c:v>GEV</c:v>
                </c:pt>
                <c:pt idx="35">
                  <c:v>ENR GY</c:v>
                </c:pt>
                <c:pt idx="36">
                  <c:v>WMB</c:v>
                </c:pt>
                <c:pt idx="37">
                  <c:v>GDX</c:v>
                </c:pt>
                <c:pt idx="38">
                  <c:v>GDX</c:v>
                </c:pt>
                <c:pt idx="39">
                  <c:v>GDX</c:v>
                </c:pt>
                <c:pt idx="40">
                  <c:v>XLF</c:v>
                </c:pt>
                <c:pt idx="41">
                  <c:v>XLF</c:v>
                </c:pt>
                <c:pt idx="42">
                  <c:v>KBWB</c:v>
                </c:pt>
                <c:pt idx="43">
                  <c:v>KHC</c:v>
                </c:pt>
                <c:pt idx="44">
                  <c:v>XLP</c:v>
                </c:pt>
                <c:pt idx="45">
                  <c:v>XLP</c:v>
                </c:pt>
              </c:strCache>
            </c:strRef>
          </c:cat>
          <c:val>
            <c:numRef>
              <c:f>'Master P&amp;L'!$J$12:$J$57</c:f>
              <c:numCache>
                <c:formatCode>0.00%</c:formatCode>
                <c:ptCount val="46"/>
                <c:pt idx="0">
                  <c:v>-1.8900018900018911E-2</c:v>
                </c:pt>
                <c:pt idx="1">
                  <c:v>-9.9002746061569447E-3</c:v>
                </c:pt>
                <c:pt idx="2">
                  <c:v>-4.1395623891188338E-3</c:v>
                </c:pt>
                <c:pt idx="3">
                  <c:v>2.1310602024506853E-3</c:v>
                </c:pt>
                <c:pt idx="4">
                  <c:v>7.8730620155043063E-4</c:v>
                </c:pt>
                <c:pt idx="5">
                  <c:v>4.4505822470275458E-3</c:v>
                </c:pt>
                <c:pt idx="6">
                  <c:v>-1.0828457833662042E-2</c:v>
                </c:pt>
                <c:pt idx="7">
                  <c:v>-1.5450670195903404E-2</c:v>
                </c:pt>
                <c:pt idx="8">
                  <c:v>-4.0581162324649922E-3</c:v>
                </c:pt>
                <c:pt idx="9">
                  <c:v>1.3313999472712945E-2</c:v>
                </c:pt>
                <c:pt idx="10">
                  <c:v>2.4235474006116142E-2</c:v>
                </c:pt>
                <c:pt idx="11">
                  <c:v>-8.9485458612975632E-3</c:v>
                </c:pt>
                <c:pt idx="12">
                  <c:v>-1.2302284710017597E-2</c:v>
                </c:pt>
                <c:pt idx="13">
                  <c:v>1.3896609227348478E-2</c:v>
                </c:pt>
                <c:pt idx="14">
                  <c:v>4.5045045045045029E-2</c:v>
                </c:pt>
                <c:pt idx="15">
                  <c:v>0</c:v>
                </c:pt>
                <c:pt idx="16">
                  <c:v>-4.7269763651182073E-3</c:v>
                </c:pt>
                <c:pt idx="17">
                  <c:v>-2.5320591358327649E-3</c:v>
                </c:pt>
                <c:pt idx="18">
                  <c:v>-1.8117583114412583E-2</c:v>
                </c:pt>
                <c:pt idx="19">
                  <c:v>-1.0829556170717569E-2</c:v>
                </c:pt>
                <c:pt idx="20">
                  <c:v>6.6695352839931665E-3</c:v>
                </c:pt>
                <c:pt idx="21">
                  <c:v>-2.2092650048143758E-2</c:v>
                </c:pt>
                <c:pt idx="22">
                  <c:v>-3.3257005779085969E-3</c:v>
                </c:pt>
                <c:pt idx="23">
                  <c:v>4.85747155822569E-3</c:v>
                </c:pt>
                <c:pt idx="24">
                  <c:v>-3.5512288760154997E-2</c:v>
                </c:pt>
                <c:pt idx="25">
                  <c:v>0</c:v>
                </c:pt>
                <c:pt idx="26">
                  <c:v>-4.9926713081714924E-3</c:v>
                </c:pt>
                <c:pt idx="27">
                  <c:v>6.8349106203995813E-2</c:v>
                </c:pt>
                <c:pt idx="28">
                  <c:v>0</c:v>
                </c:pt>
                <c:pt idx="29">
                  <c:v>2.4666666666666615E-2</c:v>
                </c:pt>
                <c:pt idx="30">
                  <c:v>-6.5019505851771076E-4</c:v>
                </c:pt>
                <c:pt idx="31">
                  <c:v>7.1830985915493084E-2</c:v>
                </c:pt>
                <c:pt idx="32">
                  <c:v>-8.9447600628550505E-3</c:v>
                </c:pt>
                <c:pt idx="33">
                  <c:v>0</c:v>
                </c:pt>
                <c:pt idx="34">
                  <c:v>-1.7671695894973971E-2</c:v>
                </c:pt>
                <c:pt idx="35">
                  <c:v>4.3370508054523249E-3</c:v>
                </c:pt>
                <c:pt idx="36">
                  <c:v>1.6167580486433408E-2</c:v>
                </c:pt>
                <c:pt idx="37">
                  <c:v>5.7590557590557534E-2</c:v>
                </c:pt>
                <c:pt idx="38">
                  <c:v>4.947495961227788E-2</c:v>
                </c:pt>
                <c:pt idx="39">
                  <c:v>8.8323789187614299E-3</c:v>
                </c:pt>
                <c:pt idx="40">
                  <c:v>-7.7384407041980463E-4</c:v>
                </c:pt>
                <c:pt idx="41">
                  <c:v>3.8872691933915515E-3</c:v>
                </c:pt>
                <c:pt idx="42">
                  <c:v>3.1638153269275548E-3</c:v>
                </c:pt>
                <c:pt idx="43">
                  <c:v>1.9736842105263275E-2</c:v>
                </c:pt>
                <c:pt idx="44">
                  <c:v>5.3914410872739627E-3</c:v>
                </c:pt>
                <c:pt idx="45">
                  <c:v>3.3628516982402434E-3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61-48D7-B77E-4B3B1E968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20"/>
        <c:axId val="1256224863"/>
        <c:axId val="1256221983"/>
      </c:barChart>
      <c:catAx>
        <c:axId val="12562248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1983"/>
        <c:crosses val="autoZero"/>
        <c:auto val="1"/>
        <c:lblAlgn val="ctr"/>
        <c:lblOffset val="100"/>
        <c:noMultiLvlLbl val="0"/>
      </c:catAx>
      <c:valAx>
        <c:axId val="12562219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4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5" Type="http://schemas.openxmlformats.org/officeDocument/2006/relationships/image" Target="../media/image11.png"/><Relationship Id="rId4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533400</xdr:colOff>
      <xdr:row>0</xdr:row>
      <xdr:rowOff>85725</xdr:rowOff>
    </xdr:from>
    <xdr:to>
      <xdr:col>44</xdr:col>
      <xdr:colOff>153113</xdr:colOff>
      <xdr:row>33</xdr:row>
      <xdr:rowOff>10406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E8FD97C-3122-B973-B094-027A270E7C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35925" y="85725"/>
          <a:ext cx="5106113" cy="631595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31</xdr:col>
      <xdr:colOff>104775</xdr:colOff>
      <xdr:row>3</xdr:row>
      <xdr:rowOff>95250</xdr:rowOff>
    </xdr:from>
    <xdr:to>
      <xdr:col>45</xdr:col>
      <xdr:colOff>572756</xdr:colOff>
      <xdr:row>29</xdr:row>
      <xdr:rowOff>172155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A0FC0BB-CDAC-F11B-06E6-FFB8CD97D7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106650" y="666750"/>
          <a:ext cx="9002381" cy="504895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25</xdr:row>
          <xdr:rowOff>180975</xdr:rowOff>
        </xdr:from>
        <xdr:to>
          <xdr:col>12</xdr:col>
          <xdr:colOff>247650</xdr:colOff>
          <xdr:row>29</xdr:row>
          <xdr:rowOff>66675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1</xdr:colOff>
      <xdr:row>12</xdr:row>
      <xdr:rowOff>0</xdr:rowOff>
    </xdr:from>
    <xdr:to>
      <xdr:col>46</xdr:col>
      <xdr:colOff>448236</xdr:colOff>
      <xdr:row>53</xdr:row>
      <xdr:rowOff>179294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21</xdr:col>
      <xdr:colOff>367393</xdr:colOff>
      <xdr:row>7</xdr:row>
      <xdr:rowOff>108858</xdr:rowOff>
    </xdr:from>
    <xdr:to>
      <xdr:col>30</xdr:col>
      <xdr:colOff>68038</xdr:colOff>
      <xdr:row>51</xdr:row>
      <xdr:rowOff>151243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C57CBC7D-7FE1-42C6-C1BC-8BDDE29A1E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103929" y="1537608"/>
          <a:ext cx="4218215" cy="9417706"/>
        </a:xfrm>
        <a:prstGeom prst="rect">
          <a:avLst/>
        </a:prstGeom>
      </xdr:spPr>
    </xdr:pic>
    <xdr:clientData/>
  </xdr:twoCellAnchor>
  <xdr:twoCellAnchor editAs="oneCell">
    <xdr:from>
      <xdr:col>12</xdr:col>
      <xdr:colOff>620525</xdr:colOff>
      <xdr:row>11</xdr:row>
      <xdr:rowOff>42723</xdr:rowOff>
    </xdr:from>
    <xdr:to>
      <xdr:col>18</xdr:col>
      <xdr:colOff>734456</xdr:colOff>
      <xdr:row>50</xdr:row>
      <xdr:rowOff>154782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0197794-1005-B277-E093-693A7F9777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931088" y="2293004"/>
          <a:ext cx="4126337" cy="839880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571500</xdr:colOff>
          <xdr:row>2</xdr:row>
          <xdr:rowOff>190500</xdr:rowOff>
        </xdr:from>
        <xdr:to>
          <xdr:col>37</xdr:col>
          <xdr:colOff>590550</xdr:colOff>
          <xdr:row>5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7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581025</xdr:colOff>
          <xdr:row>3</xdr:row>
          <xdr:rowOff>9525</xdr:rowOff>
        </xdr:from>
        <xdr:to>
          <xdr:col>41</xdr:col>
          <xdr:colOff>333375</xdr:colOff>
          <xdr:row>4</xdr:row>
          <xdr:rowOff>9525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7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Custodia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600075</xdr:colOff>
          <xdr:row>5</xdr:row>
          <xdr:rowOff>152400</xdr:rowOff>
        </xdr:from>
        <xdr:to>
          <xdr:col>42</xdr:col>
          <xdr:colOff>342900</xdr:colOff>
          <xdr:row>9</xdr:row>
          <xdr:rowOff>9525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7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Preços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228600</xdr:colOff>
          <xdr:row>0</xdr:row>
          <xdr:rowOff>76200</xdr:rowOff>
        </xdr:from>
        <xdr:to>
          <xdr:col>60</xdr:col>
          <xdr:colOff>514350</xdr:colOff>
          <xdr:row>2</xdr:row>
          <xdr:rowOff>257175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08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 Options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41</xdr:col>
      <xdr:colOff>273844</xdr:colOff>
      <xdr:row>11</xdr:row>
      <xdr:rowOff>166688</xdr:rowOff>
    </xdr:from>
    <xdr:to>
      <xdr:col>54</xdr:col>
      <xdr:colOff>447537</xdr:colOff>
      <xdr:row>47</xdr:row>
      <xdr:rowOff>167645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5FB3A1B-373C-C38D-EF65-9A3AC14E32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396157" y="2643188"/>
          <a:ext cx="8067536" cy="685895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A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104775</xdr:colOff>
          <xdr:row>2</xdr:row>
          <xdr:rowOff>180975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B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Input_One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292138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800BD2F-7F69-C788-46BA-DDA40731BA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0617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209550</xdr:colOff>
          <xdr:row>3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C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Input_Zenith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292139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BFB799C-CCD2-46FB-B32B-03C885250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8332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D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276225</xdr:colOff>
      <xdr:row>1</xdr:row>
      <xdr:rowOff>76200</xdr:rowOff>
    </xdr:from>
    <xdr:to>
      <xdr:col>28</xdr:col>
      <xdr:colOff>49040</xdr:colOff>
      <xdr:row>31</xdr:row>
      <xdr:rowOff>787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86750" y="266700"/>
          <a:ext cx="10136015" cy="5639587"/>
        </a:xfrm>
        <a:prstGeom prst="rect">
          <a:avLst/>
        </a:prstGeom>
      </xdr:spPr>
    </xdr:pic>
    <xdr:clientData/>
  </xdr:twoCellAnchor>
  <xdr:twoCellAnchor editAs="oneCell">
    <xdr:from>
      <xdr:col>11</xdr:col>
      <xdr:colOff>295275</xdr:colOff>
      <xdr:row>34</xdr:row>
      <xdr:rowOff>95250</xdr:rowOff>
    </xdr:from>
    <xdr:to>
      <xdr:col>37</xdr:col>
      <xdr:colOff>516593</xdr:colOff>
      <xdr:row>46</xdr:row>
      <xdr:rowOff>19358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72525" y="6381750"/>
          <a:ext cx="16070918" cy="2210108"/>
        </a:xfrm>
        <a:prstGeom prst="rect">
          <a:avLst/>
        </a:prstGeom>
      </xdr:spPr>
    </xdr:pic>
    <xdr:clientData/>
  </xdr:twoCellAnchor>
  <xdr:twoCellAnchor editAs="oneCell">
    <xdr:from>
      <xdr:col>11</xdr:col>
      <xdr:colOff>171450</xdr:colOff>
      <xdr:row>48</xdr:row>
      <xdr:rowOff>0</xdr:rowOff>
    </xdr:from>
    <xdr:to>
      <xdr:col>27</xdr:col>
      <xdr:colOff>449075</xdr:colOff>
      <xdr:row>78</xdr:row>
      <xdr:rowOff>10324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648700" y="8953500"/>
          <a:ext cx="10031225" cy="5725324"/>
        </a:xfrm>
        <a:prstGeom prst="rect">
          <a:avLst/>
        </a:prstGeom>
      </xdr:spPr>
    </xdr:pic>
    <xdr:clientData/>
  </xdr:twoCellAnchor>
  <xdr:twoCellAnchor editAs="oneCell">
    <xdr:from>
      <xdr:col>28</xdr:col>
      <xdr:colOff>219075</xdr:colOff>
      <xdr:row>47</xdr:row>
      <xdr:rowOff>123825</xdr:rowOff>
    </xdr:from>
    <xdr:to>
      <xdr:col>37</xdr:col>
      <xdr:colOff>362736</xdr:colOff>
      <xdr:row>71</xdr:row>
      <xdr:rowOff>162568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059525" y="8886825"/>
          <a:ext cx="5630061" cy="4610743"/>
        </a:xfrm>
        <a:prstGeom prst="rect">
          <a:avLst/>
        </a:prstGeom>
      </xdr:spPr>
    </xdr:pic>
    <xdr:clientData/>
  </xdr:twoCellAnchor>
  <xdr:twoCellAnchor editAs="oneCell">
    <xdr:from>
      <xdr:col>0</xdr:col>
      <xdr:colOff>581025</xdr:colOff>
      <xdr:row>78</xdr:row>
      <xdr:rowOff>9525</xdr:rowOff>
    </xdr:from>
    <xdr:to>
      <xdr:col>9</xdr:col>
      <xdr:colOff>637373</xdr:colOff>
      <xdr:row>99</xdr:row>
      <xdr:rowOff>19727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D9A0ED1-1F37-CBBF-AF90-35389C388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1025" y="14106525"/>
          <a:ext cx="7666823" cy="4010702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1</xdr:row>
          <xdr:rowOff>38100</xdr:rowOff>
        </xdr:from>
        <xdr:to>
          <xdr:col>14</xdr:col>
          <xdr:colOff>266700</xdr:colOff>
          <xdr:row>4</xdr:row>
          <xdr:rowOff>76200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10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Copiar Memoria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elipe Monteiro" refreshedDate="46066.766055671294" createdVersion="8" refreshedVersion="8" minRefreshableVersion="3" recordCount="46" xr:uid="{C35D4399-4CEF-409A-AF8E-A02DC4C552E4}">
  <cacheSource type="worksheet">
    <worksheetSource name="Tabelad"/>
  </cacheSource>
  <cacheFields count="34">
    <cacheField name="Ticker" numFmtId="172">
      <sharedItems containsBlank="1" count="199">
        <s v="BABA"/>
        <s v="BIDU"/>
        <s v="ASHR"/>
        <s v="QQQ"/>
        <s v="NQA"/>
        <s v="GOOG"/>
        <s v="META"/>
        <s v="AMZN"/>
        <s v="NFLX"/>
        <s v="EWY"/>
        <s v="000660 KS"/>
        <s v="402340 KS"/>
        <s v="005930 KS"/>
        <s v="005935 KS"/>
        <s v="2330 TT"/>
        <s v="TSM"/>
        <s v="AVGO"/>
        <s v="INTC"/>
        <s v="NVDA"/>
        <s v="MRVL"/>
        <s v="LITE"/>
        <s v="COHR"/>
        <s v="AKAM"/>
        <s v="CSCO"/>
        <s v="RIOT"/>
        <s v="AGX"/>
        <s v="GEV"/>
        <s v="ENR GY"/>
        <s v="WMB"/>
        <s v="GDX"/>
        <s v="XLF"/>
        <s v="KBWB"/>
        <s v="KHC"/>
        <s v="XLP"/>
        <s v="MU" u="1"/>
        <s v="MELI" u="1"/>
        <s v="SOXX" u="1"/>
        <s v="DTM" u="1"/>
        <s v="000660 KP" u="1"/>
        <s v="2OH6" u="1"/>
        <s v="1OH6" u="1"/>
        <s v="AAPL" u="1"/>
        <s v="IGV" u="1"/>
        <s v="MSFT" u="1"/>
        <s v="3110 JT" u="1"/>
        <s v="AMD" u="1"/>
        <s v="RSP" u="1"/>
        <s v="402340 KP" u="1"/>
        <s v="005930 KP" u="1"/>
        <s v="300502 CH" u="1"/>
        <s v="NET" u="1"/>
        <s v="SNDK" u="1"/>
        <s v="COPX" u="1"/>
        <s v="KMH6" u="1"/>
        <s v="AMAT" u="1"/>
        <s v="GDX " u="1"/>
        <s v="QQQE" u="1"/>
        <s v="ASML NA" u="1"/>
        <s v="CEG" u="1"/>
        <s v="V" u="1"/>
        <s v="MA" u="1"/>
        <s v="WBD" u="1"/>
        <s v="SMH" u="1"/>
        <s v="CRDO" u="1"/>
        <s v="PSKY" u="1"/>
        <s v="BE" u="1"/>
        <s v="CIEN" u="1"/>
        <s v="ANET" u="1"/>
        <m u="1"/>
        <s v="UBER" u="1"/>
        <s v="TTWO" u="1"/>
        <s v="GSENEPOW" u="1"/>
        <s v="LYSDY" u="1"/>
        <s v="MP" u="1"/>
        <s v="SHOP" u="1"/>
        <s v="ORCL" u="1"/>
        <s v="KWEB" u="1"/>
        <s v="BP" u="1"/>
        <s v="SHEL" u="1"/>
        <s v="TTE" u="1"/>
        <s v="GLD" u="1"/>
        <s v="DELL" u="1"/>
        <s v="FCX" u="1"/>
        <s v="COF" u="1"/>
        <s v="BRK/B" u="1"/>
        <s v="KKR" u="1"/>
        <s v="BX" u="1"/>
        <s v="CRWV" u="1"/>
        <s v="NBIS" u="1"/>
        <s v="SPGI" u="1"/>
        <s v="MCO" u="1"/>
        <s v="EBAY" u="1"/>
        <s v="HCTA" u="1"/>
        <s v="QNCZ5" u="1"/>
        <s v="SFTBY" u="1"/>
        <s v="SPY" u="1"/>
        <s v="XHB" u="1"/>
        <s v="NTSK" u="1"/>
        <s v="1EZ5" u="1"/>
        <s v="IWM" u="1"/>
        <s v="NOW" u="1"/>
        <s v="FIGR" u="1"/>
        <s v="ESA" u="1"/>
        <s v="KLAR" u="1"/>
        <s v="GCZ5" u="1"/>
        <s v="4EZ5" u="1"/>
        <s v="MSXXQE7 " u="1"/>
        <s v="CPNG" u="1"/>
        <s v="SCHW" u="1"/>
        <s v="XRT" u="1"/>
        <s v="EWT" u="1"/>
        <s v="KGC" u="1"/>
        <s v="NEM" u="1"/>
        <s v="AEM" u="1"/>
        <s v="PPRUY" u="1"/>
        <s v="CGSPRSPX" u="1"/>
        <s v="XLI" u="1"/>
        <s v="IMDU5" u="1"/>
        <s v="BKNG" u="1"/>
        <s v="AXP" u="1"/>
        <s v="COIN" u="1"/>
        <s v="QCOM" u="1"/>
        <s v="GSXUDEFS" u="1"/>
        <s v="GSXUCYCL" u="1"/>
        <s v="QHTU5" u="1"/>
        <s v="ADBE" u="1"/>
        <s v="WDAY" u="1"/>
        <s v="CRM" u="1"/>
        <s v="INTU" u="1"/>
        <s v="KRE" u="1"/>
        <s v="OMC" u="1"/>
        <s v="EXPE" u="1"/>
        <s v="CAT" u="1"/>
        <s v="URI" u="1"/>
        <s v="RTYA" u="1"/>
        <s v="PINS" u="1"/>
        <s v="ITB" u="1"/>
        <s v="FLY" u="1"/>
        <s v="APO" u="1"/>
        <s v="NTGR" u="1"/>
        <s v="TRIP" u="1"/>
        <s v="PUBGY" u="1"/>
        <s v="LVMUY" u="1"/>
        <s v="GSXUNPTC" u="1"/>
        <s v="GSPUCYDE Index" u="1"/>
        <s v="DHR" u="1"/>
        <s v="TMO" u="1"/>
        <s v="TXT" u="1"/>
        <s v="ILMN" u="1"/>
        <s v="MTD" u="1"/>
        <s v="1EU5" u="1"/>
        <s v="ARX" u="1"/>
        <s v="TEVA" u="1"/>
        <s v="GEO" u="1"/>
        <s v="CXW" u="1"/>
        <s v="ABNB" u="1"/>
        <s v="USB" u="1"/>
        <s v="TTD" u="1"/>
        <s v="WFC" u="1"/>
        <s v="MS" u="1"/>
        <s v="APP" u="1"/>
        <s v="ASML" u="1"/>
        <s v="SMCI" u="1"/>
        <s v="RUWU5" u="1"/>
        <s v="GD" u="1"/>
        <s v="ACN" u="1"/>
        <s v="HOOD" u="1"/>
        <s v="MCD" u="1"/>
        <s v="ARCO" u="1"/>
        <s v="JETS" u="1"/>
        <s v="XOP" u="1"/>
        <s v="GCQ5" u="1"/>
        <s v="KMU5" u="1"/>
        <s v="3EU5" u="1"/>
        <s v="INOD" u="1"/>
        <s v="KER FP" u="1"/>
        <s v="MC FP" u="1"/>
        <s v="IMBM5" u="1"/>
        <s v="IWWM5" u="1"/>
        <s v="RDDT" u="1"/>
        <s v="2EM5" u="1"/>
        <s v="ESM5" u="1"/>
        <s v="1EM5" u="1"/>
        <s v="JOBY" u="1"/>
        <s v="GSTMTAIS" u="1"/>
        <s v="GCA" u="1"/>
        <s v="QNBM5" u="1"/>
        <s v="TEM" u="1"/>
        <s v="STX" u="1"/>
        <s v="BUD" u="1"/>
        <s v="HCTK5" u="1"/>
        <s v="XLV" u="1"/>
        <s v="3EM5" u="1"/>
        <s v="4OM5" u="1"/>
        <s v="JD" u="1"/>
        <s v="HLT" u="1"/>
        <s v="MAR" u="1"/>
        <s v="GOOGL" u="1"/>
        <s v="PLTR" u="1"/>
      </sharedItems>
    </cacheField>
    <cacheField name="Sector" numFmtId="0">
      <sharedItems containsBlank="1" count="27">
        <s v="China"/>
        <s v="Index"/>
        <s v="Internet/SW"/>
        <s v="Memory"/>
        <s v="Semis"/>
        <s v="Networking"/>
        <s v="Power "/>
        <s v="Metals"/>
        <s v="Pairs"/>
        <s v="Payts" u="1"/>
        <s v="Internet" u="1"/>
        <s v="Software" u="1"/>
        <s v="Spec Sits" u="1"/>
        <s v="Power" u="1"/>
        <s v="Media" u="1"/>
        <m u="1"/>
        <s v="Metal" u="1"/>
        <s v="Oil" u="1"/>
        <s v="Financials" u="1"/>
        <s v="IPO" u="1"/>
        <s v="Gold" u="1"/>
        <s v="Tech" u="1"/>
        <s v="Rare Earth" u="1"/>
        <s v="Fin Services" u="1"/>
        <s v="Korea" u="1"/>
        <s v="Travel" u="1"/>
        <s v="Semis/Hardware" u="1"/>
      </sharedItems>
    </cacheField>
    <cacheField name="Diretoria" numFmtId="0">
      <sharedItems containsNonDate="0" containsString="0" containsBlank="1"/>
    </cacheField>
    <cacheField name="Crncy" numFmtId="0">
      <sharedItems/>
    </cacheField>
    <cacheField name="Long / Short" numFmtId="0">
      <sharedItems containsBlank="1"/>
    </cacheField>
    <cacheField name="Qtdd " numFmtId="166">
      <sharedItems containsNonDate="0" containsString="0" containsBlank="1"/>
    </cacheField>
    <cacheField name="Qtt Shs" numFmtId="166">
      <sharedItems containsString="0" containsBlank="1" containsNumber="1" containsInteger="1" minValue="-27500" maxValue="53300"/>
    </cacheField>
    <cacheField name="Price Today" numFmtId="43">
      <sharedItems containsSemiMixedTypes="0" containsString="0" containsNumber="1" minValue="15.22" maxValue="886000"/>
    </cacheField>
    <cacheField name="% Chg" numFmtId="10">
      <sharedItems containsSemiMixedTypes="0" containsString="0" containsNumber="1" minValue="-3.5512288760154997E-2" maxValue="7.1830985915493084E-2"/>
    </cacheField>
    <cacheField name="Price Yest" numFmtId="43">
      <sharedItems containsSemiMixedTypes="0" containsString="0" containsNumber="1" minValue="14.2" maxValue="894000"/>
    </cacheField>
    <cacheField name="FX" numFmtId="0">
      <sharedItems containsSemiMixedTypes="0" containsString="0" containsNumber="1" minValue="0.84217618325753751" maxValue="1444.1"/>
    </cacheField>
    <cacheField name="Mult" numFmtId="166">
      <sharedItems containsSemiMixedTypes="0" containsString="0" containsNumber="1" containsInteger="1" minValue="1" maxValue="20"/>
    </cacheField>
    <cacheField name="D1 Exp USD" numFmtId="166">
      <sharedItems containsSemiMixedTypes="0" containsString="0" containsNumber="1" minValue="-24781250" maxValue="9634087"/>
    </cacheField>
    <cacheField name="D1 Exp %" numFmtId="196">
      <sharedItems containsSemiMixedTypes="0" containsString="0" containsNumber="1" minValue="-9.8168428883767759E-3" maxValue="3.8164466462326618E-3"/>
    </cacheField>
    <cacheField name="D1 P&amp;L bps" numFmtId="170">
      <sharedItems containsSemiMixedTypes="0" containsString="0" containsNumber="1" minValue="-0.86220254083151227" maxValue="0.75645726215715259"/>
    </cacheField>
    <cacheField name="Options Exp USD (delta adj)" numFmtId="166">
      <sharedItems containsString="0" containsBlank="1" containsNumber="1" minValue="-10213795.055580139" maxValue="14405927.450412512"/>
    </cacheField>
    <cacheField name="Option Exp %" numFmtId="0">
      <sharedItems containsString="0" containsBlank="1" containsNumber="1" minValue="-4.0460921605935847E-3" maxValue="5.7067632359971291E-3"/>
    </cacheField>
    <cacheField name="Options P&amp;L bps" numFmtId="170">
      <sharedItems containsString="0" containsBlank="1" containsNumber="1" minValue="-0.41614500698067303" maxValue="3.505838469089894E-2"/>
    </cacheField>
    <cacheField name="Exp" numFmtId="166">
      <sharedItems containsSemiMixedTypes="0" containsString="0" containsNumber="1" minValue="-24781250" maxValue="13233152.97055383"/>
    </cacheField>
    <cacheField name="Exp %" numFmtId="173">
      <sharedItems containsSemiMixedTypes="0" containsString="0" containsNumber="1" minValue="-9.8168428883767759E-3" maxValue="5.2421804239004641E-3"/>
    </cacheField>
    <cacheField name="P&amp;L bps" numFmtId="170">
      <sharedItems containsSemiMixedTypes="0" containsString="0" containsNumber="1" minValue="-1.2783475478121853" maxValue="0.75645726215715259"/>
    </cacheField>
    <cacheField name="xx" numFmtId="166">
      <sharedItems containsSemiMixedTypes="0" containsString="0" containsNumber="1" minValue="0.76399307651954607" maxValue="24878.716724704336"/>
    </cacheField>
    <cacheField name="Ticker2" numFmtId="10">
      <sharedItems containsNonDate="0" containsString="0" containsBlank="1"/>
    </cacheField>
    <cacheField name="xx2" numFmtId="3">
      <sharedItems containsSemiMixedTypes="0" containsString="0" containsNumber="1" minValue="-9624.9999999999982" maxValue="25335.613695606586"/>
    </cacheField>
    <cacheField name="Column1" numFmtId="170">
      <sharedItems containsSemiMixedTypes="0" containsString="0" containsNumber="1" minValue="-1.3601373463012849" maxValue="1.8141637692362342"/>
    </cacheField>
    <cacheField name="Expo Beta Adj" numFmtId="10">
      <sharedItems containsString="0" containsBlank="1" containsNumber="1" minValue="-4.0508899147288866E-3" maxValue="9.6708294146759331E-3"/>
    </cacheField>
    <cacheField name="Vol 10d" numFmtId="43">
      <sharedItems containsSemiMixedTypes="0" containsString="0" containsNumber="1" minValue="13.030821003897936" maxValue="153.50594184082462"/>
    </cacheField>
    <cacheField name="Beta" numFmtId="43">
      <sharedItems containsMixedTypes="1" containsNumber="1" minValue="0.36547309160232544" maxValue="2.1743414402008057"/>
    </cacheField>
    <cacheField name="Daily P&amp;L" numFmtId="166">
      <sharedItems containsSemiMixedTypes="0" containsString="0" containsNumber="1" minValue="-204390.32492201109" maxValue="179322.76730802283"/>
    </cacheField>
    <cacheField name="VALUE" numFmtId="4">
      <sharedItems containsNonDate="0" containsString="0" containsBlank="1"/>
    </cacheField>
    <cacheField name="Report Date2" numFmtId="170">
      <sharedItems/>
    </cacheField>
    <cacheField name="Column3" numFmtId="10">
      <sharedItems containsMixedTypes="1" containsNumber="1" minValue="-1.0133360000000001E-2" maxValue="2.5335750000000001E-2"/>
    </cacheField>
    <cacheField name="Column4" numFmtId="170">
      <sharedItems containsMixedTypes="1" containsNumber="1" minValue="-0.13248564667442816" maxValue="0.3519528147639257"/>
    </cacheField>
    <cacheField name="Column5" numFmtId="195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6">
  <r>
    <x v="0"/>
    <x v="0"/>
    <m/>
    <s v="USD"/>
    <s v="Long"/>
    <m/>
    <n v="3678"/>
    <n v="155.72999999999999"/>
    <n v="-1.8900018900018911E-2"/>
    <n v="158.72999999999999"/>
    <n v="1"/>
    <n v="1"/>
    <n v="572774.93999999994"/>
    <n v="2.2689903037092295E-4"/>
    <n v="-4.3710080980721051E-2"/>
    <n v="0"/>
    <n v="0"/>
    <n v="0"/>
    <n v="572774.93999999994"/>
    <n v="2.2689903037092295E-4"/>
    <n v="-4.3710080980721051E-2"/>
    <n v="2431.4779974956659"/>
    <m/>
    <n v="1287.3"/>
    <n v="5.1599123982834658E-2"/>
    <n v="1.962202609871776E-4"/>
    <n v="36.385610920228643"/>
    <n v="0.86479109525680542"/>
    <n v="-10361.738954516512"/>
    <m/>
    <s v="20/02/2026"/>
    <e v="#VALUE!"/>
    <e v="#VALUE!"/>
    <s v="12/06/2025"/>
  </r>
  <r>
    <x v="1"/>
    <x v="0"/>
    <m/>
    <s v="USD"/>
    <s v="Long"/>
    <m/>
    <n v="4500"/>
    <n v="137.01"/>
    <n v="-9.9002746061569447E-3"/>
    <n v="138.38"/>
    <n v="1"/>
    <n v="1"/>
    <n v="616545"/>
    <n v="2.4423809931356407E-4"/>
    <n v="-2.4422027301626438E-2"/>
    <n v="0"/>
    <n v="0"/>
    <n v="0"/>
    <n v="616545"/>
    <n v="2.4423809931356407E-4"/>
    <n v="-2.4422027301626438E-2"/>
    <n v="2763.6965809065036"/>
    <m/>
    <n v="1575"/>
    <n v="7.5273556884125098E-2"/>
    <n v="2.5388663927316434E-4"/>
    <n v="49.311590351011013"/>
    <n v="1.0395046472549438"/>
    <n v="-5789.3892201010049"/>
    <m/>
    <s v="26/02/2026"/>
    <e v="#VALUE!"/>
    <e v="#VALUE!"/>
    <s v="#N/A Field Not Applicable"/>
  </r>
  <r>
    <x v="2"/>
    <x v="0"/>
    <m/>
    <s v="USD"/>
    <s v="Long"/>
    <m/>
    <n v="10000"/>
    <n v="33.68"/>
    <n v="-4.1395623891188338E-3"/>
    <n v="33.82"/>
    <n v="1"/>
    <n v="1"/>
    <n v="336800"/>
    <n v="1.3341993179542187E-4"/>
    <n v="-5.5459591601422619E-3"/>
    <n v="909958.94402265549"/>
    <n v="3.6047108149684325E-4"/>
    <n v="0"/>
    <n v="1246758.9440226555"/>
    <n v="4.9389101329226517E-4"/>
    <n v="-5.5459591601422619E-3"/>
    <n v="11242.697997327792"/>
    <m/>
    <n v="12956.224180757999"/>
    <n v="4.0223783685283017E-2"/>
    <n v="5.6273247576804598E-4"/>
    <n v="13.030821003897936"/>
    <n v="1.1393859386444092"/>
    <n v="-1314.7031481170177"/>
    <m/>
    <s v="#N/A N/A"/>
    <n v="-9.4618480000000001E-3"/>
    <n v="-4.6731216963373928E-2"/>
    <s v="19/12/2025"/>
  </r>
  <r>
    <x v="3"/>
    <x v="1"/>
    <m/>
    <s v="USD"/>
    <s v="Short"/>
    <m/>
    <m/>
    <n v="601.91999999999996"/>
    <n v="2.1310602024506853E-3"/>
    <n v="600.64"/>
    <n v="1"/>
    <n v="1"/>
    <n v="0"/>
    <n v="0"/>
    <n v="0"/>
    <n v="-10213795.055580139"/>
    <n v="-4.0460921605935847E-3"/>
    <n v="-3.5256454660904282E-2"/>
    <n v="-10213795.055580139"/>
    <n v="-4.0460921605935847E-3"/>
    <n v="-3.5256454660904282E-2"/>
    <n v="629.0770676335726"/>
    <m/>
    <n v="-5939.0421807765961"/>
    <n v="-0.56555766817095854"/>
    <n v="-4.0508899147288866E-3"/>
    <n v="22.364598559731789"/>
    <n v="1.0011857748031616"/>
    <n v="0"/>
    <m/>
    <s v="#N/A N/A"/>
    <n v="-4.6621820000000003E-4"/>
    <n v="1.8863618041460521E-2"/>
    <s v="22/12/2025"/>
  </r>
  <r>
    <x v="4"/>
    <x v="1"/>
    <m/>
    <s v="USD"/>
    <s v="Short"/>
    <m/>
    <n v="-15"/>
    <n v="24781.25"/>
    <n v="5.3496447028433813E-4"/>
    <n v="24768"/>
    <n v="1"/>
    <n v="20"/>
    <n v="-7434375"/>
    <n v="-2.9450528665130329E-3"/>
    <n v="-1.5746562615403858E-2"/>
    <m/>
    <m/>
    <m/>
    <n v="-7434375"/>
    <n v="-2.9450528665130329E-3"/>
    <n v="-1.5746562615403858E-2"/>
    <n v="0.76399307651954607"/>
    <m/>
    <n v="-105"/>
    <n v="-0.40804120389038545"/>
    <m/>
    <n v="22.168224334716797"/>
    <s v="#N/A Field Not Applicable"/>
    <n v="-3732.8178669750882"/>
    <m/>
    <s v="#N/A Field Not Applicable"/>
    <e v="#VALUE!"/>
    <e v="#VALUE!"/>
    <s v="#N/A Field Not Applicable"/>
  </r>
  <r>
    <x v="4"/>
    <x v="1"/>
    <m/>
    <s v="USD"/>
    <s v="Short"/>
    <m/>
    <n v="-50"/>
    <n v="24781.25"/>
    <n v="4.197316845553134E-3"/>
    <n v="24677.67"/>
    <n v="1"/>
    <n v="20"/>
    <n v="-24781250"/>
    <n v="-9.8168428883767759E-3"/>
    <n v="-0.41032174986253062"/>
    <m/>
    <m/>
    <m/>
    <n v="-24781250"/>
    <n v="-9.8168428883767759E-3"/>
    <n v="-0.41032174986253062"/>
    <n v="0.76399307651954607"/>
    <m/>
    <n v="-349.99999999999994"/>
    <n v="-1.3601373463012849"/>
    <m/>
    <n v="22.168224334716797"/>
    <s v="#N/A Field Not Applicable"/>
    <n v="-97269.251487116024"/>
    <m/>
    <s v="#N/A Field Not Applicable"/>
    <e v="#VALUE!"/>
    <e v="#VALUE!"/>
    <s v="#N/A Field Not Applicable"/>
  </r>
  <r>
    <x v="5"/>
    <x v="2"/>
    <m/>
    <s v="USD"/>
    <s v="Long"/>
    <m/>
    <n v="2000"/>
    <n v="306.02"/>
    <n v="-1.0828457833662042E-2"/>
    <n v="309.37"/>
    <n v="1"/>
    <n v="1"/>
    <n v="612040"/>
    <n v="2.4245348888381831E-4"/>
    <n v="-2.65413759806809E-2"/>
    <n v="0"/>
    <n v="0"/>
    <n v="0"/>
    <n v="612040"/>
    <n v="2.4245348888381831E-4"/>
    <n v="-2.65413759806809E-2"/>
    <n v="1237.3507239722896"/>
    <m/>
    <n v="700"/>
    <n v="2.3510663291660211E-2"/>
    <n v="2.4865621237368568E-4"/>
    <n v="15.515165997335728"/>
    <n v="1.0255831480026245"/>
    <n v="-6291.7936374171741"/>
    <m/>
    <s v="24/04/2026"/>
    <n v="-5.1718210000000001E-3"/>
    <n v="-1.2539260453325983E-2"/>
    <s v="09/03/2026"/>
  </r>
  <r>
    <x v="6"/>
    <x v="2"/>
    <m/>
    <s v="USD"/>
    <s v="Long"/>
    <m/>
    <n v="8100"/>
    <n v="639.77"/>
    <n v="-1.5450670195903404E-2"/>
    <n v="649.80999999999995"/>
    <n v="1"/>
    <n v="1"/>
    <n v="5182137"/>
    <n v="2.0528514403044301E-3"/>
    <n v="-0.32215684481386131"/>
    <n v="3199101.6604730487"/>
    <n v="1.2672919398661966E-3"/>
    <n v="-0.2491720222663906"/>
    <n v="8381238.6604730487"/>
    <n v="3.320143380170627E-3"/>
    <n v="-0.57132886708025188"/>
    <n v="591.85968168247973"/>
    <m/>
    <n v="4585.1376762986183"/>
    <n v="0.57490622749003051"/>
    <n v="3.9517703120889591E-3"/>
    <n v="27.705127720622002"/>
    <n v="1.1902408599853516"/>
    <n v="-76369.227726762503"/>
    <m/>
    <s v="30/04/2026"/>
    <e v="#VALUE!"/>
    <e v="#VALUE!"/>
    <s v="16/03/2026"/>
  </r>
  <r>
    <x v="7"/>
    <x v="2"/>
    <m/>
    <s v="USD"/>
    <s v="Short"/>
    <m/>
    <m/>
    <n v="198.79"/>
    <n v="-4.0581162324649922E-3"/>
    <n v="199.6"/>
    <n v="1"/>
    <n v="1"/>
    <n v="0"/>
    <n v="0"/>
    <n v="0"/>
    <n v="130871.79509103298"/>
    <n v="5.1843545056383753E-5"/>
    <n v="3.505838469089894E-2"/>
    <n v="130871.79509103298"/>
    <n v="5.1843545056383753E-5"/>
    <n v="3.505838469089894E-2"/>
    <n v="1904.7943485587809"/>
    <m/>
    <n v="230.41968047618866"/>
    <n v="9.3606255995774875E-3"/>
    <n v="6.6098460693528915E-5"/>
    <n v="28.888844200440705"/>
    <n v="1.2749602794647217"/>
    <n v="0"/>
    <m/>
    <s v="01/05/2026"/>
    <n v="-3.557148E-3"/>
    <n v="-1.8441516261022536E-3"/>
    <s v="#N/A Field Not Applicable"/>
  </r>
  <r>
    <x v="8"/>
    <x v="2"/>
    <m/>
    <s v="USD"/>
    <s v="Short"/>
    <m/>
    <m/>
    <n v="76.87"/>
    <n v="1.3313999472712945E-2"/>
    <n v="75.86"/>
    <n v="1"/>
    <n v="1"/>
    <n v="0"/>
    <n v="0"/>
    <n v="0"/>
    <n v="-394320.68084180349"/>
    <n v="-1.5620617085343748E-4"/>
    <n v="1.3270687990340377E-2"/>
    <n v="-394320.68084180349"/>
    <n v="-1.5620617085343748E-4"/>
    <n v="1.3270687990340377E-2"/>
    <n v="4925.9017633667227"/>
    <m/>
    <n v="-1795.3979223966594"/>
    <n v="-3.7948542361993666E-2"/>
    <n v="-1.7342045210348936E-4"/>
    <n v="38.870210726923858"/>
    <n v="1.1102023124694824"/>
    <n v="0"/>
    <m/>
    <s v="17/04/2026"/>
    <n v="1.3181979999999998E-3"/>
    <n v="-2.0591066200665955E-3"/>
    <s v="#N/A Field Not Applicable"/>
  </r>
  <r>
    <x v="9"/>
    <x v="3"/>
    <m/>
    <s v="USD"/>
    <s v="Long"/>
    <m/>
    <n v="38496"/>
    <n v="133.97"/>
    <n v="2.4235474006116142E-2"/>
    <n v="130.80000000000001"/>
    <n v="1"/>
    <n v="1"/>
    <n v="5157309.12"/>
    <n v="2.043016125410651E-3"/>
    <n v="0.48341875924100453"/>
    <n v="0"/>
    <n v="0"/>
    <n v="0"/>
    <n v="5157309.12"/>
    <n v="2.043016125410651E-3"/>
    <n v="0.48341875924100453"/>
    <n v="2826.4094091960887"/>
    <m/>
    <n v="13473.599999999999"/>
    <n v="0.52654667630822938"/>
    <n v="1.8442421173168503E-3"/>
    <n v="41.236810205001568"/>
    <n v="0.9027056097984314"/>
    <n v="114597.33948287286"/>
    <m/>
    <s v="#N/A N/A"/>
    <n v="6.6513389999999992E-3"/>
    <n v="0.13588792832572752"/>
    <s v="16/12/2025"/>
  </r>
  <r>
    <x v="10"/>
    <x v="3"/>
    <m/>
    <s v="KRW"/>
    <s v="Long"/>
    <m/>
    <n v="1563"/>
    <n v="886000"/>
    <n v="-8.9485458612975632E-3"/>
    <n v="894000"/>
    <n v="1444.1"/>
    <n v="1"/>
    <n v="958948.82625856937"/>
    <n v="3.7987793050688301E-4"/>
    <n v="-3.4300490339221938E-2"/>
    <n v="0"/>
    <n v="0"/>
    <n v="0"/>
    <n v="958948.82625856937"/>
    <n v="3.7987793050688301E-4"/>
    <n v="-3.4300490339221938E-2"/>
    <n v="617.17194175288375"/>
    <m/>
    <n v="0.37881725642268543"/>
    <n v="0.14720967832839024"/>
    <n v="6.413015649672487E-4"/>
    <n v="62.002940000000002"/>
    <n v="1.688178"/>
    <n v="-8131.1386053870037"/>
    <m/>
    <s v="23/04/2026"/>
    <e v="#VALUE!"/>
    <e v="#VALUE!"/>
    <s v="26/02/2026"/>
  </r>
  <r>
    <x v="11"/>
    <x v="3"/>
    <m/>
    <s v="KRW"/>
    <s v="Long"/>
    <m/>
    <n v="1468"/>
    <n v="562000"/>
    <n v="-1.2302284710017597E-2"/>
    <n v="569000"/>
    <n v="1444.1"/>
    <n v="1"/>
    <n v="571301.15642961022"/>
    <n v="2.2631520583576081E-4"/>
    <n v="-2.8188726705521808E-2"/>
    <n v="0"/>
    <n v="0"/>
    <n v="0"/>
    <n v="571301.15642961022"/>
    <n v="2.2631520583576081E-4"/>
    <n v="-2.8188726705521808E-2"/>
    <n v="972.97925336842525"/>
    <m/>
    <n v="0.35579253514299569"/>
    <n v="0.10475297755285885"/>
    <n v="4.5097061595192214E-4"/>
    <n v="74.058109999999999"/>
    <n v="1.992666"/>
    <n v="-6682.3080861289882"/>
    <m/>
    <s v="11/03/2026"/>
    <e v="#VALUE!"/>
    <e v="#VALUE!"/>
    <s v="#N/A N/A"/>
  </r>
  <r>
    <x v="12"/>
    <x v="3"/>
    <m/>
    <s v="KRW"/>
    <s v="Long"/>
    <m/>
    <n v="7080"/>
    <n v="182400"/>
    <n v="1.3896609227348478E-2"/>
    <n v="179900"/>
    <n v="1444.1"/>
    <n v="1"/>
    <n v="894253.86053597403"/>
    <n v="3.5424967066657469E-4"/>
    <n v="4.8553957054080964E-2"/>
    <n v="0"/>
    <n v="0"/>
    <n v="0"/>
    <n v="894253.86053597403"/>
    <n v="3.5424967066657469E-4"/>
    <n v="4.8553957054080964E-2"/>
    <n v="2997.8856381198193"/>
    <m/>
    <n v="1.7159476490547747"/>
    <n v="0.15392486941710246"/>
    <n v="4.0980948051457894E-4"/>
    <n v="69.521529999999998"/>
    <n v="1.156838"/>
    <n v="11510.009062328054"/>
    <m/>
    <s v="07/04/2026"/>
    <e v="#VALUE!"/>
    <e v="#VALUE!"/>
    <s v="29/12/2025"/>
  </r>
  <r>
    <x v="13"/>
    <x v="3"/>
    <m/>
    <s v="KRW"/>
    <s v="Long"/>
    <m/>
    <n v="4400"/>
    <n v="127600"/>
    <n v="4.5045045045045029E-2"/>
    <n v="122100"/>
    <n v="1444.1"/>
    <n v="1"/>
    <n v="388781.94030884287"/>
    <n v="1.5401205451097861E-4"/>
    <n v="6.6384506254732148E-2"/>
    <n v="0"/>
    <n v="0"/>
    <n v="0"/>
    <n v="388781.94030884287"/>
    <n v="1.5401205451097861E-4"/>
    <n v="6.6384506254732148E-2"/>
    <n v="4285.3788432057609"/>
    <m/>
    <n v="1.0664081434803683"/>
    <n v="6.7092203926343755E-2"/>
    <n v="1.7360870233901001E-4"/>
    <n v="69.700729999999993"/>
    <n v="1.1272409999999999"/>
    <n v="15736.848548493719"/>
    <m/>
    <s v="07/04/2026"/>
    <e v="#VALUE!"/>
    <e v="#VALUE!"/>
    <s v="29/12/2025"/>
  </r>
  <r>
    <x v="14"/>
    <x v="4"/>
    <m/>
    <s v="TWD"/>
    <s v="Long"/>
    <m/>
    <n v="17950"/>
    <n v="1915"/>
    <n v="0"/>
    <n v="1915"/>
    <n v="31.510999999999999"/>
    <n v="1"/>
    <n v="1090865.0947288249"/>
    <n v="4.3213523318505416E-4"/>
    <n v="0"/>
    <n v="0"/>
    <n v="0"/>
    <n v="0"/>
    <n v="1090865.0947288249"/>
    <n v="4.3213523318505416E-4"/>
    <n v="0"/>
    <n v="6230.688435550418"/>
    <m/>
    <n v="199.37482149090795"/>
    <n v="7.7532893284500207E-2"/>
    <n v="5.4778456069573794E-4"/>
    <n v="28.706900000000001"/>
    <n v="1.2676229999999999"/>
    <n v="0"/>
    <m/>
    <s v="17/04/2026"/>
    <e v="#VALUE!"/>
    <e v="#VALUE!"/>
    <s v="17/03/2026"/>
  </r>
  <r>
    <x v="15"/>
    <x v="4"/>
    <m/>
    <s v="USD"/>
    <s v="Long"/>
    <m/>
    <n v="-5000"/>
    <n v="366.36"/>
    <n v="-4.7269763651182073E-3"/>
    <n v="368.1"/>
    <n v="1"/>
    <n v="1"/>
    <n v="-1831800"/>
    <n v="-7.2564914211061102E-4"/>
    <n v="3.4464174780884101E-2"/>
    <n v="14405927.450412512"/>
    <n v="5.7067632359971291E-3"/>
    <n v="-0.18063981264463491"/>
    <n v="12574127.450412512"/>
    <n v="4.9811140938865184E-3"/>
    <n v="-0.14617563786375082"/>
    <n v="1033.5573440058959"/>
    <m/>
    <n v="12012.623123824596"/>
    <n v="1.3476888463877754"/>
    <n v="7.236918415560057E-3"/>
    <n v="43.289555580887807"/>
    <n v="1.4528714418411255"/>
    <n v="8169.9409918700485"/>
    <m/>
    <s v="17/04/2026"/>
    <e v="#VALUE!"/>
    <e v="#VALUE!"/>
    <s v="17/03/2026"/>
  </r>
  <r>
    <x v="15"/>
    <x v="4"/>
    <m/>
    <s v="USD"/>
    <s v="Long"/>
    <m/>
    <n v="1640"/>
    <n v="366.36"/>
    <n v="-2.5320591358327649E-3"/>
    <n v="367.29"/>
    <n v="1"/>
    <n v="1"/>
    <n v="600830.4"/>
    <n v="2.3801291861228044E-4"/>
    <n v="-6.0419263650350044E-3"/>
    <m/>
    <m/>
    <m/>
    <n v="600830.4"/>
    <n v="2.3801291861228044E-4"/>
    <n v="-6.0419263650350044E-3"/>
    <n v="1033.5573440058959"/>
    <m/>
    <n v="574"/>
    <n v="6.439670918272275E-2"/>
    <n v="3.4580217224103831E-4"/>
    <n v="43.289555580887807"/>
    <n v="1.4528714418411255"/>
    <n v="-1432.2751725057728"/>
    <m/>
    <s v="17/04/2026"/>
    <e v="#VALUE!"/>
    <e v="#VALUE!"/>
    <s v="17/03/2026"/>
  </r>
  <r>
    <x v="16"/>
    <x v="4"/>
    <m/>
    <s v="USD"/>
    <s v="Long"/>
    <m/>
    <n v="16400"/>
    <n v="325.17"/>
    <n v="-1.8117583114412583E-2"/>
    <n v="331.17"/>
    <n v="1"/>
    <n v="1"/>
    <n v="5332788"/>
    <n v="2.1125303184069012E-3"/>
    <n v="-0.38980170096999739"/>
    <n v="1884638.8440620899"/>
    <n v="7.4658071862757352E-4"/>
    <n v="-0.18206591642866943"/>
    <n v="7217426.8440620899"/>
    <n v="2.8591110370344746E-3"/>
    <n v="-0.57186761739866676"/>
    <n v="1164.4803289048805"/>
    <m/>
    <n v="7768.5499751567831"/>
    <n v="1.0306320616178224"/>
    <n v="5.7954240652692383E-3"/>
    <n v="57.675664821290127"/>
    <n v="2.0270020961761475"/>
    <n v="-92404.849839081435"/>
    <m/>
    <s v="04/03/2026"/>
    <n v="-3.2612170000000003E-3"/>
    <n v="-9.3241815188644592E-2"/>
    <s v="22/12/2025"/>
  </r>
  <r>
    <x v="16"/>
    <x v="4"/>
    <m/>
    <s v="USD"/>
    <s v="Long"/>
    <m/>
    <n v="-3650"/>
    <n v="325.17"/>
    <n v="-1.0829556170717569E-2"/>
    <n v="328.73"/>
    <n v="1"/>
    <n v="1"/>
    <n v="-1186870.5"/>
    <n v="-4.7016680866982858E-4"/>
    <n v="5.1474423804920219E-2"/>
    <m/>
    <m/>
    <m/>
    <n v="-1186870.5"/>
    <n v="-4.7016680866982858E-4"/>
    <n v="5.1474423804920219E-2"/>
    <n v="1164.4803289048805"/>
    <m/>
    <n v="-1277.5"/>
    <n v="-0.16948239541835422"/>
    <n v="-9.5302910672619221E-4"/>
    <n v="57.675664821290127"/>
    <n v="2.0270020961761475"/>
    <n v="12202.323361880335"/>
    <m/>
    <s v="04/03/2026"/>
    <n v="-3.2612170000000003E-3"/>
    <n v="1.5333159892697923E-2"/>
    <s v="22/12/2025"/>
  </r>
  <r>
    <x v="17"/>
    <x v="4"/>
    <m/>
    <s v="USD"/>
    <s v="Long"/>
    <m/>
    <n v="-1000"/>
    <n v="46.79"/>
    <n v="6.6695352839931665E-3"/>
    <n v="46.48"/>
    <n v="1"/>
    <n v="1"/>
    <n v="-46790"/>
    <n v="-1.8535387793075386E-5"/>
    <n v="-1.2280338140315049E-3"/>
    <n v="741849.28742051125"/>
    <n v="2.9387613221534126E-4"/>
    <n v="2.6145236040670532E-2"/>
    <n v="695059.28742051125"/>
    <n v="2.7534074442226586E-4"/>
    <n v="2.4917202226639026E-2"/>
    <n v="8092.6280946783509"/>
    <m/>
    <n v="5199.2039024829855"/>
    <n v="9.0993638438257668E-2"/>
    <n v="4.0423623480170996E-4"/>
    <n v="52.87623588245043"/>
    <n v="1.4681308269500732"/>
    <n v="-291.11283994019772"/>
    <m/>
    <s v="24/04/2026"/>
    <e v="#VALUE!"/>
    <e v="#VALUE!"/>
    <s v="03/09/2024"/>
  </r>
  <r>
    <x v="18"/>
    <x v="4"/>
    <m/>
    <s v="USD"/>
    <s v="Long"/>
    <m/>
    <n v="52700"/>
    <n v="182.81"/>
    <n v="-2.2092650048143758E-2"/>
    <n v="186.94"/>
    <n v="1"/>
    <n v="1"/>
    <n v="9634087"/>
    <n v="3.8164466462326618E-3"/>
    <n v="-0.86220254083151227"/>
    <n v="3599065.9705538303"/>
    <n v="1.4257337776678025E-3"/>
    <n v="-0.41614500698067303"/>
    <n v="13233152.97055383"/>
    <n v="5.2421804239004641E-3"/>
    <n v="-1.2783475478121853"/>
    <n v="2071.2984440129098"/>
    <m/>
    <n v="25335.613695606586"/>
    <n v="1.8141637692362342"/>
    <n v="9.6708294146759331E-3"/>
    <n v="55.371272944822415"/>
    <n v="1.8448104858398438"/>
    <n v="-204390.32492201109"/>
    <m/>
    <s v="25/02/2026"/>
    <n v="2.1932370000000002E-3"/>
    <n v="0.11497344066374184"/>
    <s v="04/12/2025"/>
  </r>
  <r>
    <x v="18"/>
    <x v="4"/>
    <m/>
    <s v="USD"/>
    <s v="Long"/>
    <m/>
    <n v="3270"/>
    <n v="182.81"/>
    <n v="-3.3257005779085969E-3"/>
    <n v="183.42"/>
    <n v="1"/>
    <n v="1"/>
    <n v="597788.69999999995"/>
    <n v="2.3680797975675149E-4"/>
    <n v="-7.9018033833824688E-3"/>
    <m/>
    <m/>
    <m/>
    <n v="597788.69999999995"/>
    <n v="2.3680797975675149E-4"/>
    <n v="-7.9018033833824688E-3"/>
    <n v="2071.2984440129098"/>
    <m/>
    <n v="1144.4999999999998"/>
    <n v="8.195224551639417E-2"/>
    <n v="4.3686584418580458E-4"/>
    <n v="55.371272944822415"/>
    <n v="1.8448104858398438"/>
    <n v="-1873.1702639635291"/>
    <m/>
    <s v="25/02/2026"/>
    <n v="2.1932370000000002E-3"/>
    <n v="5.1937602309775838E-3"/>
    <s v="04/12/2025"/>
  </r>
  <r>
    <x v="19"/>
    <x v="4"/>
    <m/>
    <s v="USD"/>
    <s v="Short"/>
    <m/>
    <n v="-5600"/>
    <n v="78.61"/>
    <n v="4.85747155822569E-3"/>
    <n v="78.23"/>
    <n v="1"/>
    <n v="1"/>
    <n v="-440216"/>
    <n v="-1.7438713983151258E-4"/>
    <n v="-8.4298579234161029E-3"/>
    <n v="-540004.09876741469"/>
    <n v="-2.1391719129096415E-4"/>
    <n v="-2.7630760815708585E-2"/>
    <n v="-980220.09876741469"/>
    <n v="-3.8830433112247673E-4"/>
    <n v="-3.6060618739124688E-2"/>
    <n v="4816.8689549675619"/>
    <m/>
    <n v="-4364.2925145477057"/>
    <n v="-0.14328519658829517"/>
    <n v="-7.6913249406362232E-4"/>
    <n v="59.04037018555983"/>
    <n v="1.9807466268539429"/>
    <n v="-1998.3487851378347"/>
    <m/>
    <s v="05/03/2026"/>
    <n v="-3.5792710000000002E-3"/>
    <n v="1.3898464315610787E-2"/>
    <s v="09/01/2026"/>
  </r>
  <r>
    <x v="20"/>
    <x v="5"/>
    <m/>
    <s v="USD"/>
    <s v="Long"/>
    <m/>
    <n v="4000"/>
    <n v="562.74"/>
    <n v="-3.5512288760154997E-2"/>
    <n v="583.46"/>
    <n v="1"/>
    <n v="1"/>
    <n v="2250960"/>
    <n v="8.9169515936526964E-4"/>
    <n v="-0.32832078228042105"/>
    <n v="997668.87440979481"/>
    <n v="3.9521648805869995E-4"/>
    <n v="-0.11289988290289427"/>
    <n v="3248628.8744097948"/>
    <n v="1.2869116474239696E-3"/>
    <n v="-0.44122066518331532"/>
    <n v="672.87569490350791"/>
    <m/>
    <n v="2020.5069944262505"/>
    <n v="0.57543285863883797"/>
    <n v="2.5957406283818071E-3"/>
    <n v="71.542795938253008"/>
    <n v="2.0170309543609619"/>
    <n v="-77830.426368527245"/>
    <m/>
    <s v="06/05/2026"/>
    <e v="#VALUE!"/>
    <e v="#VALUE!"/>
    <s v="#N/A N/A"/>
  </r>
  <r>
    <x v="20"/>
    <x v="5"/>
    <m/>
    <s v="USD"/>
    <s v="Long"/>
    <m/>
    <n v="400"/>
    <n v="562.74"/>
    <n v="0"/>
    <n v="562.74"/>
    <n v="1"/>
    <n v="1"/>
    <n v="225096"/>
    <n v="8.9169515936526967E-5"/>
    <n v="0"/>
    <m/>
    <m/>
    <m/>
    <n v="225096"/>
    <n v="8.9169515936526967E-5"/>
    <n v="0"/>
    <n v="672.87569490350791"/>
    <m/>
    <n v="139.99999999999997"/>
    <n v="3.9871478015998427E-2"/>
    <n v="1.7985767382935799E-4"/>
    <n v="71.542795938253008"/>
    <n v="2.0170309543609619"/>
    <n v="0"/>
    <m/>
    <s v="06/05/2026"/>
    <e v="#VALUE!"/>
    <e v="#VALUE!"/>
    <s v="#N/A N/A"/>
  </r>
  <r>
    <x v="21"/>
    <x v="5"/>
    <m/>
    <s v="USD"/>
    <s v="Long"/>
    <m/>
    <n v="2880"/>
    <n v="217.23"/>
    <n v="-4.9926713081714924E-3"/>
    <n v="218.32"/>
    <n v="1"/>
    <n v="1"/>
    <n v="625622.4"/>
    <n v="2.4783402000501229E-4"/>
    <n v="-1.2435624996798981E-2"/>
    <n v="0"/>
    <n v="0"/>
    <n v="0"/>
    <n v="625622.4"/>
    <n v="2.4783402000501229E-4"/>
    <n v="-1.2435624996798981E-2"/>
    <n v="1743.1020970860379"/>
    <m/>
    <n v="1008"/>
    <n v="0.13694564532347892"/>
    <n v="5.3887577998845367E-4"/>
    <n v="88.411200574132167"/>
    <n v="2.1743414402008057"/>
    <n v="-2947.9400875492415"/>
    <m/>
    <s v="07/05/2026"/>
    <n v="2.1888000000000001E-2"/>
    <n v="5.4245910298697096E-2"/>
    <s v="27/02/2004"/>
  </r>
  <r>
    <x v="22"/>
    <x v="5"/>
    <m/>
    <s v="USD"/>
    <s v="Long"/>
    <m/>
    <n v="8000"/>
    <n v="111.76"/>
    <n v="6.8349106203995813E-2"/>
    <n v="104.61"/>
    <n v="1"/>
    <n v="1"/>
    <n v="894080"/>
    <n v="3.5418079756428382E-4"/>
    <n v="0.22659204568581168"/>
    <n v="0"/>
    <n v="0"/>
    <n v="0"/>
    <n v="894080"/>
    <n v="3.5418079756428382E-4"/>
    <n v="0.22659204568581168"/>
    <n v="3388.1001122942021"/>
    <m/>
    <n v="2799.9999999999995"/>
    <n v="0.15915726997593069"/>
    <n v="2.5750337229530062E-4"/>
    <n v="71.898768570385243"/>
    <n v="0.72703933715820313"/>
    <n v="53715.014337352266"/>
    <m/>
    <s v="19/02/2026"/>
    <n v="-1.0515310000000001E-3"/>
    <n v="-3.7243208824356893E-3"/>
    <s v="#N/A Field Not Applicable"/>
  </r>
  <r>
    <x v="22"/>
    <x v="5"/>
    <m/>
    <s v="USD"/>
    <s v="Long"/>
    <m/>
    <n v="5268"/>
    <n v="111.76"/>
    <n v="0"/>
    <n v="111.76"/>
    <n v="1"/>
    <n v="1"/>
    <n v="588751.68000000005"/>
    <n v="2.3322805519608093E-4"/>
    <n v="0"/>
    <n v="0"/>
    <n v="0"/>
    <n v="0"/>
    <n v="588751.68000000005"/>
    <n v="2.3322805519608093E-4"/>
    <n v="0"/>
    <n v="3388.1001122942021"/>
    <m/>
    <n v="1843.8000000000002"/>
    <n v="0.10480506227915037"/>
    <n v="1.6956597065645549E-4"/>
    <n v="71.898768570385243"/>
    <n v="0.72703933715820313"/>
    <n v="0"/>
    <m/>
    <s v="19/02/2026"/>
    <n v="-1.0515310000000001E-3"/>
    <n v="-2.4524653010839018E-3"/>
    <s v="#N/A Field Not Applicable"/>
  </r>
  <r>
    <x v="23"/>
    <x v="5"/>
    <m/>
    <s v="USD"/>
    <s v="Long"/>
    <m/>
    <n v="30560"/>
    <n v="76.849999999999994"/>
    <n v="2.4666666666666615E-2"/>
    <n v="75"/>
    <n v="1"/>
    <n v="1"/>
    <n v="2348536"/>
    <n v="9.3034891015170108E-4"/>
    <n v="0.22396167648414333"/>
    <n v="-189703.20205204183"/>
    <n v="-7.5149015080631102E-5"/>
    <n v="7.5610319227877205E-4"/>
    <n v="2158832.7979479581"/>
    <n v="8.5519989507106995E-4"/>
    <n v="0.22471777967642212"/>
    <n v="4927.1837156798965"/>
    <m/>
    <n v="9832.0296588391066"/>
    <n v="0.4396012629696715"/>
    <n v="7.9103493593139763E-4"/>
    <n v="82.245335249137597"/>
    <n v="0.92497080564498901"/>
    <n v="53091.469415673695"/>
    <m/>
    <s v="14/05/2026"/>
    <n v="-1.0133360000000001E-2"/>
    <n v="-8.6660484087173778E-2"/>
    <s v="02/04/2026"/>
  </r>
  <r>
    <x v="23"/>
    <x v="5"/>
    <m/>
    <s v="USD"/>
    <s v="Long"/>
    <m/>
    <n v="4550"/>
    <n v="76.849999999999994"/>
    <n v="-6.5019505851771076E-4"/>
    <n v="76.900000000000006"/>
    <n v="1"/>
    <n v="1"/>
    <n v="349667.5"/>
    <n v="1.385172624735026E-4"/>
    <n v="-9.0121836352331883E-4"/>
    <m/>
    <m/>
    <m/>
    <n v="349667.5"/>
    <n v="1.385172624735026E-4"/>
    <n v="-9.0121836352331883E-4"/>
    <n v="4927.1837156798965"/>
    <m/>
    <n v="1592.4999999999998"/>
    <n v="7.1202491812037555E-2"/>
    <n v="1.2812442386585411E-4"/>
    <n v="82.245335249137597"/>
    <n v="0.92497080564498901"/>
    <n v="-213.63926156906308"/>
    <m/>
    <s v="14/05/2026"/>
    <n v="-1.0133360000000001E-2"/>
    <n v="-1.4036452868584926E-2"/>
    <s v="02/04/2026"/>
  </r>
  <r>
    <x v="24"/>
    <x v="6"/>
    <m/>
    <s v="USD"/>
    <s v="Long"/>
    <m/>
    <n v="30000"/>
    <n v="15.22"/>
    <n v="7.1830985915493084E-2"/>
    <n v="14.2"/>
    <n v="1"/>
    <n v="1"/>
    <n v="456600"/>
    <n v="1.8087749660863905E-4"/>
    <n v="0.12121882164310911"/>
    <n v="0"/>
    <n v="0"/>
    <n v="0"/>
    <n v="456600"/>
    <n v="1.8087749660863905E-4"/>
    <n v="0.12121882164310911"/>
    <n v="24878.716724704336"/>
    <m/>
    <n v="10500.000000000002"/>
    <n v="0.17353606546699812"/>
    <n v="3.7101474094879773E-4"/>
    <n v="153.50594184082462"/>
    <n v="2.0511934757232666"/>
    <n v="28735.654523129022"/>
    <m/>
    <s v="24/02/2026"/>
    <n v="1.2676080000000001E-2"/>
    <n v="2.2928176172108378E-2"/>
    <s v="12/10/2017"/>
  </r>
  <r>
    <x v="25"/>
    <x v="6"/>
    <m/>
    <s v="USD"/>
    <s v="Long"/>
    <m/>
    <n v="2700"/>
    <n v="409.95"/>
    <n v="-8.9447600628550505E-3"/>
    <n v="413.65"/>
    <n v="1"/>
    <n v="1"/>
    <n v="1106865"/>
    <n v="4.3847343469934573E-4"/>
    <n v="-3.957438000701486E-2"/>
    <n v="0"/>
    <n v="0"/>
    <n v="0"/>
    <n v="1106865"/>
    <n v="4.3847343469934573E-4"/>
    <n v="-3.957438000701486E-2"/>
    <n v="923.65915001829501"/>
    <m/>
    <n v="945"/>
    <n v="0.26505607307595708"/>
    <n v="5.5347906418487243E-4"/>
    <n v="96.719591966232315"/>
    <n v="1.2622864246368408"/>
    <n v="-9381.3460354920808"/>
    <m/>
    <s v="27/03/2026"/>
    <n v="4.8353010000000001E-4"/>
    <n v="2.120151037275181E-3"/>
    <s v="22/01/2026"/>
  </r>
  <r>
    <x v="25"/>
    <x v="6"/>
    <m/>
    <s v="USD"/>
    <s v="Long"/>
    <m/>
    <n v="600"/>
    <n v="409.95"/>
    <n v="0"/>
    <n v="409.95"/>
    <n v="1"/>
    <n v="1"/>
    <n v="245970"/>
    <n v="9.7438541044299042E-5"/>
    <n v="0"/>
    <n v="0"/>
    <n v="0"/>
    <n v="0"/>
    <n v="245970"/>
    <n v="9.7438541044299042E-5"/>
    <n v="0"/>
    <n v="923.65915001829501"/>
    <m/>
    <n v="210"/>
    <n v="5.8901349572434897E-2"/>
    <n v="1.2299534759663831E-4"/>
    <n v="96.719591966232315"/>
    <n v="1.2622864246368408"/>
    <n v="0"/>
    <m/>
    <s v="27/03/2026"/>
    <n v="4.8353010000000001E-4"/>
    <n v="4.7114467495004025E-4"/>
    <s v="22/01/2026"/>
  </r>
  <r>
    <x v="26"/>
    <x v="6"/>
    <m/>
    <s v="USD"/>
    <s v="Long"/>
    <m/>
    <n v="965"/>
    <n v="802.13"/>
    <n v="-1.7671695894973971E-2"/>
    <n v="816.56"/>
    <n v="1"/>
    <n v="1"/>
    <n v="774055.45"/>
    <n v="3.0663427952753737E-4"/>
    <n v="-5.5162288576444583E-2"/>
    <n v="0"/>
    <n v="0"/>
    <n v="0"/>
    <n v="774055.45"/>
    <n v="3.0663427952753737E-4"/>
    <n v="-5.5162288576444583E-2"/>
    <n v="472.0607240098239"/>
    <m/>
    <n v="337.74999999999994"/>
    <n v="0.10288402953285275"/>
    <n v="3.8827222479464899E-4"/>
    <n v="53.684293715041456"/>
    <n v="1.266238808631897"/>
    <n v="-13076.554001694236"/>
    <m/>
    <s v="23/04/2026"/>
    <n v="2.4125990000000001E-3"/>
    <n v="7.3978555615385709E-3"/>
    <s v="05/01/2026"/>
  </r>
  <r>
    <x v="27"/>
    <x v="6"/>
    <m/>
    <s v="EUR"/>
    <s v="Long"/>
    <m/>
    <n v="2000"/>
    <n v="162.1"/>
    <n v="4.3370508054523249E-3"/>
    <n v="161.4"/>
    <n v="0.84217618325753751"/>
    <n v="1"/>
    <n v="384955.07999999996"/>
    <n v="1.524960822978063E-4"/>
    <n v="6.5852719067527885E-3"/>
    <n v="0"/>
    <n v="0"/>
    <n v="0"/>
    <n v="384955.07999999996"/>
    <n v="1.524960822978063E-4"/>
    <n v="6.5852719067527885E-3"/>
    <n v="1967.2636534631524"/>
    <m/>
    <n v="831.17999999999984"/>
    <n v="6.736009292232982E-2"/>
    <n v="2.0870903565834136E-4"/>
    <n v="70.674700000000001"/>
    <n v="1.368619"/>
    <n v="1561.0785180741152"/>
    <m/>
    <s v="12/05/2026"/>
    <e v="#VALUE!"/>
    <e v="#VALUE!"/>
    <s v="27/02/2026"/>
  </r>
  <r>
    <x v="28"/>
    <x v="6"/>
    <m/>
    <s v="USD"/>
    <s v="Long"/>
    <m/>
    <n v="53300"/>
    <n v="72.28"/>
    <n v="1.6167580486433408E-2"/>
    <n v="71.13"/>
    <n v="1"/>
    <n v="1"/>
    <n v="3852524"/>
    <n v="1.5261386262477015E-3"/>
    <n v="0.24281397622922876"/>
    <n v="0"/>
    <n v="0"/>
    <n v="0"/>
    <n v="3852524"/>
    <n v="1.5261386262477015E-3"/>
    <n v="0.24281397622922876"/>
    <n v="5238.7115184006643"/>
    <m/>
    <n v="18655"/>
    <n v="0.30294994244988099"/>
    <n v="1.0564596601814451E-3"/>
    <n v="31.761197808850728"/>
    <n v="0.69224357604980469"/>
    <n v="57560.521045594767"/>
    <m/>
    <s v="05/05/2026"/>
    <n v="5.6938900000000001E-3"/>
    <n v="8.6896654626055253E-2"/>
    <s v="13/03/2026"/>
  </r>
  <r>
    <x v="29"/>
    <x v="7"/>
    <m/>
    <s v="USD"/>
    <m/>
    <m/>
    <n v="33738"/>
    <n v="103.94"/>
    <n v="5.7590557590557534E-2"/>
    <n v="98.28"/>
    <n v="1"/>
    <n v="1"/>
    <n v="3506727.7199999997"/>
    <n v="1.389154908632765E-3"/>
    <n v="0.75645726215715259"/>
    <n v="0"/>
    <n v="0"/>
    <n v="0"/>
    <n v="3506727.7199999997"/>
    <n v="1.389154908632765E-3"/>
    <n v="0.75645726215715259"/>
    <n v="3643.0062396574949"/>
    <m/>
    <n v="11808.300000000001"/>
    <n v="0.70605164117838315"/>
    <n v="1.3843995341586807E-3"/>
    <n v="81.32157320001626"/>
    <n v="0.99657678604125977"/>
    <n v="179322.76730802283"/>
    <m/>
    <s v="#N/A N/A"/>
    <n v="2.5335750000000001E-2"/>
    <n v="0.3519528147639257"/>
    <s v="22/12/2025"/>
  </r>
  <r>
    <x v="29"/>
    <x v="7"/>
    <m/>
    <s v="USD"/>
    <m/>
    <m/>
    <n v="-12700"/>
    <n v="103.94"/>
    <n v="4.947495961227788E-2"/>
    <n v="99.04"/>
    <n v="1"/>
    <n v="1"/>
    <n v="-1320038"/>
    <n v="-5.2291977413113154E-4"/>
    <n v="-0.24651788466832211"/>
    <n v="0"/>
    <n v="0"/>
    <n v="0"/>
    <n v="-1320038"/>
    <n v="-5.2291977413113154E-4"/>
    <n v="-0.24651788466832211"/>
    <n v="3643.0062396574949"/>
    <m/>
    <n v="-4444.9999999999991"/>
    <n v="-0.2657791168108799"/>
    <n v="-5.2112970786102452E-4"/>
    <n v="81.32157320001626"/>
    <n v="0.99657678604125977"/>
    <n v="-58438.55493380109"/>
    <m/>
    <s v="#N/A N/A"/>
    <n v="2.5335750000000001E-2"/>
    <n v="-0.13248564667442816"/>
    <s v="22/12/2025"/>
  </r>
  <r>
    <x v="29"/>
    <x v="7"/>
    <m/>
    <s v="USD"/>
    <m/>
    <m/>
    <n v="-6129"/>
    <n v="103.94"/>
    <n v="8.8323789187614299E-3"/>
    <n v="103.03"/>
    <n v="1"/>
    <n v="1"/>
    <n v="-637048.26"/>
    <n v="-2.5236025949997677E-4"/>
    <n v="-2.209426940013258E-2"/>
    <n v="0"/>
    <n v="0"/>
    <n v="0"/>
    <n v="-637048.26"/>
    <n v="-2.5236025949997677E-4"/>
    <n v="-2.209426940013258E-2"/>
    <n v="3643.0062396574949"/>
    <m/>
    <n v="-2145.1499999999996"/>
    <n v="-0.12826458322314038"/>
    <n v="-2.5149637633702516E-4"/>
    <n v="81.32157320001626"/>
    <n v="0.99657678604125977"/>
    <n v="-5237.5801366259402"/>
    <m/>
    <s v="#N/A N/A"/>
    <n v="2.5335750000000001E-2"/>
    <n v="-6.3937364446265368E-2"/>
    <s v="22/12/2025"/>
  </r>
  <r>
    <x v="30"/>
    <x v="8"/>
    <m/>
    <s v="USD"/>
    <s v="Long"/>
    <m/>
    <n v="23500"/>
    <n v="51.65"/>
    <n v="-7.7384407041980463E-4"/>
    <n v="51.69"/>
    <n v="1"/>
    <n v="1"/>
    <n v="1213775"/>
    <n v="4.8082475568583192E-4"/>
    <n v="-3.7237154360954248E-3"/>
    <n v="0"/>
    <n v="0"/>
    <n v="0"/>
    <n v="1213775"/>
    <n v="4.8082475568583192E-4"/>
    <n v="-3.7237154360954248E-3"/>
    <n v="7331.1533117134568"/>
    <m/>
    <n v="8225"/>
    <n v="5.7626108827899133E-2"/>
    <n v="4.8078552098261692E-4"/>
    <n v="19.175754375026962"/>
    <n v="0.99991840124130249"/>
    <n v="-882.72925659283248"/>
    <m/>
    <s v="#N/A N/A"/>
    <n v="-2.1280089999999997E-3"/>
    <n v="-1.0231994075222513E-2"/>
    <s v="22/12/2025"/>
  </r>
  <r>
    <x v="30"/>
    <x v="8"/>
    <m/>
    <s v="USD"/>
    <s v="Long"/>
    <m/>
    <n v="-23323"/>
    <n v="51.65"/>
    <n v="3.8872691933915515E-3"/>
    <n v="51.45"/>
    <n v="1"/>
    <n v="1"/>
    <n v="-1204632.95"/>
    <n v="-4.7720322454726201E-4"/>
    <n v="-1.8478343641713527E-2"/>
    <n v="0"/>
    <n v="0"/>
    <n v="0"/>
    <n v="-1204632.95"/>
    <n v="-4.7720322454726201E-4"/>
    <n v="-1.8478343641713527E-2"/>
    <n v="7331.1533117134568"/>
    <m/>
    <n v="-8163.0499999999984"/>
    <n v="-5.7192073880557082E-2"/>
    <n v="-4.7716428535649253E-4"/>
    <n v="19.175754375026962"/>
    <n v="0.99991840124130249"/>
    <n v="-4380.4030747903462"/>
    <m/>
    <s v="#N/A N/A"/>
    <n v="-2.1280089999999997E-3"/>
    <n v="1.0154927566655944E-2"/>
    <s v="22/12/2025"/>
  </r>
  <r>
    <x v="31"/>
    <x v="8"/>
    <m/>
    <s v="USD"/>
    <s v="Long"/>
    <m/>
    <n v="15000"/>
    <n v="85.61"/>
    <n v="3.1638153269275548E-3"/>
    <n v="85.34"/>
    <n v="1"/>
    <n v="1"/>
    <n v="1284150"/>
    <n v="5.087031039640469E-4"/>
    <n v="1.6043667570411244E-2"/>
    <n v="0"/>
    <n v="0"/>
    <n v="0"/>
    <n v="1284150"/>
    <n v="5.087031039640469E-4"/>
    <n v="1.6043667570411244E-2"/>
    <n v="4423.012131176265"/>
    <m/>
    <n v="5249.9999999999991"/>
    <n v="9.0045760229451474E-2"/>
    <n v="5.0673317450963438E-4"/>
    <n v="28.321670389749553"/>
    <n v="0.99612754583358765"/>
    <n v="3803.248392767016"/>
    <m/>
    <s v="#N/A N/A"/>
    <n v="-6.6791619999999998E-3"/>
    <n v="-3.3977104412787111E-2"/>
    <s v="22/12/2025"/>
  </r>
  <r>
    <x v="32"/>
    <x v="8"/>
    <m/>
    <s v="USD"/>
    <s v="Short"/>
    <m/>
    <n v="-10500"/>
    <n v="24.8"/>
    <n v="1.9736842105263275E-2"/>
    <n v="24.32"/>
    <n v="1"/>
    <n v="1"/>
    <n v="-260400"/>
    <n v="-1.0315484037864566E-4"/>
    <n v="-1.9965452976512081E-2"/>
    <n v="0"/>
    <n v="0"/>
    <n v="0"/>
    <n v="-260400"/>
    <n v="-1.0315484037864566E-4"/>
    <n v="-1.9965452976512081E-2"/>
    <n v="15268.309215725807"/>
    <m/>
    <n v="-3675"/>
    <n v="-1.6149812781417552E-2"/>
    <n v="-3.7700318426928022E-5"/>
    <n v="25.049430889931585"/>
    <n v="0.36547309160232544"/>
    <n v="-4732.9313332212496"/>
    <m/>
    <s v="29/04/2026"/>
    <e v="#VALUE!"/>
    <e v="#VALUE!"/>
    <s v="06/03/2026"/>
  </r>
  <r>
    <x v="33"/>
    <x v="8"/>
    <m/>
    <s v="USD"/>
    <s v="Short"/>
    <m/>
    <n v="18478"/>
    <n v="89.51"/>
    <n v="5.3914410872739627E-3"/>
    <n v="89.03"/>
    <n v="1"/>
    <n v="1"/>
    <n v="1653965.78"/>
    <n v="6.5520190486805744E-4"/>
    <n v="3.5135394295237425E-2"/>
    <n v="0"/>
    <n v="0"/>
    <n v="0"/>
    <n v="1653965.78"/>
    <n v="6.5520190486805744E-4"/>
    <n v="3.5135394295237425E-2"/>
    <n v="4230.299056529997"/>
    <m/>
    <n v="6467.2999999999993"/>
    <n v="5.4053940224786601E-2"/>
    <n v="6.5690243204405462E-4"/>
    <n v="13.199947026569605"/>
    <n v="1.0025954246520996"/>
    <n v="8329.057635739322"/>
    <m/>
    <s v="#N/A N/A"/>
    <n v="-1.2330520000000001E-3"/>
    <n v="-8.0789801920136805E-3"/>
    <s v="22/12/2025"/>
  </r>
  <r>
    <x v="33"/>
    <x v="8"/>
    <m/>
    <s v="USD"/>
    <s v="Short"/>
    <m/>
    <n v="-27500"/>
    <n v="89.51"/>
    <n v="3.3628516982402434E-3"/>
    <n v="89.21"/>
    <n v="1"/>
    <n v="1"/>
    <n v="-2461525"/>
    <n v="-9.7510836583350902E-4"/>
    <n v="-3.2681545050839436E-2"/>
    <n v="0"/>
    <n v="0"/>
    <n v="0"/>
    <n v="-2461525"/>
    <n v="-9.7510836583350902E-4"/>
    <n v="-3.2681545050839436E-2"/>
    <n v="4230.299056529997"/>
    <m/>
    <n v="-9624.9999999999982"/>
    <n v="-8.0446117338544842E-2"/>
    <n v="-9.7763918612466189E-4"/>
    <n v="13.199947026569605"/>
    <n v="1.0025954246520996"/>
    <n v="-7747.3578371184021"/>
    <m/>
    <s v="#N/A N/A"/>
    <n v="-1.2330520000000001E-3"/>
    <n v="1.2023593207077399E-2"/>
    <s v="22/12/20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1AA609-234C-461F-BF62-F80263F1BA3E}" name="Tabela dinâmica1" cacheId="1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2:F56" firstHeaderRow="0" firstDataRow="1" firstDataCol="1"/>
  <pivotFields count="34">
    <pivotField axis="axisRow" showAll="0">
      <items count="200">
        <item m="1" x="196"/>
        <item m="1" x="192"/>
        <item m="1" x="173"/>
        <item m="1" x="41"/>
        <item m="1" x="155"/>
        <item x="2"/>
        <item m="1" x="118"/>
        <item m="1" x="84"/>
        <item m="1" x="120"/>
        <item m="1" x="102"/>
        <item m="1" x="131"/>
        <item x="29"/>
        <item m="1" x="197"/>
        <item m="1" x="190"/>
        <item m="1" x="195"/>
        <item m="1" x="42"/>
        <item m="1" x="169"/>
        <item m="1" x="72"/>
        <item m="1" x="60"/>
        <item x="6"/>
        <item m="1" x="73"/>
        <item m="1" x="43"/>
        <item m="1" x="112"/>
        <item m="1" x="139"/>
        <item x="18"/>
        <item m="1" x="198"/>
        <item m="1" x="46"/>
        <item m="1" x="36"/>
        <item m="1" x="95"/>
        <item x="15"/>
        <item m="1" x="70"/>
        <item m="1" x="69"/>
        <item m="1" x="59"/>
        <item x="30"/>
        <item x="33"/>
        <item m="1" x="194"/>
        <item m="1" x="193"/>
        <item m="1" x="68"/>
        <item x="31"/>
        <item m="1" x="184"/>
        <item m="1" x="62"/>
        <item x="3"/>
        <item m="1" x="77"/>
        <item m="1" x="78"/>
        <item m="1" x="79"/>
        <item m="1" x="87"/>
        <item m="1" x="83"/>
        <item m="1" x="96"/>
        <item m="1" x="191"/>
        <item m="1" x="109"/>
        <item m="1" x="152"/>
        <item m="1" x="136"/>
        <item m="1" x="80"/>
        <item m="1" x="182"/>
        <item m="1" x="134"/>
        <item m="1" x="188"/>
        <item m="1" x="129"/>
        <item m="1" x="189"/>
        <item m="1" x="178"/>
        <item m="1" x="187"/>
        <item m="1" x="183"/>
        <item x="7"/>
        <item m="1" x="185"/>
        <item m="1" x="186"/>
        <item m="1" x="171"/>
        <item m="1" x="181"/>
        <item m="1" x="115"/>
        <item m="1" x="34"/>
        <item x="16"/>
        <item m="1" x="158"/>
        <item m="1" x="166"/>
        <item m="1" x="92"/>
        <item m="1" x="107"/>
        <item m="1" x="172"/>
        <item m="1" x="75"/>
        <item m="1" x="165"/>
        <item m="1" x="180"/>
        <item m="1" x="179"/>
        <item m="1" x="126"/>
        <item m="1" x="127"/>
        <item x="9"/>
        <item m="1" x="45"/>
        <item x="14"/>
        <item x="10"/>
        <item m="1" x="176"/>
        <item m="1" x="175"/>
        <item m="1" x="142"/>
        <item m="1" x="114"/>
        <item m="1" x="174"/>
        <item m="1" x="177"/>
        <item x="19"/>
        <item m="1" x="167"/>
        <item m="1" x="125"/>
        <item x="4"/>
        <item m="1" x="110"/>
        <item m="1" x="170"/>
        <item m="1" x="85"/>
        <item m="1" x="135"/>
        <item m="1" x="168"/>
        <item m="1" x="81"/>
        <item m="1" x="153"/>
        <item m="1" x="154"/>
        <item m="1" x="140"/>
        <item m="1" x="86"/>
        <item m="1" x="164"/>
        <item m="1" x="121"/>
        <item m="1" x="163"/>
        <item m="1" x="161"/>
        <item m="1" x="162"/>
        <item m="1" x="160"/>
        <item m="1" x="157"/>
        <item m="1" x="99"/>
        <item m="1" x="54"/>
        <item m="1" x="159"/>
        <item m="1" x="156"/>
        <item m="1" x="138"/>
        <item x="8"/>
        <item m="1" x="145"/>
        <item m="1" x="146"/>
        <item m="1" x="89"/>
        <item m="1" x="149"/>
        <item m="1" x="141"/>
        <item m="1" x="130"/>
        <item m="1" x="143"/>
        <item m="1" x="151"/>
        <item m="1" x="148"/>
        <item m="1" x="150"/>
        <item m="1" x="116"/>
        <item m="1" x="94"/>
        <item m="1" x="147"/>
        <item m="1" x="106"/>
        <item m="1" x="144"/>
        <item m="1" x="122"/>
        <item m="1" x="123"/>
        <item x="11"/>
        <item m="1" x="90"/>
        <item m="1" x="132"/>
        <item m="1" x="76"/>
        <item m="1" x="117"/>
        <item m="1" x="108"/>
        <item m="1" x="111"/>
        <item m="1" x="113"/>
        <item m="1" x="91"/>
        <item m="1" x="133"/>
        <item m="1" x="137"/>
        <item m="1" x="128"/>
        <item m="1" x="119"/>
        <item m="1" x="56"/>
        <item m="1" x="124"/>
        <item m="1" x="100"/>
        <item m="1" x="105"/>
        <item m="1" x="88"/>
        <item m="1" x="52"/>
        <item m="1" x="98"/>
        <item m="1" x="104"/>
        <item m="1" x="103"/>
        <item m="1" x="101"/>
        <item m="1" x="97"/>
        <item m="1" x="93"/>
        <item m="1" x="82"/>
        <item m="1" x="74"/>
        <item m="1" x="71"/>
        <item m="1" x="63"/>
        <item x="20"/>
        <item m="1" x="61"/>
        <item m="1" x="64"/>
        <item x="21"/>
        <item m="1" x="67"/>
        <item m="1" x="65"/>
        <item x="24"/>
        <item m="1" x="66"/>
        <item m="1" x="55"/>
        <item x="1"/>
        <item x="0"/>
        <item x="5"/>
        <item m="1" x="58"/>
        <item m="1" x="40"/>
        <item m="1" x="53"/>
        <item m="1" x="57"/>
        <item m="1" x="38"/>
        <item x="32"/>
        <item m="1" x="51"/>
        <item x="17"/>
        <item x="23"/>
        <item x="22"/>
        <item m="1" x="50"/>
        <item m="1" x="49"/>
        <item x="12"/>
        <item m="1" x="47"/>
        <item m="1" x="48"/>
        <item m="1" x="39"/>
        <item x="28"/>
        <item m="1" x="44"/>
        <item m="1" x="35"/>
        <item x="25"/>
        <item x="26"/>
        <item m="1" x="37"/>
        <item x="13"/>
        <item x="27"/>
        <item t="default"/>
      </items>
    </pivotField>
    <pivotField axis="axisRow" showAll="0">
      <items count="28">
        <item x="0"/>
        <item m="1" x="18"/>
        <item x="1"/>
        <item m="1" x="10"/>
        <item sd="0" m="1" x="24"/>
        <item x="7"/>
        <item m="1" x="13"/>
        <item m="1" x="22"/>
        <item m="1" x="26"/>
        <item m="1" x="11"/>
        <item m="1" x="12"/>
        <item m="1" x="25"/>
        <item m="1" x="23"/>
        <item x="4"/>
        <item x="3"/>
        <item m="1" x="17"/>
        <item m="1" x="20"/>
        <item m="1" x="21"/>
        <item m="1" x="16"/>
        <item m="1" x="15"/>
        <item m="1" x="19"/>
        <item x="5"/>
        <item m="1" x="14"/>
        <item x="6"/>
        <item m="1" x="9"/>
        <item x="2"/>
        <item x="8"/>
        <item t="default"/>
      </items>
    </pivotField>
    <pivotField showAll="0"/>
    <pivotField showAll="0"/>
    <pivotField showAll="0"/>
    <pivotField showAll="0"/>
    <pivotField showAll="0"/>
    <pivotField numFmtId="43" showAll="0"/>
    <pivotField dataField="1" numFmtId="10" showAll="0"/>
    <pivotField numFmtId="43" showAll="0"/>
    <pivotField numFmtId="43" showAll="0"/>
    <pivotField numFmtId="166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numFmtId="170" showAll="0"/>
    <pivotField numFmtId="166" showAll="0"/>
    <pivotField showAll="0"/>
    <pivotField numFmtId="10" showAll="0"/>
    <pivotField numFmtId="170" showAll="0"/>
    <pivotField numFmtId="10" showAll="0"/>
    <pivotField numFmtId="43" showAll="0"/>
    <pivotField numFmtId="43" showAll="0"/>
    <pivotField showAll="0"/>
    <pivotField numFmtId="166" showAll="0"/>
    <pivotField showAll="0"/>
    <pivotField showAll="0"/>
    <pivotField showAll="0"/>
    <pivotField showAll="0"/>
  </pivotFields>
  <rowFields count="2">
    <field x="1"/>
    <field x="0"/>
  </rowFields>
  <rowItems count="44">
    <i>
      <x/>
    </i>
    <i r="1">
      <x v="5"/>
    </i>
    <i r="1">
      <x v="172"/>
    </i>
    <i r="1">
      <x v="173"/>
    </i>
    <i>
      <x v="2"/>
    </i>
    <i r="1">
      <x v="41"/>
    </i>
    <i r="1">
      <x v="93"/>
    </i>
    <i>
      <x v="5"/>
    </i>
    <i r="1">
      <x v="11"/>
    </i>
    <i>
      <x v="13"/>
    </i>
    <i r="1">
      <x v="24"/>
    </i>
    <i r="1">
      <x v="29"/>
    </i>
    <i r="1">
      <x v="68"/>
    </i>
    <i r="1">
      <x v="82"/>
    </i>
    <i r="1">
      <x v="90"/>
    </i>
    <i r="1">
      <x v="182"/>
    </i>
    <i>
      <x v="14"/>
    </i>
    <i r="1">
      <x v="80"/>
    </i>
    <i r="1">
      <x v="83"/>
    </i>
    <i r="1">
      <x v="134"/>
    </i>
    <i r="1">
      <x v="187"/>
    </i>
    <i r="1">
      <x v="197"/>
    </i>
    <i>
      <x v="21"/>
    </i>
    <i r="1">
      <x v="163"/>
    </i>
    <i r="1">
      <x v="166"/>
    </i>
    <i r="1">
      <x v="183"/>
    </i>
    <i r="1">
      <x v="184"/>
    </i>
    <i>
      <x v="23"/>
    </i>
    <i r="1">
      <x v="169"/>
    </i>
    <i r="1">
      <x v="191"/>
    </i>
    <i r="1">
      <x v="194"/>
    </i>
    <i r="1">
      <x v="195"/>
    </i>
    <i r="1">
      <x v="198"/>
    </i>
    <i>
      <x v="25"/>
    </i>
    <i r="1">
      <x v="19"/>
    </i>
    <i r="1">
      <x v="61"/>
    </i>
    <i r="1">
      <x v="116"/>
    </i>
    <i r="1">
      <x v="174"/>
    </i>
    <i>
      <x v="26"/>
    </i>
    <i r="1">
      <x v="33"/>
    </i>
    <i r="1">
      <x v="34"/>
    </i>
    <i r="1">
      <x v="38"/>
    </i>
    <i r="1">
      <x v="18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of % Chg" fld="8" subtotal="average" baseField="1" baseItem="1" numFmtId="172"/>
    <dataField name="Sum of _x000a_P&amp;L bps" fld="20" baseField="0" baseItem="0" numFmtId="170"/>
    <dataField name="Sum of D1 Exp %" fld="13" baseField="1" baseItem="0" numFmtId="10"/>
    <dataField name="Sum of Option Exp %" fld="16" baseField="0" baseItem="0" numFmtId="10"/>
    <dataField name="Sum of Exp %" fld="19" baseField="0" baseItem="0" numFmtId="10"/>
  </dataFields>
  <formats count="42">
    <format dxfId="113">
      <pivotArea outline="0" collapsedLevelsAreSubtotals="1" fieldPosition="0"/>
    </format>
    <format dxfId="112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11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10">
      <pivotArea outline="0" collapsedLevelsAreSubtotals="1" fieldPosition="0"/>
    </format>
    <format dxfId="109">
      <pivotArea dataOnly="0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08">
      <pivotArea outline="0" collapsedLevelsAreSubtotals="1" fieldPosition="0"/>
    </format>
    <format dxfId="107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06">
      <pivotArea outline="0" collapsedLevelsAreSubtotals="1" fieldPosition="0"/>
    </format>
    <format dxfId="105">
      <pivotArea type="all" dataOnly="0" outline="0" fieldPosition="0"/>
    </format>
    <format dxfId="104">
      <pivotArea dataOnly="0" labelOnly="1" grandRow="1" outline="0" fieldPosition="0"/>
    </format>
    <format dxfId="103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02">
      <pivotArea outline="0" collapsedLevelsAreSubtotals="1" fieldPosition="0">
        <references count="1">
          <reference field="4294967294" count="3" selected="0">
            <x v="2"/>
            <x v="3"/>
            <x v="4"/>
          </reference>
        </references>
      </pivotArea>
    </format>
    <format dxfId="101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00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99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98">
      <pivotArea dataOnly="0" labelOnly="1" grandRow="1" outline="0" fieldPosition="0"/>
    </format>
    <format dxfId="97">
      <pivotArea type="all" dataOnly="0" outline="0" fieldPosition="0"/>
    </format>
    <format dxfId="96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95">
      <pivotArea type="all" dataOnly="0" outline="0" fieldPosition="0"/>
    </format>
    <format dxfId="94">
      <pivotArea outline="0" collapsedLevelsAreSubtotals="1" fieldPosition="0"/>
    </format>
    <format dxfId="93">
      <pivotArea dataOnly="0" labelOnly="1" grandRow="1" outline="0" fieldPosition="0"/>
    </format>
    <format dxfId="92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9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90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89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8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87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86">
      <pivotArea type="all" dataOnly="0" outline="0" fieldPosition="0"/>
    </format>
    <format dxfId="85">
      <pivotArea outline="0" collapsedLevelsAreSubtotals="1" fieldPosition="0"/>
    </format>
    <format dxfId="84">
      <pivotArea dataOnly="0" labelOnly="1" grandRow="1" outline="0" fieldPosition="0"/>
    </format>
    <format dxfId="8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82">
      <pivotArea type="all" dataOnly="0" outline="0" fieldPosition="0"/>
    </format>
    <format dxfId="81">
      <pivotArea outline="0" collapsedLevelsAreSubtotals="1" fieldPosition="0"/>
    </format>
    <format dxfId="80">
      <pivotArea dataOnly="0" labelOnly="1" grandRow="1" outline="0" fieldPosition="0"/>
    </format>
    <format dxfId="79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7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77">
      <pivotArea field="1" type="button" dataOnly="0" labelOnly="1" outline="0" axis="axisRow" fieldPosition="0"/>
    </format>
    <format dxfId="7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75">
      <pivotArea field="1" type="button" dataOnly="0" labelOnly="1" outline="0" axis="axisRow" fieldPosition="0"/>
    </format>
    <format dxfId="7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73">
      <pivotArea field="1" type="button" dataOnly="0" labelOnly="1" outline="0" axis="axisRow" fieldPosition="0"/>
    </format>
    <format dxfId="72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onditionalFormats count="1">
    <conditionalFormat priority="5669">
      <pivotAreas count="1">
        <pivotArea type="data" outline="0" collapsedLevelsAreSubtotals="1" fieldPosition="0">
          <references count="1">
            <reference field="4294967294" count="1" selected="0">
              <x v="4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8A667B-27C2-4003-A53C-C52DE885F6F5}" name="Tabelad" displayName="Tabelad" ref="B11:AI57" totalsRowShown="0" headerRowDxfId="71" dataDxfId="69" headerRowBorderDxfId="70" tableBorderDxfId="68">
  <autoFilter ref="B11:AI57" xr:uid="{488A667B-27C2-4003-A53C-C52DE885F6F5}"/>
  <sortState xmlns:xlrd2="http://schemas.microsoft.com/office/spreadsheetml/2017/richdata2" ref="B12:AI57">
    <sortCondition ref="C11:C57"/>
  </sortState>
  <tableColumns count="34">
    <tableColumn id="1" xr3:uid="{C4869650-AB2A-4E52-A8FD-8FC4A1E9B450}" name="Ticker" dataDxfId="67" totalsRowDxfId="66"/>
    <tableColumn id="2" xr3:uid="{3392DCC0-4423-44FF-B70A-0E06289D8EEE}" name="Sector" dataDxfId="65"/>
    <tableColumn id="29" xr3:uid="{7A835F51-8D98-481A-BCE1-CD91D7445A8F}" name="Diretoria" dataDxfId="64"/>
    <tableColumn id="3" xr3:uid="{B1589ED3-B8E2-4F6B-B66F-D68F68C1ABA6}" name="Crncy" dataDxfId="63"/>
    <tableColumn id="4" xr3:uid="{616D46BC-AC49-4393-8BDA-875BFB778D29}" name="Long / Short" dataDxfId="62" totalsRowDxfId="61">
      <calculatedColumnFormula>IF(T12&gt;0,"Long","Short")</calculatedColumnFormula>
    </tableColumn>
    <tableColumn id="33" xr3:uid="{F6985B5B-9203-43DA-8157-CAE6E92D0561}" name="Qtdd " dataDxfId="60"/>
    <tableColumn id="5" xr3:uid="{9A4DCF38-5D0D-4646-8CF9-69904711743E}" name="Qtt Shs" dataDxfId="59"/>
    <tableColumn id="6" xr3:uid="{BC11B5F3-DE4D-477B-AAED-C5AB103E9DA0}" name="Price Today" dataDxfId="58" totalsRowDxfId="57">
      <calculatedColumnFormula array="1">_xll.BDP(B12&amp;" Equity","LAST_PRICE")</calculatedColumnFormula>
    </tableColumn>
    <tableColumn id="7" xr3:uid="{704FFD7D-1208-4AA6-81A9-0E257F085F19}" name="% Chg" dataDxfId="56" totalsRowDxfId="55">
      <calculatedColumnFormula>I12/K12-1</calculatedColumnFormula>
    </tableColumn>
    <tableColumn id="8" xr3:uid="{E069BEAC-4A43-4F60-BD21-C3F1FDA777D4}" name="Price Yest" dataDxfId="54" dataCellStyle="Comma">
      <calculatedColumnFormula>_xll.BDP(B12&amp;" equity","PX_YEST_CLOSE")</calculatedColumnFormula>
    </tableColumn>
    <tableColumn id="9" xr3:uid="{A2F51CF4-C965-4A1F-975F-FCDA401F7124}" name="FX" dataDxfId="53">
      <calculatedColumnFormula>_xll.BDP(E12&amp;" Curncy","PX_LAST")</calculatedColumnFormula>
    </tableColumn>
    <tableColumn id="10" xr3:uid="{0525E66F-8EF5-4CCF-835F-559F3DAE7E58}" name="Mult" dataDxfId="52" totalsRowDxfId="51" dataCellStyle="Comma"/>
    <tableColumn id="11" xr3:uid="{8FC681CE-75F1-4027-AD99-551C42A97619}" name="D1 Exp USD" dataDxfId="50">
      <calculatedColumnFormula>IFERROR(IF(((I12/L12)*H12*M12)&lt;&gt;0,((I12/L12)*H12*M12),0),"-")</calculatedColumnFormula>
    </tableColumn>
    <tableColumn id="12" xr3:uid="{BE55CED1-1EEB-46EA-A2E5-D244B7925B83}" name="D1 Exp %" dataDxfId="49">
      <calculatedColumnFormula>IFERROR(IF(Tabelad[[#This Row],[D1 Exp USD]]&lt;&gt;0,N12/$AE$7,0),"-")</calculatedColumnFormula>
    </tableColumn>
    <tableColumn id="13" xr3:uid="{622A85AF-E726-48C1-A6C0-2A26A6E13A5C}" name="D1 P&amp;L bps" dataDxfId="48">
      <calculatedColumnFormula>IFERROR(IF(Tabelad[[#This Row],[D1 Exp USD]]&lt;&gt;0,((I12-K12)/L12*M12*H12)/$AD$7*10000,0),"-")</calculatedColumnFormula>
    </tableColumn>
    <tableColumn id="14" xr3:uid="{3AD2A39A-5631-414C-9559-F6C81117B46E}" name="Options Exp USD (delta adj)" dataDxfId="47" totalsRowDxfId="46">
      <calculatedColumnFormula>IF(SUM(SUMIFS(Options!$AL$4:$AL$28, Options!$D$4:$D$28, B12), SUMIFS(Options!$AL$4:$AL$28, Options!$D$4:$D$28, B12 &amp; " US"))=0,0,SUM(SUMIFS(Options!$AL$4:$AL$28, Options!$D$4:$D$28, B12), SUMIFS(Options!$AL$4:$AL$28, Options!$D$4:$D$28, B12 &amp; " US")))</calculatedColumnFormula>
    </tableColumn>
    <tableColumn id="15" xr3:uid="{F6743957-5F8D-4443-94E6-3E6136CB024F}" name="Option Exp %" dataDxfId="45" totalsRowDxfId="44" dataCellStyle="Percent">
      <calculatedColumnFormula>Q12/$AE$7</calculatedColumnFormula>
    </tableColumn>
    <tableColumn id="16" xr3:uid="{48C8F341-ED13-4859-B6ED-AB346A494BEF}" name="Options P&amp;L bps" dataDxfId="43" totalsRowDxfId="42">
      <calculatedColumnFormula>IF(SUM(SUMIFS(Options!$AK$4:$AK$28, Options!$D$4:$D$28, B12), SUMIFS(Options!$AK$4:$AK$28, Options!$D$4:$D$28, B12 &amp; " US"))=0,0,SUM(SUMIFS(Options!$AK$4:$AK$28, Options!$D$4:$D$28, B12), SUMIFS(Options!AK$4:$AK$28, Options!$D$4:$D$28, B12 &amp; " US")))</calculatedColumnFormula>
    </tableColumn>
    <tableColumn id="17" xr3:uid="{4E94A772-CD12-4BE4-A04C-0E1B9CF86096}" name="Exp" dataDxfId="41" totalsRowDxfId="40">
      <calculatedColumnFormula>N12+Q12</calculatedColumnFormula>
    </tableColumn>
    <tableColumn id="18" xr3:uid="{56683745-C1CE-4341-A873-C851B97E4432}" name="Exp %" dataDxfId="39" totalsRowDxfId="38">
      <calculatedColumnFormula>T12/$AE$7</calculatedColumnFormula>
    </tableColumn>
    <tableColumn id="19" xr3:uid="{AD790890-4299-4C9E-A460-9342E2B4BE92}" name="P&amp;L bps" dataDxfId="37" totalsRowDxfId="36">
      <calculatedColumnFormula>P12+S12</calculatedColumnFormula>
    </tableColumn>
    <tableColumn id="20" xr3:uid="{A3132FF2-B491-42D2-B6D5-98FB024D0411}" name="xx" dataDxfId="35" totalsRowDxfId="34">
      <calculatedColumnFormula>$W$10/(I12/L12*M12)</calculatedColumnFormula>
    </tableColumn>
    <tableColumn id="21" xr3:uid="{68119C5E-24ED-4841-8DFC-985A70CC957B}" name="Ticker2" dataDxfId="33" totalsRowDxfId="32"/>
    <tableColumn id="22" xr3:uid="{EAB0ADAA-AF64-4574-AD5E-BAD2211681D1}" name="xx2" dataDxfId="31" totalsRowDxfId="30">
      <calculatedColumnFormula>Tabelad[[#This Row],[Exp %]]*$Y$10*$AD$7/Tabelad[[#This Row],[Price Today]]</calculatedColumnFormula>
    </tableColumn>
    <tableColumn id="23" xr3:uid="{160D9866-3FEF-4C23-ADDC-0615A4FD8D8A}" name="Column1" dataDxfId="29">
      <calculatedColumnFormula>Tabelad[[#This Row],[Vol 10d]]/16*Tabelad[[#This Row],[Exp %]]*100</calculatedColumnFormula>
    </tableColumn>
    <tableColumn id="27" xr3:uid="{5FC9F15D-E683-4C75-83A6-A027ED24C573}" name="Expo Beta Adj" dataDxfId="28" totalsRowDxfId="27">
      <calculatedColumnFormula>Tabelad[[#This Row],[Exp %]]*Tabelad[[#This Row],[Beta]]</calculatedColumnFormula>
    </tableColumn>
    <tableColumn id="24" xr3:uid="{02F0D998-EE72-4509-80A1-181D260811AE}" name="Vol 10d" dataDxfId="26">
      <calculatedColumnFormula>_xll.BDP($B12&amp;" Equity","volatility_10d")</calculatedColumnFormula>
    </tableColumn>
    <tableColumn id="25" xr3:uid="{06753197-209B-42CE-8324-F5BF4E6BBC8C}" name="Beta" dataDxfId="25" totalsRowDxfId="24">
      <calculatedColumnFormula>_xll.BDP(B12&amp;" EQUITY","eqy_beta")</calculatedColumnFormula>
    </tableColumn>
    <tableColumn id="26" xr3:uid="{E0099784-2515-472D-A708-E950C7C1F961}" name="Daily P&amp;L" dataDxfId="23" totalsRowDxfId="22">
      <calculatedColumnFormula>Tabelad[[#This Row],[D1 P&amp;L bps]]*$AD$5/10000</calculatedColumnFormula>
    </tableColumn>
    <tableColumn id="28" xr3:uid="{E8C15306-AE60-46ED-BE32-1873B2B613BE}" name="VALUE" dataDxfId="21" totalsRowDxfId="20"/>
    <tableColumn id="30" xr3:uid="{3553EED7-0690-4464-BFF1-737C1D716FE2}" name="Report Date2" dataDxfId="19" totalsRowDxfId="18">
      <calculatedColumnFormula>_xll.BDP(B12&amp;" Equity","EXPECTED_REPORT_DT")</calculatedColumnFormula>
    </tableColumn>
    <tableColumn id="31" xr3:uid="{5102101F-2C4E-4C70-B272-6AB453BA1BFE}" name="Column3" dataDxfId="17" totalsRowDxfId="16">
      <calculatedColumnFormula>_xll.BDP(B12&amp;" Index","CHG_PCT_1D_PRE_FROM_REGULAR")/100</calculatedColumnFormula>
    </tableColumn>
    <tableColumn id="32" xr3:uid="{78144925-541C-4BB9-B1CE-5128912D0AEA}" name="Column4" dataDxfId="15">
      <calculatedColumnFormula>(T12*AG12)/$AD$7*10000</calculatedColumnFormula>
    </tableColumn>
    <tableColumn id="34" xr3:uid="{F48AA587-E15F-424C-9278-DC54512DF635}" name="Column5" dataDxfId="14">
      <calculatedColumnFormula>_xll.BDP(B12&amp;" Equity","DVD_EX_DT")</calculatedColumnFormula>
    </tableColumn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594F44-C7EB-4454-89DA-F08A9C91DB54}" name="Table2" displayName="Table2" ref="F3:G136" headerRowDxfId="9" dataDxfId="8" totalsRowBorderDxfId="7">
  <autoFilter ref="F3:G136" xr:uid="{50594F44-C7EB-4454-89DA-F08A9C91DB54}"/>
  <tableColumns count="2">
    <tableColumn id="1" xr3:uid="{C2C1762E-B58F-491C-8249-F5F204F351C6}" name="De (Lote)" totalsRowFunction="count" dataDxfId="6"/>
    <tableColumn id="2" xr3:uid="{2A11C67E-26BC-4BE0-826C-B31A77595F54}" name="Para (Ticker Daniel)" totalsRowFunction="count" dataDxfId="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8C65BD8-035C-46A7-B012-E0A9A6B3AD63}">
  <we:reference id="WA200009404" version="1.0.0.5" store="Omex" storeType="OMEX"/>
  <we:alternateReferences>
    <we:reference id="WA200009404" version="1.0.0.5" store="WA200009404" storeType="OMEX"/>
  </we:alternateReferences>
  <we:properties>
    <we:property name="Office.AutoShowTaskpaneWithDocument" value="true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93671-EE2A-4C09-89FB-D750136F995D}">
  <sheetPr codeName="Sheet3"/>
  <dimension ref="A2:U43"/>
  <sheetViews>
    <sheetView workbookViewId="0">
      <selection activeCell="H18" sqref="H18"/>
    </sheetView>
  </sheetViews>
  <sheetFormatPr defaultRowHeight="15"/>
  <cols>
    <col min="2" max="2" width="42.7109375" bestFit="1" customWidth="1"/>
    <col min="3" max="3" width="14.28515625" bestFit="1" customWidth="1"/>
    <col min="6" max="6" width="11.5703125" bestFit="1" customWidth="1"/>
    <col min="10" max="10" width="15.28515625" bestFit="1" customWidth="1"/>
    <col min="12" max="13" width="10.5703125" bestFit="1" customWidth="1"/>
    <col min="18" max="18" width="11.5703125" bestFit="1" customWidth="1"/>
  </cols>
  <sheetData>
    <row r="2" spans="2:12">
      <c r="B2" t="s">
        <v>679</v>
      </c>
    </row>
    <row r="3" spans="2:12">
      <c r="B3" t="s">
        <v>678</v>
      </c>
      <c r="F3">
        <f>0.01*1200000000</f>
        <v>12000000</v>
      </c>
    </row>
    <row r="4" spans="2:12">
      <c r="F4">
        <f>F3/13.92</f>
        <v>862068.96551724139</v>
      </c>
    </row>
    <row r="5" spans="2:12">
      <c r="C5" t="s">
        <v>667</v>
      </c>
      <c r="D5" t="s">
        <v>666</v>
      </c>
    </row>
    <row r="6" spans="2:12">
      <c r="B6" t="s">
        <v>660</v>
      </c>
      <c r="C6" s="323">
        <v>0.41</v>
      </c>
      <c r="D6" s="320">
        <f>C6^2</f>
        <v>0.16809999999999997</v>
      </c>
    </row>
    <row r="7" spans="2:12">
      <c r="B7" t="s">
        <v>658</v>
      </c>
      <c r="C7" s="323">
        <v>0.25</v>
      </c>
      <c r="D7" s="320">
        <f>C7^2</f>
        <v>6.25E-2</v>
      </c>
    </row>
    <row r="8" spans="2:12">
      <c r="B8" t="s">
        <v>656</v>
      </c>
      <c r="C8" s="318">
        <f>SQRT(D6+D7+2*C10)</f>
        <v>0.35791060336346558</v>
      </c>
    </row>
    <row r="9" spans="2:12">
      <c r="B9" t="s">
        <v>654</v>
      </c>
      <c r="C9" s="322">
        <v>-0.5</v>
      </c>
    </row>
    <row r="10" spans="2:12">
      <c r="B10" t="s">
        <v>652</v>
      </c>
      <c r="C10">
        <f>C9*C6*C7</f>
        <v>-5.1249999999999997E-2</v>
      </c>
    </row>
    <row r="12" spans="2:12">
      <c r="F12" s="329">
        <f>59/300</f>
        <v>0.19666666666666666</v>
      </c>
    </row>
    <row r="13" spans="2:12">
      <c r="C13" s="324"/>
    </row>
    <row r="14" spans="2:12">
      <c r="G14">
        <f>3500000/14.4</f>
        <v>243055.55555555556</v>
      </c>
      <c r="J14" s="328">
        <f>3%*9200000000</f>
        <v>276000000</v>
      </c>
    </row>
    <row r="15" spans="2:12">
      <c r="C15" t="s">
        <v>667</v>
      </c>
      <c r="D15" t="s">
        <v>666</v>
      </c>
      <c r="J15" s="327">
        <f>J14/5.19</f>
        <v>53179190.751445085</v>
      </c>
    </row>
    <row r="16" spans="2:12">
      <c r="B16" t="s">
        <v>677</v>
      </c>
      <c r="C16" s="323">
        <v>0.2</v>
      </c>
      <c r="D16" s="320">
        <f>C16^2</f>
        <v>4.0000000000000008E-2</v>
      </c>
      <c r="F16" s="324"/>
      <c r="J16" s="327">
        <f>J15/31.22</f>
        <v>1703369.3386113096</v>
      </c>
      <c r="K16" s="327">
        <f>J16/100</f>
        <v>17033.693386113096</v>
      </c>
      <c r="L16" s="327">
        <f>J16*1.65</f>
        <v>2810559.4087086609</v>
      </c>
    </row>
    <row r="17" spans="1:21">
      <c r="B17" t="s">
        <v>676</v>
      </c>
      <c r="C17" s="323">
        <v>0.11700000000000001</v>
      </c>
      <c r="D17" s="320">
        <f>C17^2</f>
        <v>1.3689000000000002E-2</v>
      </c>
      <c r="F17" s="192"/>
    </row>
    <row r="18" spans="1:21">
      <c r="B18" t="s">
        <v>656</v>
      </c>
      <c r="C18" s="318">
        <f>SQRT(D16+D17+2*C20)</f>
        <v>0.27932955446926844</v>
      </c>
      <c r="J18">
        <v>17000</v>
      </c>
      <c r="K18">
        <v>1.65</v>
      </c>
      <c r="L18" s="328">
        <f>J18*K18*100</f>
        <v>2805000</v>
      </c>
    </row>
    <row r="19" spans="1:21">
      <c r="B19" t="s">
        <v>654</v>
      </c>
      <c r="C19" s="322">
        <v>0.52</v>
      </c>
      <c r="J19">
        <f>J18*1.6</f>
        <v>27200</v>
      </c>
      <c r="K19">
        <v>0.59599999999999997</v>
      </c>
      <c r="L19" s="328">
        <f>J19*K19*100</f>
        <v>1621120</v>
      </c>
    </row>
    <row r="20" spans="1:21">
      <c r="B20" t="s">
        <v>652</v>
      </c>
      <c r="C20">
        <f>C19*C16*C17</f>
        <v>1.2168000000000002E-2</v>
      </c>
      <c r="L20" s="327">
        <f>L18-L19</f>
        <v>1183880</v>
      </c>
      <c r="M20" s="327">
        <f>L20*5.2</f>
        <v>6156176</v>
      </c>
      <c r="N20" s="326"/>
    </row>
    <row r="21" spans="1:21">
      <c r="C21" s="324"/>
    </row>
    <row r="23" spans="1:21">
      <c r="B23" t="s">
        <v>675</v>
      </c>
      <c r="U23">
        <f>0.89-0.24</f>
        <v>0.65</v>
      </c>
    </row>
    <row r="24" spans="1:21">
      <c r="C24" t="s">
        <v>667</v>
      </c>
      <c r="D24" t="s">
        <v>666</v>
      </c>
      <c r="U24">
        <f>U23/2</f>
        <v>0.32500000000000001</v>
      </c>
    </row>
    <row r="25" spans="1:21">
      <c r="A25" s="325">
        <v>0.82</v>
      </c>
      <c r="B25" t="s">
        <v>674</v>
      </c>
      <c r="C25" s="323">
        <v>0.3</v>
      </c>
      <c r="D25" s="320">
        <f>C25^2</f>
        <v>0.09</v>
      </c>
      <c r="I25" t="s">
        <v>673</v>
      </c>
      <c r="J25">
        <v>21</v>
      </c>
    </row>
    <row r="26" spans="1:21">
      <c r="A26">
        <f>1-A25</f>
        <v>0.18000000000000005</v>
      </c>
      <c r="B26" t="s">
        <v>672</v>
      </c>
      <c r="C26" s="323">
        <v>0.4</v>
      </c>
      <c r="D26" s="320">
        <f>C26^2</f>
        <v>0.16000000000000003</v>
      </c>
      <c r="I26" t="s">
        <v>671</v>
      </c>
      <c r="J26">
        <v>1</v>
      </c>
      <c r="R26" s="324"/>
    </row>
    <row r="27" spans="1:21">
      <c r="B27" t="s">
        <v>670</v>
      </c>
      <c r="C27" s="318">
        <f>SQRT(A25^2 * C25^2 + A26^2 * C26^2 + 2*A25*A26*C28*C25*C26)</f>
        <v>0.27627377725727065</v>
      </c>
      <c r="J27">
        <f>J25+J26</f>
        <v>22</v>
      </c>
      <c r="R27" s="17"/>
    </row>
    <row r="28" spans="1:21">
      <c r="B28" t="s">
        <v>669</v>
      </c>
      <c r="C28" s="322">
        <v>0.3</v>
      </c>
    </row>
    <row r="29" spans="1:21">
      <c r="B29" t="s">
        <v>668</v>
      </c>
      <c r="C29">
        <f>C28*C25*C26</f>
        <v>3.5999999999999997E-2</v>
      </c>
    </row>
    <row r="31" spans="1:21">
      <c r="C31" t="s">
        <v>667</v>
      </c>
      <c r="D31" t="s">
        <v>666</v>
      </c>
      <c r="F31" t="s">
        <v>665</v>
      </c>
      <c r="G31" t="s">
        <v>664</v>
      </c>
      <c r="H31" t="s">
        <v>663</v>
      </c>
      <c r="I31" t="s">
        <v>662</v>
      </c>
      <c r="J31" t="s">
        <v>661</v>
      </c>
    </row>
    <row r="32" spans="1:21">
      <c r="B32" t="s">
        <v>660</v>
      </c>
      <c r="C32" s="323">
        <v>0.25</v>
      </c>
      <c r="D32" s="320">
        <f>C32^2</f>
        <v>6.25E-2</v>
      </c>
      <c r="F32" s="321">
        <v>0.41370000000000001</v>
      </c>
      <c r="G32" s="321">
        <v>0.43680000000000002</v>
      </c>
      <c r="H32" s="321">
        <v>0.4698</v>
      </c>
      <c r="I32" s="321">
        <v>0.36620000000000003</v>
      </c>
      <c r="J32" s="321">
        <v>0.41830000000000001</v>
      </c>
      <c r="K32" t="s">
        <v>659</v>
      </c>
      <c r="Q32" s="42">
        <v>0.36620000000000003</v>
      </c>
    </row>
    <row r="33" spans="2:17">
      <c r="B33" t="s">
        <v>658</v>
      </c>
      <c r="C33" s="323">
        <v>0.122</v>
      </c>
      <c r="D33" s="320">
        <f>C33^2</f>
        <v>1.4884E-2</v>
      </c>
      <c r="E33">
        <f>200*1400</f>
        <v>280000</v>
      </c>
      <c r="F33" s="320">
        <f>F32*SQRT(22/252)</f>
        <v>0.12223528541300993</v>
      </c>
      <c r="G33" s="320">
        <f>G32*SQRT(22/252)</f>
        <v>0.1290606059183049</v>
      </c>
      <c r="H33" s="320">
        <f>H32*SQRT(22/252)</f>
        <v>0.138811063783012</v>
      </c>
      <c r="I33" s="320">
        <f>I32*SQRT(22/252)</f>
        <v>0.10820053545623456</v>
      </c>
      <c r="J33" s="320">
        <f>J32*SQRT(22/252)</f>
        <v>0.12359444014566606</v>
      </c>
      <c r="K33" t="s">
        <v>657</v>
      </c>
    </row>
    <row r="34" spans="2:17">
      <c r="B34" t="s">
        <v>656</v>
      </c>
      <c r="C34" s="318">
        <f>SQRT(D32+D33+2*C36)</f>
        <v>0.32780634527110669</v>
      </c>
      <c r="F34" s="320">
        <f>F33^2</f>
        <v>1.4941464999999998E-2</v>
      </c>
      <c r="G34" s="320">
        <f>G33^2</f>
        <v>1.6656639999999997E-2</v>
      </c>
      <c r="H34" s="320">
        <f>H33^2</f>
        <v>1.9268511428571427E-2</v>
      </c>
      <c r="I34" s="320">
        <f>I33^2</f>
        <v>1.1707355873015872E-2</v>
      </c>
      <c r="J34" s="320">
        <f>J33^2</f>
        <v>1.5275585634920631E-2</v>
      </c>
      <c r="K34" t="s">
        <v>655</v>
      </c>
    </row>
    <row r="35" spans="2:17">
      <c r="B35" t="s">
        <v>654</v>
      </c>
      <c r="C35" s="322">
        <v>0.49299999999999999</v>
      </c>
      <c r="F35" s="321">
        <v>0.32600000000000001</v>
      </c>
      <c r="G35" s="321">
        <v>0.30270000000000002</v>
      </c>
      <c r="H35" s="321">
        <v>0.35310000000000002</v>
      </c>
      <c r="I35" s="321">
        <v>0.27179999999999999</v>
      </c>
      <c r="J35" s="321">
        <v>0.36080000000000001</v>
      </c>
      <c r="K35" t="s">
        <v>653</v>
      </c>
      <c r="Q35" s="42">
        <v>0.27179999999999999</v>
      </c>
    </row>
    <row r="36" spans="2:17">
      <c r="B36" t="s">
        <v>652</v>
      </c>
      <c r="C36">
        <f>C35*C32*C33</f>
        <v>1.50365E-2</v>
      </c>
      <c r="F36" s="320">
        <f>F35*SQRT(1/252)</f>
        <v>2.0536069700168014E-2</v>
      </c>
      <c r="G36" s="320">
        <f>G35*SQRT(1/252)</f>
        <v>1.9068307663315517E-2</v>
      </c>
      <c r="H36" s="320">
        <f>H35*SQRT(1/252)</f>
        <v>2.2243209236593026E-2</v>
      </c>
      <c r="I36" s="320">
        <f>I35*SQRT(1/252)</f>
        <v>1.7121790627317994E-2</v>
      </c>
      <c r="J36" s="320">
        <f>J35*SQRT(1/252)</f>
        <v>2.2728263643621533E-2</v>
      </c>
      <c r="K36" t="s">
        <v>651</v>
      </c>
    </row>
    <row r="37" spans="2:17">
      <c r="F37" s="320">
        <f>F36*SQRT(21/1)</f>
        <v>9.4108093877908999E-2</v>
      </c>
      <c r="G37" s="320">
        <f>G36*SQRT(21/1)</f>
        <v>8.7381963241849867E-2</v>
      </c>
      <c r="H37" s="320">
        <f>H36*SQRT(21/1)</f>
        <v>0.10193119002542844</v>
      </c>
      <c r="I37" s="320">
        <f>I36*SQRT(21/1)</f>
        <v>7.8461901582870142E-2</v>
      </c>
      <c r="J37" s="320">
        <f>J36*SQRT(21/1)</f>
        <v>0.10415398856180849</v>
      </c>
      <c r="K37" t="s">
        <v>650</v>
      </c>
    </row>
    <row r="38" spans="2:17">
      <c r="F38" s="320">
        <f>F37^2</f>
        <v>8.8563333333333341E-3</v>
      </c>
      <c r="G38" s="320">
        <f>G37^2</f>
        <v>7.6356075000000015E-3</v>
      </c>
      <c r="H38" s="320">
        <f>H37^2</f>
        <v>1.0389967500000003E-2</v>
      </c>
      <c r="I38" s="320">
        <f>I37^2</f>
        <v>6.1562700000000001E-3</v>
      </c>
      <c r="J38" s="320">
        <f>J37^2</f>
        <v>1.0848053333333335E-2</v>
      </c>
      <c r="K38" t="s">
        <v>649</v>
      </c>
    </row>
    <row r="39" spans="2:17">
      <c r="F39" s="320">
        <f>F34-F38</f>
        <v>6.0851316666666634E-3</v>
      </c>
      <c r="G39" s="320">
        <f>G34-G38</f>
        <v>9.0210324999999945E-3</v>
      </c>
      <c r="H39" s="320">
        <f>H34-H38</f>
        <v>8.8785439285714238E-3</v>
      </c>
      <c r="I39" s="320">
        <f>I34-I38</f>
        <v>5.5510858730158721E-3</v>
      </c>
      <c r="J39" s="320">
        <f>J34-J38</f>
        <v>4.4275323015872965E-3</v>
      </c>
      <c r="K39" t="s">
        <v>648</v>
      </c>
    </row>
    <row r="40" spans="2:17">
      <c r="F40" s="319">
        <f>F39^0.5</f>
        <v>7.8007253936199186E-2</v>
      </c>
      <c r="G40" s="319">
        <f>G39^0.5</f>
        <v>9.4979116125598867E-2</v>
      </c>
      <c r="H40" s="319">
        <f>H39^0.5</f>
        <v>9.4226025749637898E-2</v>
      </c>
      <c r="I40" s="319">
        <f>I39^0.5</f>
        <v>7.4505609674814899E-2</v>
      </c>
      <c r="J40" s="319">
        <f>J39^0.5</f>
        <v>6.6539704700181057E-2</v>
      </c>
      <c r="K40" t="s">
        <v>647</v>
      </c>
    </row>
    <row r="41" spans="2:17">
      <c r="F41" s="318">
        <f>F40*SQRT(252)</f>
        <v>1.2383267662454847</v>
      </c>
      <c r="G41" s="318">
        <f>G40*SQRT(252)</f>
        <v>1.5077467260783552</v>
      </c>
      <c r="H41" s="318">
        <f>H40*SQRT(252)</f>
        <v>1.4957917869810622</v>
      </c>
      <c r="I41" s="318">
        <f>I40*SQRT(252)</f>
        <v>1.1827398868728491</v>
      </c>
      <c r="J41" s="318">
        <f>J40*SQRT(252)</f>
        <v>1.0562850656901284</v>
      </c>
      <c r="K41" t="s">
        <v>646</v>
      </c>
    </row>
    <row r="42" spans="2:17">
      <c r="F42" s="317">
        <f>F40/F36</f>
        <v>3.7985483627162102</v>
      </c>
      <c r="G42" s="317">
        <f>G40/G36</f>
        <v>4.9809934789506274</v>
      </c>
      <c r="H42" s="317">
        <f>H40/H36</f>
        <v>4.2361704530757907</v>
      </c>
      <c r="I42" s="317">
        <f>I40/I36</f>
        <v>4.3515080458898048</v>
      </c>
      <c r="J42" s="317">
        <f>J40/J36</f>
        <v>2.9276193616688699</v>
      </c>
      <c r="K42" s="58" t="s">
        <v>645</v>
      </c>
    </row>
    <row r="43" spans="2:17">
      <c r="J43" s="42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9DB92-69E0-4836-BCFD-FB8DEA5A601B}">
  <sheetPr codeName="Sheet16"/>
  <dimension ref="A1:AU12"/>
  <sheetViews>
    <sheetView zoomScaleNormal="100" workbookViewId="0">
      <pane xSplit="6" ySplit="7" topLeftCell="G8" activePane="bottomRight" state="frozen"/>
      <selection pane="topRight" activeCell="E1" sqref="E1"/>
      <selection pane="bottomLeft" activeCell="A8" sqref="A8"/>
      <selection pane="bottomRight" activeCell="A13" sqref="A13:XFD42"/>
    </sheetView>
  </sheetViews>
  <sheetFormatPr defaultRowHeight="15" outlineLevelRow="1" outlineLevelCol="1"/>
  <cols>
    <col min="1" max="1" width="11" customWidth="1" outlineLevel="1"/>
    <col min="2" max="6" width="7" style="21" customWidth="1"/>
    <col min="7" max="7" width="7.7109375" customWidth="1"/>
    <col min="8" max="12" width="7.28515625" customWidth="1"/>
    <col min="13" max="13" width="2.5703125" customWidth="1"/>
    <col min="14" max="14" width="9.42578125" customWidth="1"/>
    <col min="15" max="15" width="8.28515625" customWidth="1"/>
    <col min="16" max="17" width="9.42578125" customWidth="1"/>
    <col min="18" max="18" width="2.5703125" customWidth="1"/>
    <col min="19" max="20" width="7" customWidth="1"/>
    <col min="21" max="22" width="7.28515625" customWidth="1"/>
    <col min="23" max="23" width="2.5703125" customWidth="1"/>
    <col min="24" max="24" width="7.85546875" customWidth="1"/>
    <col min="25" max="25" width="7.28515625" hidden="1" customWidth="1" outlineLevel="1"/>
    <col min="26" max="26" width="7" style="126" hidden="1" customWidth="1" outlineLevel="1"/>
    <col min="27" max="27" width="7.28515625" hidden="1" customWidth="1" outlineLevel="1"/>
    <col min="28" max="28" width="7" style="126" hidden="1" customWidth="1" outlineLevel="1"/>
    <col min="29" max="29" width="9.140625" collapsed="1"/>
    <col min="30" max="30" width="7" customWidth="1"/>
    <col min="31" max="31" width="2.5703125" customWidth="1"/>
    <col min="32" max="33" width="8.28515625" customWidth="1"/>
    <col min="38" max="38" width="2.28515625" customWidth="1"/>
    <col min="39" max="40" width="7.5703125" customWidth="1"/>
    <col min="41" max="42" width="7.140625" customWidth="1"/>
    <col min="43" max="43" width="2.28515625" customWidth="1"/>
    <col min="44" max="47" width="7.140625" customWidth="1"/>
  </cols>
  <sheetData>
    <row r="1" spans="1:47">
      <c r="D1" s="7" t="s">
        <v>15</v>
      </c>
      <c r="E1" s="194" t="e">
        <f>D4-E4</f>
        <v>#REF!</v>
      </c>
      <c r="AP1" s="22"/>
    </row>
    <row r="2" spans="1:47" outlineLevel="1">
      <c r="D2" s="7" t="s">
        <v>14</v>
      </c>
      <c r="E2" s="194" t="e">
        <f>D4+E4</f>
        <v>#REF!</v>
      </c>
      <c r="Q2" s="141">
        <f ca="1">WORKDAY(Q3,-126)</f>
        <v>45890</v>
      </c>
      <c r="X2" s="141"/>
    </row>
    <row r="3" spans="1:47" s="7" customFormat="1" outlineLevel="1">
      <c r="A3"/>
      <c r="B3" s="21"/>
      <c r="C3" s="21"/>
      <c r="F3" s="21"/>
      <c r="G3"/>
      <c r="H3"/>
      <c r="I3"/>
      <c r="J3"/>
      <c r="K3"/>
      <c r="L3"/>
      <c r="M3"/>
      <c r="N3"/>
      <c r="O3"/>
      <c r="P3"/>
      <c r="Q3" s="141">
        <f ca="1">TODAY()</f>
        <v>46066</v>
      </c>
      <c r="R3"/>
      <c r="S3"/>
      <c r="T3"/>
      <c r="U3"/>
      <c r="V3"/>
      <c r="W3"/>
      <c r="X3" s="141"/>
      <c r="Y3"/>
      <c r="Z3" s="126"/>
      <c r="AA3"/>
      <c r="AB3" s="126"/>
      <c r="AC3"/>
      <c r="AD3"/>
      <c r="AE3"/>
      <c r="AF3"/>
      <c r="AG3"/>
      <c r="AM3" s="142">
        <f ca="1">WORKDAY($Q$3,-22)</f>
        <v>46036</v>
      </c>
      <c r="AN3" s="142">
        <f ca="1">WORKDAY($Q$3,-66)</f>
        <v>45974</v>
      </c>
      <c r="AO3" s="142"/>
      <c r="AR3" s="142"/>
      <c r="AS3" s="142"/>
      <c r="AT3" s="142"/>
    </row>
    <row r="4" spans="1:47" outlineLevel="1">
      <c r="C4" s="7" t="s">
        <v>18</v>
      </c>
      <c r="D4" s="194" t="e">
        <f>SUM(#REF!)</f>
        <v>#REF!</v>
      </c>
      <c r="E4" s="194" t="e">
        <f>SUM(#REF!)</f>
        <v>#REF!</v>
      </c>
      <c r="Q4" s="143" t="str">
        <f ca="1">YEAR($Q$2)&amp;TEXT(MONTH($Q$2),"00")&amp;TEXT(DAY($Q$2),"00")</f>
        <v>20250821</v>
      </c>
      <c r="X4" s="144"/>
    </row>
    <row r="5" spans="1:47" outlineLevel="1">
      <c r="C5" s="7" t="s">
        <v>39</v>
      </c>
      <c r="D5" s="194" t="e">
        <f>SUM(#REF!)</f>
        <v>#REF!</v>
      </c>
      <c r="Q5" s="143" t="str">
        <f ca="1">YEAR(TODAY())&amp;TEXT(MONTH(TODAY()),"00")&amp;TEXT(DAY(TODAY()),"00")</f>
        <v>20260213</v>
      </c>
      <c r="X5" s="144"/>
    </row>
    <row r="6" spans="1:47">
      <c r="AD6" s="145" t="s">
        <v>46</v>
      </c>
      <c r="AM6" t="s">
        <v>47</v>
      </c>
      <c r="AR6" t="s">
        <v>48</v>
      </c>
    </row>
    <row r="7" spans="1:47" s="147" customFormat="1" ht="45.75" thickBot="1">
      <c r="A7" s="11"/>
      <c r="B7" s="11"/>
      <c r="C7" s="11"/>
      <c r="D7" s="11" t="s">
        <v>49</v>
      </c>
      <c r="E7" s="11" t="s">
        <v>50</v>
      </c>
      <c r="F7" s="11"/>
      <c r="G7" s="11" t="s">
        <v>47</v>
      </c>
      <c r="H7" s="11" t="s">
        <v>51</v>
      </c>
      <c r="I7" s="11" t="s">
        <v>48</v>
      </c>
      <c r="J7" s="11" t="s">
        <v>51</v>
      </c>
      <c r="K7" s="11" t="s">
        <v>52</v>
      </c>
      <c r="L7" s="11" t="s">
        <v>51</v>
      </c>
      <c r="M7" s="11"/>
      <c r="N7" s="11" t="s">
        <v>53</v>
      </c>
      <c r="O7" s="11" t="s">
        <v>54</v>
      </c>
      <c r="P7" s="11" t="s">
        <v>55</v>
      </c>
      <c r="Q7" s="11" t="s">
        <v>56</v>
      </c>
      <c r="R7" s="11"/>
      <c r="S7" s="11" t="s">
        <v>57</v>
      </c>
      <c r="T7" s="11" t="s">
        <v>58</v>
      </c>
      <c r="U7" s="11" t="s">
        <v>59</v>
      </c>
      <c r="V7" s="11" t="s">
        <v>60</v>
      </c>
      <c r="W7" s="11"/>
      <c r="X7" s="11" t="s">
        <v>61</v>
      </c>
      <c r="Y7" s="11" t="s">
        <v>62</v>
      </c>
      <c r="Z7" s="146" t="s">
        <v>51</v>
      </c>
      <c r="AA7" s="11" t="s">
        <v>63</v>
      </c>
      <c r="AB7" s="146" t="s">
        <v>51</v>
      </c>
      <c r="AC7" s="11" t="s">
        <v>64</v>
      </c>
      <c r="AD7" s="11" t="s">
        <v>51</v>
      </c>
      <c r="AE7" s="11"/>
      <c r="AF7" s="11" t="s">
        <v>65</v>
      </c>
      <c r="AG7" s="11" t="s">
        <v>66</v>
      </c>
      <c r="AH7" s="11" t="s">
        <v>67</v>
      </c>
      <c r="AI7" s="11" t="s">
        <v>68</v>
      </c>
      <c r="AJ7" s="11" t="s">
        <v>69</v>
      </c>
      <c r="AK7" s="11" t="s">
        <v>70</v>
      </c>
      <c r="AM7" s="11" t="s">
        <v>71</v>
      </c>
      <c r="AN7" s="11" t="s">
        <v>72</v>
      </c>
      <c r="AO7" s="11" t="s">
        <v>73</v>
      </c>
      <c r="AP7" s="11" t="s">
        <v>74</v>
      </c>
      <c r="AR7" s="11" t="s">
        <v>71</v>
      </c>
      <c r="AS7" s="11" t="s">
        <v>72</v>
      </c>
      <c r="AT7" s="11" t="s">
        <v>73</v>
      </c>
      <c r="AU7" s="11" t="s">
        <v>75</v>
      </c>
    </row>
    <row r="8" spans="1:47">
      <c r="A8" t="str">
        <f>"."&amp;B8&amp;C8</f>
        <v>.CRMIGV</v>
      </c>
      <c r="B8" s="148" t="s">
        <v>81</v>
      </c>
      <c r="C8" s="148" t="s">
        <v>37</v>
      </c>
      <c r="D8" s="148"/>
      <c r="E8" s="148"/>
      <c r="F8" s="148"/>
      <c r="G8" s="149" cm="1">
        <f t="array" ref="G8">_xll.BDP(B8&amp;" Equity","LAST PRICE")</f>
        <v>189.72</v>
      </c>
      <c r="H8" s="150" cm="1">
        <f t="array" ref="H8">G8/_xll.BDP(B8&amp;" Equity", "PREV_CLOSE_VAL")-1</f>
        <v>2.3135414981394486E-2</v>
      </c>
      <c r="I8" s="149" cm="1">
        <f t="array" ref="I8">_xll.BDP(C8&amp;" Equity","LAST PRICE")</f>
        <v>82.77</v>
      </c>
      <c r="J8" s="150" cm="1">
        <f t="array" ref="J8">I8/_xll.BDP(C8&amp;" Equity", "PREV_CLOSE_VAL")-1</f>
        <v>2.2356719367588873E-2</v>
      </c>
      <c r="K8" s="151">
        <f>G8/I8</f>
        <v>2.2921348314606744</v>
      </c>
      <c r="L8" s="150" cm="1">
        <f t="array" ref="L8">K8/(_xll.BDP(B8&amp;" Equity", "PREV_CLOSE_VAL")/_xll.BDP(C8&amp;" Equity", "PREV_CLOSE_VAL"))-1</f>
        <v>7.616672332211305E-4</v>
      </c>
      <c r="M8" s="150"/>
      <c r="N8" s="152">
        <f>ABS(L8/O8)</f>
        <v>4.3011513559147806E-2</v>
      </c>
      <c r="O8" s="153">
        <f>P8/15.87/100</f>
        <v>1.7708449905482041E-2</v>
      </c>
      <c r="P8" s="154" cm="1">
        <f t="array" ref="P8">_xll.BDP($A8&amp;" Index","VOLATILITY_30D")</f>
        <v>28.10331</v>
      </c>
      <c r="Q8" s="154" cm="1">
        <f t="array" aca="1" ref="Q8" ca="1">(_xll.BDP(($B8&amp; " Equity"),"CORR_COEF", "BETA_OVERRIDE_REL_INDEX",($C8&amp; " Equity"),"BETA_OVERRIDE_END_DT",$Q$5,"BETA_OVERRIDE_START_DT",$Q$4))*100</f>
        <v>82.387881290729965</v>
      </c>
      <c r="R8" s="150"/>
      <c r="S8" s="150" cm="1">
        <f t="array" ref="S8">_xll.BDP($A8&amp;" Index","CHG_PCT_2D")/100</f>
        <v>3.12108E-2</v>
      </c>
      <c r="T8" s="150" cm="1">
        <f t="array" ref="T8">_xll.BDP($A8&amp;" Index","CHG_PCT_5D")/100</f>
        <v>-1.2233899999999999E-2</v>
      </c>
      <c r="U8" s="150" cm="1">
        <f t="array" ref="U8">K8/_xll.BDP($A8&amp;" Index","HIGH_52WEEK")-1</f>
        <v>-0.26870255573400637</v>
      </c>
      <c r="V8" s="150" cm="1">
        <f t="array" ref="V8">K8/_xll.BDP($A8&amp;" Index","LOW_52WEEK")-1</f>
        <v>0.11908078265657385</v>
      </c>
      <c r="W8" s="150"/>
      <c r="X8" s="154" cm="1">
        <f t="array" ref="X8">_xll.BDP($A8&amp;" Index","RSI_14D")</f>
        <v>44.631300000000003</v>
      </c>
      <c r="Y8" s="155"/>
      <c r="Z8" s="156">
        <f>Y8/K8-1</f>
        <v>-1</v>
      </c>
      <c r="AA8" s="155"/>
      <c r="AB8" s="156">
        <f>AA8/K8-1</f>
        <v>-1</v>
      </c>
      <c r="AC8" s="155"/>
      <c r="AD8" s="150" t="e">
        <f>K8/AC8-1</f>
        <v>#DIV/0!</v>
      </c>
      <c r="AE8" s="150"/>
      <c r="AF8" s="157">
        <f>IF(ISTEXT(B8),_xll.BDP(B8 &amp; " Equity","EXPECTED_REPORT_DT")*1,"")</f>
        <v>46078</v>
      </c>
      <c r="AG8" s="157" t="e">
        <f>IF(ISTEXT(C8),_xll.BDP(C8 &amp; " Equity","EXPECTED_REPORT_DT")*1,"")</f>
        <v>#VALUE!</v>
      </c>
      <c r="AH8" s="158" cm="1">
        <f t="array" ref="AH8">(_xll.BDP(B8&amp;" Equity","SHORT_INT")/_xll.BDP(B8&amp;" Equity","VOLUME_AVG_90D"))</f>
        <v>1.9050922762884293</v>
      </c>
      <c r="AI8" s="158" t="e" cm="1">
        <f t="array" ref="AI8">(_xll.BDP(C8&amp;" Equity","SHORT_INT")/_xll.BDP(C8&amp;" Equity","VOLUME_AVG_90D"))</f>
        <v>#VALUE!</v>
      </c>
      <c r="AJ8" s="158" cm="1">
        <f t="array" ref="AJ8">(_xll.BDP(B8&amp;" Equity","SHORT_INT"))/((_xll.BDP(B8&amp;" Equity","EQY_FREE_FLOAT_PCT"))*(_xll.BDP(B8&amp;" Equity","EQY_SH_OUT_TOT_MULT_SH")))/100</f>
        <v>1.9473777400903649</v>
      </c>
      <c r="AK8" s="158" t="e" cm="1">
        <f t="array" ref="AK8">(_xll.BDP(C8&amp;" Equity","SHORT_INT"))/((_xll.BDP(C8&amp;" Equity","EQY_FREE_FLOAT_PCT"))*(_xll.BDP(C8&amp;" Equity","EQY_SH_OUT_TOT_MULT_SH")))/100</f>
        <v>#VALUE!</v>
      </c>
      <c r="AM8" s="156">
        <f ca="1">IF(ISTEXT(B8),AP8/_xll.BDH(B8 &amp;  " Equity","BEST_EPS",$AM$3,$AM$3,"BEST_FPERIOD_OVERRIDE=1BF","CDR=US","Fill=p")-1,"")</f>
        <v>7.905138339920903E-3</v>
      </c>
      <c r="AN8" s="156">
        <f ca="1">IF(ISTEXT(B8),AP8/_xll.BDH(B8 &amp;  " Equity","BEST_EPS",$AN$3,$AN$3,"BEST_FPERIOD_OVERRIDE=1BF","CDR=US","Fill=p")-1,"")</f>
        <v>6.5916398713826485E-2</v>
      </c>
      <c r="AO8" s="158">
        <f ca="1">G8/AP8</f>
        <v>14.307692307692308</v>
      </c>
      <c r="AP8" s="158" cm="1">
        <f t="array" aca="1" ref="AP8" ca="1">IF(ISTEXT(B8),_xll.BDH(B8 &amp;  " Equity","BEST_EPS",$Q$3,$Q$3,"BEST_FPERIOD_OVERRIDE=1BF","CDR=US","Fill=p"),"")</f>
        <v>13.26</v>
      </c>
      <c r="AR8" s="156" t="e">
        <f ca="1">IF(ISTEXT(C8),AU8/_xll.BDH(C8 &amp;  " Equity","BEST_EPS",$AM$3,$AM$3,"BEST_FPERIOD_OVERRIDE=1BF","CDR=US","Fill=p")-1,"")</f>
        <v>#VALUE!</v>
      </c>
      <c r="AS8" s="156" t="e">
        <f ca="1">IF(ISTEXT(C8),AU8/_xll.BDH(C8 &amp;  " Equity","BEST_EPS",$AN$3,$AN$3,"BEST_FPERIOD_OVERRIDE=1BF","CDR=US","Fill=p")-1,"")</f>
        <v>#VALUE!</v>
      </c>
      <c r="AT8" s="158" t="e">
        <f ca="1">I8/AU8</f>
        <v>#VALUE!</v>
      </c>
      <c r="AU8" s="158" t="str" cm="1">
        <f t="array" aca="1" ref="AU8" ca="1">IF(ISTEXT(C8),_xll.BDH(C8 &amp;  " Equity","BEST_EPS",$Q$3,$Q$3,"BEST_FPERIOD_OVERRIDE=1BF","CDR=US","Fill=p"),"")</f>
        <v>#N/A N/A</v>
      </c>
    </row>
    <row r="9" spans="1:47">
      <c r="A9" t="str">
        <f>"."&amp;B9&amp;C9</f>
        <v>.METAQQQ</v>
      </c>
      <c r="B9" s="148" t="s">
        <v>29</v>
      </c>
      <c r="C9" s="148" t="s">
        <v>82</v>
      </c>
      <c r="D9" s="148"/>
      <c r="E9" s="148"/>
      <c r="F9" s="148"/>
      <c r="G9" s="149" cm="1">
        <f t="array" ref="G9">_xll.BDP(B9&amp;" Equity","LAST PRICE")</f>
        <v>639.77</v>
      </c>
      <c r="H9" s="150" cm="1">
        <f t="array" ref="H9">G9/_xll.BDP(B9&amp;" Equity", "PREV_CLOSE_VAL")-1</f>
        <v>-1.5450670195903404E-2</v>
      </c>
      <c r="I9" s="149" cm="1">
        <f t="array" ref="I9">_xll.BDP(C9&amp;" Equity","LAST PRICE")</f>
        <v>601.91999999999996</v>
      </c>
      <c r="J9" s="150" cm="1">
        <f t="array" ref="J9">I9/_xll.BDP(C9&amp;" Equity", "PREV_CLOSE_VAL")-1</f>
        <v>2.1310602024506853E-3</v>
      </c>
      <c r="K9" s="151">
        <f>G9/I9</f>
        <v>1.062882110579479</v>
      </c>
      <c r="L9" s="150" cm="1">
        <f t="array" ref="L9">K9/(_xll.BDP(B9&amp;" Equity", "PREV_CLOSE_VAL")/_xll.BDP(C9&amp;" Equity", "PREV_CLOSE_VAL"))-1</f>
        <v>-1.7544342348596809E-2</v>
      </c>
      <c r="M9" s="150"/>
      <c r="N9" s="152">
        <f>ABS(L9/O9)</f>
        <v>0.67504530282680342</v>
      </c>
      <c r="O9" s="153">
        <f>P9/15.87/100</f>
        <v>2.5989873976055452E-2</v>
      </c>
      <c r="P9" s="154" cm="1">
        <f t="array" ref="P9">_xll.BDP($A9&amp;" Index","VOLATILITY_30D")</f>
        <v>41.245930000000001</v>
      </c>
      <c r="Q9" s="154" cm="1">
        <f t="array" aca="1" ref="Q9" ca="1">(_xll.BDP(($B9&amp; " Equity"),"CORR_COEF", "BETA_OVERRIDE_REL_INDEX",($C9&amp; " Equity"),"BETA_OVERRIDE_END_DT",$Q$5,"BETA_OVERRIDE_START_DT",$Q$4))*100</f>
        <v>45.914874605475511</v>
      </c>
      <c r="R9" s="150"/>
      <c r="S9" s="150" cm="1">
        <f t="array" ref="S9">_xll.BDP($A9&amp;" Index","CHG_PCT_2D")/100</f>
        <v>-2.5464560000000001E-2</v>
      </c>
      <c r="T9" s="150" cm="1">
        <f t="array" ref="T9">_xll.BDP($A9&amp;" Index","CHG_PCT_5D")/100</f>
        <v>-2.0371750000000001E-2</v>
      </c>
      <c r="U9" s="150" cm="1">
        <f t="array" ref="U9">K9/_xll.BDP($A9&amp;" Index","HIGH_52WEEK")-1</f>
        <v>-0.2277249795978501</v>
      </c>
      <c r="V9" s="150" cm="1">
        <f t="array" ref="V9">K9/_xll.BDP($A9&amp;" Index","LOW_52WEEK")-1</f>
        <v>8.3943125508101346E-2</v>
      </c>
      <c r="W9" s="150"/>
      <c r="X9" s="154" cm="1">
        <f t="array" ref="X9">_xll.BDP($A9&amp;" Index","RSI_14D")</f>
        <v>50.481610000000003</v>
      </c>
      <c r="Y9" s="155"/>
      <c r="Z9" s="156">
        <f>Y9/K9-1</f>
        <v>-1</v>
      </c>
      <c r="AA9" s="155"/>
      <c r="AB9" s="156">
        <f>AA9/K9-1</f>
        <v>-1</v>
      </c>
      <c r="AC9" s="155"/>
      <c r="AD9" s="150" t="e">
        <f>K9/AC9-1</f>
        <v>#DIV/0!</v>
      </c>
      <c r="AE9" s="150"/>
      <c r="AF9" s="157">
        <f>IF(ISTEXT(B9),_xll.BDP(B9 &amp; " Equity","EXPECTED_REPORT_DT")*1,"")</f>
        <v>46142</v>
      </c>
      <c r="AG9" s="157" t="e">
        <f>IF(ISTEXT(C9),_xll.BDP(C9 &amp; " Equity","EXPECTED_REPORT_DT")*1,"")</f>
        <v>#VALUE!</v>
      </c>
      <c r="AH9" s="158" cm="1">
        <f t="array" ref="AH9">(_xll.BDP(B9&amp;" Equity","SHORT_INT")/_xll.BDP(B9&amp;" Equity","VOLUME_AVG_90D"))</f>
        <v>1.8088276944865183</v>
      </c>
      <c r="AI9" s="158" cm="1">
        <f t="array" ref="AI9">(_xll.BDP(C9&amp;" Equity","SHORT_INT")/_xll.BDP(C9&amp;" Equity","VOLUME_AVG_90D"))</f>
        <v>0.79474794213233302</v>
      </c>
      <c r="AJ9" s="158" cm="1">
        <f t="array" ref="AJ9">(_xll.BDP(B9&amp;" Equity","SHORT_INT"))/((_xll.BDP(B9&amp;" Equity","EQY_FREE_FLOAT_PCT"))*(_xll.BDP(B9&amp;" Equity","EQY_SH_OUT_TOT_MULT_SH")))/100</f>
        <v>1.284500080580834</v>
      </c>
      <c r="AK9" s="158" t="e" cm="1">
        <f t="array" ref="AK9">(_xll.BDP(C9&amp;" Equity","SHORT_INT"))/((_xll.BDP(C9&amp;" Equity","EQY_FREE_FLOAT_PCT"))*(_xll.BDP(C9&amp;" Equity","EQY_SH_OUT_TOT_MULT_SH")))/100</f>
        <v>#VALUE!</v>
      </c>
      <c r="AM9" s="156">
        <f ca="1">IF(ISTEXT(B9),AP9/_xll.BDH(B9 &amp;  " Equity","BEST_EPS",$AM$3,$AM$3,"BEST_FPERIOD_OVERRIDE=1BF","CDR=US","Fill=p")-1,"")</f>
        <v>-2.6436242004577282E-2</v>
      </c>
      <c r="AN9" s="156">
        <f ca="1">IF(ISTEXT(B9),AP9/_xll.BDH(B9 &amp;  " Equity","BEST_EPS",$AN$3,$AN$3,"BEST_FPERIOD_OVERRIDE=1BF","CDR=US","Fill=p")-1,"")</f>
        <v>4.0244492858869663E-3</v>
      </c>
      <c r="AO9" s="158">
        <f ca="1">G9/AP9</f>
        <v>19.281215153250354</v>
      </c>
      <c r="AP9" s="158" cm="1">
        <f t="array" aca="1" ref="AP9" ca="1">IF(ISTEXT(B9),_xll.BDH(B9 &amp;  " Equity","BEST_EPS",$Q$3,$Q$3,"BEST_FPERIOD_OVERRIDE=1BF","CDR=US","Fill=p"),"")</f>
        <v>33.180999999999997</v>
      </c>
      <c r="AR9" s="156" t="e">
        <f ca="1">IF(ISTEXT(C9),AU9/_xll.BDH(C9 &amp;  " Equity","BEST_EPS",$AM$3,$AM$3,"BEST_FPERIOD_OVERRIDE=1BF","CDR=US","Fill=p")-1,"")</f>
        <v>#VALUE!</v>
      </c>
      <c r="AS9" s="156" t="e">
        <f ca="1">IF(ISTEXT(C9),AU9/_xll.BDH(C9 &amp;  " Equity","BEST_EPS",$AN$3,$AN$3,"BEST_FPERIOD_OVERRIDE=1BF","CDR=US","Fill=p")-1,"")</f>
        <v>#VALUE!</v>
      </c>
      <c r="AT9" s="158" t="e">
        <f ca="1">I9/AU9</f>
        <v>#VALUE!</v>
      </c>
      <c r="AU9" s="158" t="str" cm="1">
        <f t="array" aca="1" ref="AU9" ca="1">IF(ISTEXT(C9),_xll.BDH(C9 &amp;  " Equity","BEST_EPS",$Q$3,$Q$3,"BEST_FPERIOD_OVERRIDE=1BF","CDR=US","Fill=p"),"")</f>
        <v>#N/A N/A</v>
      </c>
    </row>
    <row r="10" spans="1:47">
      <c r="A10" t="str">
        <f>"."&amp;B10&amp;C10</f>
        <v>.TSMSMH</v>
      </c>
      <c r="B10" s="148" t="s">
        <v>44</v>
      </c>
      <c r="C10" s="148" t="s">
        <v>83</v>
      </c>
      <c r="D10" s="148"/>
      <c r="E10" s="148"/>
      <c r="F10" s="148"/>
      <c r="G10" s="149" cm="1">
        <f t="array" ref="G10">_xll.BDP(B10&amp;" Equity","LAST PRICE")</f>
        <v>366.36</v>
      </c>
      <c r="H10" s="150" cm="1">
        <f t="array" ref="H10">G10/_xll.BDP(B10&amp;" Equity", "PREV_CLOSE_VAL")-1</f>
        <v>-4.7269763651182073E-3</v>
      </c>
      <c r="I10" s="149" cm="1">
        <f t="array" ref="I10">_xll.BDP(C10&amp;" Equity","LAST PRICE")</f>
        <v>407.72</v>
      </c>
      <c r="J10" s="150" cm="1">
        <f t="array" ref="J10">I10/_xll.BDP(C10&amp;" Equity", "PREV_CLOSE_VAL")-1</f>
        <v>3.9644431311713912E-3</v>
      </c>
      <c r="K10" s="151">
        <f>G10/I10</f>
        <v>0.89855783380751497</v>
      </c>
      <c r="L10" s="150" cm="1">
        <f t="array" ref="L10">K10/(_xll.BDP(B10&amp;" Equity", "PREV_CLOSE_VAL")/_xll.BDP(C10&amp;" Equity", "PREV_CLOSE_VAL"))-1</f>
        <v>-8.6570989199404869E-3</v>
      </c>
      <c r="M10" s="150"/>
      <c r="N10" s="152">
        <f>ABS(L10/O10)</f>
        <v>0.57770440623543751</v>
      </c>
      <c r="O10" s="153">
        <f>P10/15.87/100</f>
        <v>1.4985343415248898E-2</v>
      </c>
      <c r="P10" s="154" cm="1">
        <f t="array" ref="P10">_xll.BDP($A10&amp;" Index","VOLATILITY_30D")</f>
        <v>23.781739999999999</v>
      </c>
      <c r="Q10" s="154" cm="1">
        <f t="array" aca="1" ref="Q10" ca="1">(_xll.BDP(($B10&amp; " Equity"),"CORR_COEF", "BETA_OVERRIDE_REL_INDEX",($C10&amp; " Equity"),"BETA_OVERRIDE_END_DT",$Q$5,"BETA_OVERRIDE_START_DT",$Q$4))*100</f>
        <v>73.550184280468798</v>
      </c>
      <c r="R10" s="150"/>
      <c r="S10" s="150" cm="1">
        <f t="array" ref="S10">_xll.BDP($A10&amp;" Index","CHG_PCT_2D")/100</f>
        <v>-3.703072E-3</v>
      </c>
      <c r="T10" s="150" cm="1">
        <f t="array" ref="T10">_xll.BDP($A10&amp;" Index","CHG_PCT_5D")/100</f>
        <v>3.4561009999999996E-2</v>
      </c>
      <c r="U10" s="150" cm="1">
        <f t="array" ref="U10">K10/_xll.BDP($A10&amp;" Index","HIGH_52WEEK")-1</f>
        <v>-8.6519927101555982E-3</v>
      </c>
      <c r="V10" s="150" cm="1">
        <f t="array" ref="V10">K10/_xll.BDP($A10&amp;" Index","LOW_52WEEK")-1</f>
        <v>0.19333559165916103</v>
      </c>
      <c r="W10" s="150"/>
      <c r="X10" s="154" cm="1">
        <f t="array" ref="X10">_xll.BDP($A10&amp;" Index","RSI_14D")</f>
        <v>72.298869999999994</v>
      </c>
      <c r="Y10" s="155"/>
      <c r="Z10" s="156">
        <f>Y10/K10-1</f>
        <v>-1</v>
      </c>
      <c r="AA10" s="155"/>
      <c r="AB10" s="156">
        <f>AA10/K10-1</f>
        <v>-1</v>
      </c>
      <c r="AC10" s="155"/>
      <c r="AD10" s="150" t="e">
        <f>K10/AC10-1</f>
        <v>#DIV/0!</v>
      </c>
      <c r="AE10" s="150"/>
      <c r="AF10" s="157">
        <f>IF(ISTEXT(B10),_xll.BDP(B10 &amp; " Equity","EXPECTED_REPORT_DT")*1,"")</f>
        <v>46129</v>
      </c>
      <c r="AG10" s="157" t="e">
        <f>IF(ISTEXT(C10),_xll.BDP(C10 &amp; " Equity","EXPECTED_REPORT_DT")*1,"")</f>
        <v>#VALUE!</v>
      </c>
      <c r="AH10" s="158" cm="1">
        <f t="array" ref="AH10">(_xll.BDP(B10&amp;" Equity","SHORT_INT")/_xll.BDP(B10&amp;" Equity","VOLUME_AVG_90D"))</f>
        <v>1.4440527234955627</v>
      </c>
      <c r="AI10" s="158" cm="1">
        <f t="array" ref="AI10">(_xll.BDP(C10&amp;" Equity","SHORT_INT")/_xll.BDP(C10&amp;" Equity","VOLUME_AVG_90D"))</f>
        <v>1.0275344631391987</v>
      </c>
      <c r="AJ10" s="158" t="e" cm="1">
        <f t="array" ref="AJ10">(_xll.BDP(B10&amp;" Equity","SHORT_INT"))/((_xll.BDP(B10&amp;" Equity","EQY_FREE_FLOAT_PCT"))*(_xll.BDP(B10&amp;" Equity","EQY_SH_OUT_TOT_MULT_SH")))/100</f>
        <v>#VALUE!</v>
      </c>
      <c r="AK10" s="158" t="e" cm="1">
        <f t="array" ref="AK10">(_xll.BDP(C10&amp;" Equity","SHORT_INT"))/((_xll.BDP(C10&amp;" Equity","EQY_FREE_FLOAT_PCT"))*(_xll.BDP(C10&amp;" Equity","EQY_SH_OUT_TOT_MULT_SH")))/100</f>
        <v>#VALUE!</v>
      </c>
      <c r="AM10" s="156">
        <f ca="1">IF(ISTEXT(B10),AP10/_xll.BDH(B10 &amp;  " Equity","BEST_EPS",$AM$3,$AM$3,"BEST_FPERIOD_OVERRIDE=1BF","CDR=US","Fill=p")-1,"")</f>
        <v>5.8237113613241132E-2</v>
      </c>
      <c r="AN10" s="156">
        <f ca="1">IF(ISTEXT(B10),AP10/_xll.BDH(B10 &amp;  " Equity","BEST_EPS",$AN$3,$AN$3,"BEST_FPERIOD_OVERRIDE=1BF","CDR=US","Fill=p")-1,"")</f>
        <v>0.26847274513013586</v>
      </c>
      <c r="AO10" s="158">
        <f ca="1">G10/AP10</f>
        <v>0.78796247306138778</v>
      </c>
      <c r="AP10" s="158" cm="1">
        <f t="array" aca="1" ref="AP10" ca="1">IF(ISTEXT(B10),_xll.BDH(B10 &amp;  " Equity","BEST_EPS",$Q$3,$Q$3,"BEST_FPERIOD_OVERRIDE=1BF","CDR=US","Fill=p"),"")</f>
        <v>464.94600000000003</v>
      </c>
      <c r="AR10" s="156" t="e">
        <f ca="1">IF(ISTEXT(C10),AU10/_xll.BDH(C10 &amp;  " Equity","BEST_EPS",$AM$3,$AM$3,"BEST_FPERIOD_OVERRIDE=1BF","CDR=US","Fill=p")-1,"")</f>
        <v>#VALUE!</v>
      </c>
      <c r="AS10" s="156" t="e">
        <f ca="1">IF(ISTEXT(C10),AU10/_xll.BDH(C10 &amp;  " Equity","BEST_EPS",$AN$3,$AN$3,"BEST_FPERIOD_OVERRIDE=1BF","CDR=US","Fill=p")-1,"")</f>
        <v>#VALUE!</v>
      </c>
      <c r="AT10" s="158" t="e">
        <f ca="1">I10/AU10</f>
        <v>#VALUE!</v>
      </c>
      <c r="AU10" s="158" t="str" cm="1">
        <f t="array" aca="1" ref="AU10" ca="1">IF(ISTEXT(C10),_xll.BDH(C10 &amp;  " Equity","BEST_EPS",$Q$3,$Q$3,"BEST_FPERIOD_OVERRIDE=1BF","CDR=US","Fill=p"),"")</f>
        <v>#N/A N/A</v>
      </c>
    </row>
    <row r="11" spans="1:47">
      <c r="A11" t="str">
        <f>"."&amp;B11&amp;C11</f>
        <v>.NVDASMH</v>
      </c>
      <c r="B11" s="148" t="s">
        <v>42</v>
      </c>
      <c r="C11" s="148" t="s">
        <v>83</v>
      </c>
      <c r="D11" s="148"/>
      <c r="E11" s="148"/>
      <c r="F11" s="148"/>
      <c r="G11" s="149" cm="1">
        <f t="array" ref="G11">_xll.BDP(B11&amp;" Equity","LAST PRICE")</f>
        <v>182.81</v>
      </c>
      <c r="H11" s="150" cm="1">
        <f t="array" ref="H11">G11/_xll.BDP(B11&amp;" Equity", "PREV_CLOSE_VAL")-1</f>
        <v>-2.2092650048143758E-2</v>
      </c>
      <c r="I11" s="149" cm="1">
        <f t="array" ref="I11">_xll.BDP(C11&amp;" Equity","LAST PRICE")</f>
        <v>407.72</v>
      </c>
      <c r="J11" s="150" cm="1">
        <f t="array" ref="J11">I11/_xll.BDP(C11&amp;" Equity", "PREV_CLOSE_VAL")-1</f>
        <v>3.9644431311713912E-3</v>
      </c>
      <c r="K11" s="151">
        <f>G11/I11</f>
        <v>0.44837143137447266</v>
      </c>
      <c r="L11" s="150" cm="1">
        <f t="array" ref="L11">K11/(_xll.BDP(B11&amp;" Equity", "PREV_CLOSE_VAL")/_xll.BDP(C11&amp;" Equity", "PREV_CLOSE_VAL"))-1</f>
        <v>-2.595419923244302E-2</v>
      </c>
      <c r="M11" s="150"/>
      <c r="N11" s="152">
        <f>ABS(L11/O11)</f>
        <v>1.5815206726849311</v>
      </c>
      <c r="O11" s="153">
        <f>P11/15.87/100</f>
        <v>1.6410913673597986E-2</v>
      </c>
      <c r="P11" s="154" cm="1">
        <f t="array" ref="P11">_xll.BDP($A11&amp;" Index","VOLATILITY_30D")</f>
        <v>26.044119999999999</v>
      </c>
      <c r="Q11" s="154" cm="1">
        <f t="array" aca="1" ref="Q11" ca="1">(_xll.BDP(($B11&amp; " Equity"),"CORR_COEF", "BETA_OVERRIDE_REL_INDEX",($C11&amp; " Equity"),"BETA_OVERRIDE_END_DT",$Q$5,"BETA_OVERRIDE_START_DT",$Q$4))*100</f>
        <v>56.794371193525294</v>
      </c>
      <c r="R11" s="150"/>
      <c r="S11" s="150" cm="1">
        <f t="array" ref="S11">_xll.BDP($A11&amp;" Index","CHG_PCT_2D")/100</f>
        <v>-2.144219E-2</v>
      </c>
      <c r="T11" s="150" cm="1">
        <f t="array" ref="T11">_xll.BDP($A11&amp;" Index","CHG_PCT_5D")/100</f>
        <v>-2.870495E-2</v>
      </c>
      <c r="U11" s="150" cm="1">
        <f t="array" ref="U11">K11/_xll.BDP($A11&amp;" Index","HIGH_52WEEK")-1</f>
        <v>-0.28374026522073414</v>
      </c>
      <c r="V11" s="150" cm="1">
        <f t="array" ref="V11">K11/_xll.BDP($A11&amp;" Index","LOW_52WEEK")-1</f>
        <v>-5.9385181809717968E-3</v>
      </c>
      <c r="W11" s="150"/>
      <c r="X11" s="154" cm="1">
        <f t="array" ref="X11">_xll.BDP($A11&amp;" Index","RSI_14D")</f>
        <v>43.430050000000001</v>
      </c>
      <c r="Y11" s="155"/>
      <c r="Z11" s="156">
        <f>Y11/K11-1</f>
        <v>-1</v>
      </c>
      <c r="AA11" s="155"/>
      <c r="AB11" s="156">
        <f>AA11/K11-1</f>
        <v>-1</v>
      </c>
      <c r="AC11" s="155"/>
      <c r="AD11" s="150" t="e">
        <f>K11/AC11-1</f>
        <v>#DIV/0!</v>
      </c>
      <c r="AE11" s="150"/>
      <c r="AF11" s="157">
        <f>IF(ISTEXT(B11),_xll.BDP(B11 &amp; " Equity","EXPECTED_REPORT_DT")*1,"")</f>
        <v>46078</v>
      </c>
      <c r="AG11" s="157" t="e">
        <f>IF(ISTEXT(C11),_xll.BDP(C11 &amp; " Equity","EXPECTED_REPORT_DT")*1,"")</f>
        <v>#VALUE!</v>
      </c>
      <c r="AH11" s="158" cm="1">
        <f t="array" ref="AH11">(_xll.BDP(B11&amp;" Equity","SHORT_INT")/_xll.BDP(B11&amp;" Equity","VOLUME_AVG_90D"))</f>
        <v>1.4154750963040341</v>
      </c>
      <c r="AI11" s="158" cm="1">
        <f t="array" ref="AI11">(_xll.BDP(C11&amp;" Equity","SHORT_INT")/_xll.BDP(C11&amp;" Equity","VOLUME_AVG_90D"))</f>
        <v>1.0275344631391987</v>
      </c>
      <c r="AJ11" s="158" cm="1">
        <f t="array" ref="AJ11">(_xll.BDP(B11&amp;" Equity","SHORT_INT"))/((_xll.BDP(B11&amp;" Equity","EQY_FREE_FLOAT_PCT"))*(_xll.BDP(B11&amp;" Equity","EQY_SH_OUT_TOT_MULT_SH")))/100</f>
        <v>1.0999540060243327</v>
      </c>
      <c r="AK11" s="158" t="e" cm="1">
        <f t="array" ref="AK11">(_xll.BDP(C11&amp;" Equity","SHORT_INT"))/((_xll.BDP(C11&amp;" Equity","EQY_FREE_FLOAT_PCT"))*(_xll.BDP(C11&amp;" Equity","EQY_SH_OUT_TOT_MULT_SH")))/100</f>
        <v>#VALUE!</v>
      </c>
      <c r="AM11" s="156">
        <f ca="1">IF(ISTEXT(B11),AP11/_xll.BDH(B11 &amp;  " Equity","BEST_EPS",$AM$3,$AM$3,"BEST_FPERIOD_OVERRIDE=1BF","CDR=US","Fill=p")-1,"")</f>
        <v>3.2585751978891908E-2</v>
      </c>
      <c r="AN11" s="156">
        <f ca="1">IF(ISTEXT(B11),AP11/_xll.BDH(B11 &amp;  " Equity","BEST_EPS",$AN$3,$AN$3,"BEST_FPERIOD_OVERRIDE=1BF","CDR=US","Fill=p")-1,"")</f>
        <v>0.25211966085426329</v>
      </c>
      <c r="AO11" s="158">
        <f ca="1">G11/AP11</f>
        <v>23.356330650313019</v>
      </c>
      <c r="AP11" s="158" cm="1">
        <f t="array" aca="1" ref="AP11" ca="1">IF(ISTEXT(B11),_xll.BDH(B11 &amp;  " Equity","BEST_EPS",$Q$3,$Q$3,"BEST_FPERIOD_OVERRIDE=1BF","CDR=US","Fill=p"),"")</f>
        <v>7.827</v>
      </c>
      <c r="AR11" s="156" t="e">
        <f ca="1">IF(ISTEXT(C11),AU11/_xll.BDH(C11 &amp;  " Equity","BEST_EPS",$AM$3,$AM$3,"BEST_FPERIOD_OVERRIDE=1BF","CDR=US","Fill=p")-1,"")</f>
        <v>#VALUE!</v>
      </c>
      <c r="AS11" s="156" t="e">
        <f ca="1">IF(ISTEXT(C11),AU11/_xll.BDH(C11 &amp;  " Equity","BEST_EPS",$AN$3,$AN$3,"BEST_FPERIOD_OVERRIDE=1BF","CDR=US","Fill=p")-1,"")</f>
        <v>#VALUE!</v>
      </c>
      <c r="AT11" s="158" t="e">
        <f ca="1">I11/AU11</f>
        <v>#VALUE!</v>
      </c>
      <c r="AU11" s="158" t="str" cm="1">
        <f t="array" aca="1" ref="AU11" ca="1">IF(ISTEXT(C11),_xll.BDH(C11 &amp;  " Equity","BEST_EPS",$Q$3,$Q$3,"BEST_FPERIOD_OVERRIDE=1BF","CDR=US","Fill=p"),"")</f>
        <v>#N/A N/A</v>
      </c>
    </row>
    <row r="12" spans="1:47">
      <c r="A12" t="str">
        <f>"."&amp;B12&amp;C12</f>
        <v>.AVGOSMH</v>
      </c>
      <c r="B12" s="148" t="s">
        <v>84</v>
      </c>
      <c r="C12" s="148" t="s">
        <v>83</v>
      </c>
      <c r="D12" s="148"/>
      <c r="E12" s="148"/>
      <c r="F12" s="148"/>
      <c r="G12" s="149" cm="1">
        <f t="array" ref="G12">_xll.BDP(B12&amp;" Equity","LAST PRICE")</f>
        <v>325.17</v>
      </c>
      <c r="H12" s="150" cm="1">
        <f t="array" ref="H12">G12/_xll.BDP(B12&amp;" Equity", "PREV_CLOSE_VAL")-1</f>
        <v>-1.8117583114412583E-2</v>
      </c>
      <c r="I12" s="149" cm="1">
        <f t="array" ref="I12">_xll.BDP(C12&amp;" Equity","LAST PRICE")</f>
        <v>407.72</v>
      </c>
      <c r="J12" s="150" cm="1">
        <f t="array" ref="J12">I12/_xll.BDP(C12&amp;" Equity", "PREV_CLOSE_VAL")-1</f>
        <v>3.9644431311713912E-3</v>
      </c>
      <c r="K12" s="151">
        <f>G12/I12</f>
        <v>0.79753262042578243</v>
      </c>
      <c r="L12" s="150" cm="1">
        <f t="array" ref="L12">K12/(_xll.BDP(B12&amp;" Equity", "PREV_CLOSE_VAL")/_xll.BDP(C12&amp;" Equity", "PREV_CLOSE_VAL"))-1</f>
        <v>-2.1994828996846016E-2</v>
      </c>
      <c r="M12" s="150"/>
      <c r="N12" s="152">
        <f>ABS(L12/O12)</f>
        <v>1.1651926794647889</v>
      </c>
      <c r="O12" s="153">
        <f>P12/15.87/100</f>
        <v>1.8876559546313801E-2</v>
      </c>
      <c r="P12" s="154" cm="1">
        <f t="array" ref="P12">_xll.BDP($A12&amp;" Index","VOLATILITY_30D")</f>
        <v>29.957100000000001</v>
      </c>
      <c r="Q12" s="154" cm="1">
        <f t="array" aca="1" ref="Q12" ca="1">(_xll.BDP(($B12&amp; " Equity"),"CORR_COEF", "BETA_OVERRIDE_REL_INDEX",($C12&amp; " Equity"),"BETA_OVERRIDE_END_DT",$Q$5,"BETA_OVERRIDE_START_DT",$Q$4))*100</f>
        <v>57.278028099791058</v>
      </c>
      <c r="R12" s="150"/>
      <c r="S12" s="150" cm="1">
        <f t="array" ref="S12">_xll.BDP($A12&amp;" Index","CHG_PCT_2D")/100</f>
        <v>-3.4894720000000004E-2</v>
      </c>
      <c r="T12" s="150" cm="1">
        <f t="array" ref="T12">_xll.BDP($A12&amp;" Index","CHG_PCT_5D")/100</f>
        <v>-3.7823169999999996E-2</v>
      </c>
      <c r="U12" s="150" cm="1">
        <f t="array" ref="U12">K12/_xll.BDP($A12&amp;" Index","HIGH_52WEEK")-1</f>
        <v>-0.35080779778121085</v>
      </c>
      <c r="V12" s="150" cm="1">
        <f t="array" ref="V12">K12/_xll.BDP($A12&amp;" Index","LOW_52WEEK")-1</f>
        <v>1.2752695813003756E-2</v>
      </c>
      <c r="W12" s="150"/>
      <c r="X12" s="154" cm="1">
        <f t="array" ref="X12">_xll.BDP($A12&amp;" Index","RSI_14D")</f>
        <v>39.272640000000003</v>
      </c>
      <c r="Y12" s="155"/>
      <c r="Z12" s="156">
        <f>Y12/K12-1</f>
        <v>-1</v>
      </c>
      <c r="AA12" s="155"/>
      <c r="AB12" s="156">
        <f>AA12/K12-1</f>
        <v>-1</v>
      </c>
      <c r="AC12" s="155"/>
      <c r="AD12" s="150" t="e">
        <f>K12/AC12-1</f>
        <v>#DIV/0!</v>
      </c>
      <c r="AE12" s="150"/>
      <c r="AF12" s="157">
        <f>IF(ISTEXT(B12),_xll.BDP(B12 &amp; " Equity","EXPECTED_REPORT_DT")*1,"")</f>
        <v>46085</v>
      </c>
      <c r="AG12" s="157" t="e">
        <f>IF(ISTEXT(C12),_xll.BDP(C12 &amp; " Equity","EXPECTED_REPORT_DT")*1,"")</f>
        <v>#VALUE!</v>
      </c>
      <c r="AH12" s="158" cm="1">
        <f t="array" ref="AH12">(_xll.BDP(B12&amp;" Equity","SHORT_INT")/_xll.BDP(B12&amp;" Equity","VOLUME_AVG_90D"))</f>
        <v>1.9384738725796034</v>
      </c>
      <c r="AI12" s="158" cm="1">
        <f t="array" ref="AI12">(_xll.BDP(C12&amp;" Equity","SHORT_INT")/_xll.BDP(C12&amp;" Equity","VOLUME_AVG_90D"))</f>
        <v>1.0275344631391987</v>
      </c>
      <c r="AJ12" s="158" cm="1">
        <f t="array" ref="AJ12">(_xll.BDP(B12&amp;" Equity","SHORT_INT"))/((_xll.BDP(B12&amp;" Equity","EQY_FREE_FLOAT_PCT"))*(_xll.BDP(B12&amp;" Equity","EQY_SH_OUT_TOT_MULT_SH")))/100</f>
        <v>1.1651667331529536</v>
      </c>
      <c r="AK12" s="158" t="e" cm="1">
        <f t="array" ref="AK12">(_xll.BDP(C12&amp;" Equity","SHORT_INT"))/((_xll.BDP(C12&amp;" Equity","EQY_FREE_FLOAT_PCT"))*(_xll.BDP(C12&amp;" Equity","EQY_SH_OUT_TOT_MULT_SH")))/100</f>
        <v>#VALUE!</v>
      </c>
      <c r="AM12" s="156">
        <f ca="1">IF(ISTEXT(B12),AP12/_xll.BDH(B12 &amp;  " Equity","BEST_EPS",$AM$3,$AM$3,"BEST_FPERIOD_OVERRIDE=1BF","CDR=US","Fill=p")-1,"")</f>
        <v>2.8833673280177941E-2</v>
      </c>
      <c r="AN12" s="156">
        <f ca="1">IF(ISTEXT(B12),AP12/_xll.BDH(B12 &amp;  " Equity","BEST_EPS",$AN$3,$AN$3,"BEST_FPERIOD_OVERRIDE=1BF","CDR=US","Fill=p")-1,"")</f>
        <v>0.17440999047518257</v>
      </c>
      <c r="AO12" s="158">
        <f ca="1">G12/AP12</f>
        <v>29.302514193025143</v>
      </c>
      <c r="AP12" s="158" cm="1">
        <f t="array" aca="1" ref="AP12" ca="1">IF(ISTEXT(B12),_xll.BDH(B12 &amp;  " Equity","BEST_EPS",$Q$3,$Q$3,"BEST_FPERIOD_OVERRIDE=1BF","CDR=US","Fill=p"),"")</f>
        <v>11.097</v>
      </c>
      <c r="AR12" s="156" t="e">
        <f ca="1">IF(ISTEXT(C12),AU12/_xll.BDH(C12 &amp;  " Equity","BEST_EPS",$AM$3,$AM$3,"BEST_FPERIOD_OVERRIDE=1BF","CDR=US","Fill=p")-1,"")</f>
        <v>#VALUE!</v>
      </c>
      <c r="AS12" s="156" t="e">
        <f ca="1">IF(ISTEXT(C12),AU12/_xll.BDH(C12 &amp;  " Equity","BEST_EPS",$AN$3,$AN$3,"BEST_FPERIOD_OVERRIDE=1BF","CDR=US","Fill=p")-1,"")</f>
        <v>#VALUE!</v>
      </c>
      <c r="AT12" s="158" t="e">
        <f ca="1">I12/AU12</f>
        <v>#VALUE!</v>
      </c>
      <c r="AU12" s="158" t="str" cm="1">
        <f t="array" aca="1" ref="AU12" ca="1">IF(ISTEXT(C12),_xll.BDH(C12 &amp;  " Equity","BEST_EPS",$Q$3,$Q$3,"BEST_FPERIOD_OVERRIDE=1BF","CDR=US","Fill=p"),"")</f>
        <v>#N/A N/A</v>
      </c>
    </row>
  </sheetData>
  <conditionalFormatting sqref="X8:X12">
    <cfRule type="dataBar" priority="571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{C93AEBED-37C3-49E0-8FC3-065F63F77D89}</x14:id>
        </ext>
      </extLst>
    </cfRule>
  </conditionalFormatting>
  <conditionalFormatting sqref="S8:T12">
    <cfRule type="colorScale" priority="571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M12">
    <cfRule type="colorScale" priority="571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8:AG12">
    <cfRule type="colorScale" priority="571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:H12 J8:J12">
    <cfRule type="colorScale" priority="57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:H12">
    <cfRule type="colorScale" priority="571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14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8:J12">
    <cfRule type="colorScale" priority="571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714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8:L12">
    <cfRule type="colorScale" priority="571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L12">
    <cfRule type="colorScale" priority="57145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571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8:N12">
    <cfRule type="dataBar" priority="571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{A8B1A803-6DCE-46A4-800A-47F7A4CF7DBC}</x14:id>
        </ext>
      </extLst>
    </cfRule>
  </conditionalFormatting>
  <conditionalFormatting sqref="P8:P12">
    <cfRule type="dataBar" priority="571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{180C32C0-259B-455C-8E72-653AE62F4AA1}</x14:id>
        </ext>
      </extLst>
    </cfRule>
  </conditionalFormatting>
  <conditionalFormatting sqref="Q8:Q12">
    <cfRule type="dataBar" priority="571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{DFA79591-D63C-4318-B005-1517271EF9D8}</x14:id>
        </ext>
      </extLst>
    </cfRule>
    <cfRule type="dataBar" priority="5715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{AADD0B2B-0BE3-4F05-89EF-EE25745516A3}</x14:id>
        </ext>
      </extLst>
    </cfRule>
  </conditionalFormatting>
  <conditionalFormatting sqref="W8:W12 R8:R12">
    <cfRule type="colorScale" priority="571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8:X12">
    <cfRule type="dataBar" priority="571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{55039D42-E68A-4F02-9170-4B916B9FA042}</x14:id>
        </ext>
      </extLst>
    </cfRule>
  </conditionalFormatting>
  <conditionalFormatting sqref="Z8:Z12">
    <cfRule type="colorScale" priority="571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8:AB12 AD8:AD12">
    <cfRule type="colorScale" priority="571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8:AE12">
    <cfRule type="colorScale" priority="57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8:AI12">
    <cfRule type="dataBar" priority="571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{EF6E9D7C-49A0-44A1-A6BD-FE63F13D30D6}</x14:id>
        </ext>
      </extLst>
    </cfRule>
  </conditionalFormatting>
  <conditionalFormatting sqref="S8:S12">
    <cfRule type="colorScale" priority="57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8:T12">
    <cfRule type="colorScale" priority="57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93AEBED-37C3-49E0-8FC3-065F63F77D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X8:X12</xm:sqref>
        </x14:conditionalFormatting>
        <x14:conditionalFormatting xmlns:xm="http://schemas.microsoft.com/office/excel/2006/main">
          <x14:cfRule type="dataBar" id="{A8B1A803-6DCE-46A4-800A-47F7A4CF7D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N8:N12</xm:sqref>
        </x14:conditionalFormatting>
        <x14:conditionalFormatting xmlns:xm="http://schemas.microsoft.com/office/excel/2006/main">
          <x14:cfRule type="dataBar" id="{180C32C0-259B-455C-8E72-653AE62F4A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P8:P12</xm:sqref>
        </x14:conditionalFormatting>
        <x14:conditionalFormatting xmlns:xm="http://schemas.microsoft.com/office/excel/2006/main">
          <x14:cfRule type="dataBar" id="{DFA79591-D63C-4318-B005-1517271EF9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ADD0B2B-0BE3-4F05-89EF-EE25745516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Q8:Q12</xm:sqref>
        </x14:conditionalFormatting>
        <x14:conditionalFormatting xmlns:xm="http://schemas.microsoft.com/office/excel/2006/main">
          <x14:cfRule type="dataBar" id="{55039D42-E68A-4F02-9170-4B916B9FA0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X8:X12</xm:sqref>
        </x14:conditionalFormatting>
        <x14:conditionalFormatting xmlns:xm="http://schemas.microsoft.com/office/excel/2006/main">
          <x14:cfRule type="dataBar" id="{EF6E9D7C-49A0-44A1-A6BD-FE63F13D30D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AI8:AI12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F941B-2232-4251-8EFE-8EFFA8ADCC6C}">
  <sheetPr codeName="Sheet19"/>
  <dimension ref="C2:AP59"/>
  <sheetViews>
    <sheetView zoomScale="85" zoomScaleNormal="85" workbookViewId="0">
      <selection activeCell="AD7" sqref="AD7"/>
    </sheetView>
  </sheetViews>
  <sheetFormatPr defaultRowHeight="15"/>
  <cols>
    <col min="3" max="3" width="11.140625" bestFit="1" customWidth="1"/>
    <col min="4" max="5" width="9.140625" style="205"/>
    <col min="12" max="12" width="10.28515625" bestFit="1" customWidth="1"/>
    <col min="20" max="20" width="11" bestFit="1" customWidth="1"/>
    <col min="21" max="21" width="10.5703125" hidden="1" customWidth="1"/>
    <col min="22" max="24" width="9.140625" customWidth="1"/>
    <col min="25" max="25" width="2" customWidth="1"/>
    <col min="26" max="28" width="9.140625" customWidth="1"/>
    <col min="29" max="29" width="4.42578125" style="44" customWidth="1"/>
    <col min="30" max="30" width="9.140625" customWidth="1"/>
    <col min="31" max="31" width="10" bestFit="1" customWidth="1"/>
    <col min="32" max="32" width="5.28515625" customWidth="1"/>
    <col min="33" max="33" width="9.140625" customWidth="1"/>
  </cols>
  <sheetData>
    <row r="2" spans="3:37">
      <c r="X2" t="s">
        <v>331</v>
      </c>
      <c r="Z2" s="125">
        <v>0.02</v>
      </c>
      <c r="AA2" s="125">
        <v>1.2500000000000001E-2</v>
      </c>
      <c r="AB2" s="125">
        <f>Z2+AA2</f>
        <v>3.2500000000000001E-2</v>
      </c>
      <c r="AG2" t="s">
        <v>331</v>
      </c>
      <c r="AH2" t="s">
        <v>556</v>
      </c>
      <c r="AI2" t="s">
        <v>557</v>
      </c>
    </row>
    <row r="3" spans="3:37">
      <c r="T3" s="39"/>
      <c r="U3" s="39"/>
      <c r="V3" t="s">
        <v>553</v>
      </c>
      <c r="W3" t="s">
        <v>554</v>
      </c>
      <c r="X3" t="s">
        <v>113</v>
      </c>
      <c r="Z3" t="s">
        <v>553</v>
      </c>
      <c r="AA3" t="s">
        <v>554</v>
      </c>
      <c r="AB3" t="s">
        <v>113</v>
      </c>
      <c r="AD3" t="s">
        <v>555</v>
      </c>
      <c r="AE3" t="s">
        <v>570</v>
      </c>
    </row>
    <row r="4" spans="3:37">
      <c r="D4" t="s">
        <v>371</v>
      </c>
      <c r="F4" s="140" t="s">
        <v>94</v>
      </c>
      <c r="G4" s="140" t="s">
        <v>92</v>
      </c>
      <c r="K4" t="s">
        <v>91</v>
      </c>
      <c r="S4" s="35" t="s">
        <v>441</v>
      </c>
      <c r="T4" t="s">
        <v>38</v>
      </c>
      <c r="U4" t="s">
        <v>558</v>
      </c>
      <c r="V4" s="287">
        <v>0.27500000000000002</v>
      </c>
      <c r="W4" s="287">
        <v>0.5</v>
      </c>
      <c r="X4" s="287">
        <f t="shared" ref="X4:X13" si="0">AB4/$AB$14</f>
        <v>0.36153846153846153</v>
      </c>
      <c r="Z4" s="70">
        <f>V4*$Z$2</f>
        <v>5.5000000000000005E-3</v>
      </c>
      <c r="AA4" s="70">
        <f>W4*$AA$2</f>
        <v>6.2500000000000003E-3</v>
      </c>
      <c r="AB4" s="70">
        <f>Z4+AA4</f>
        <v>1.175E-2</v>
      </c>
      <c r="AC4" s="44" t="s">
        <v>441</v>
      </c>
      <c r="AD4" s="70">
        <v>1.34E-2</v>
      </c>
      <c r="AE4" s="205">
        <f>(AB4-AD4)*10000</f>
        <v>-16.500000000000004</v>
      </c>
      <c r="AG4" s="286">
        <f>X4</f>
        <v>0.36153846153846153</v>
      </c>
      <c r="AH4" s="285">
        <v>0.2</v>
      </c>
      <c r="AI4" s="285">
        <v>0.15</v>
      </c>
      <c r="AK4" s="20"/>
    </row>
    <row r="5" spans="3:37">
      <c r="C5" t="s">
        <v>78</v>
      </c>
      <c r="D5" s="205">
        <v>2.4</v>
      </c>
      <c r="F5" s="130" cm="1">
        <f t="array" ref="F5">_xll.BDP($C5&amp;" Equity","volatility_10d")/100</f>
        <v>0.81321573200016262</v>
      </c>
      <c r="G5" s="130" cm="1">
        <f t="array" ref="G5">_xll.BDP($C5&amp;" Equity","volatility_30d")/100</f>
        <v>0.68374342049386272</v>
      </c>
      <c r="J5" t="s">
        <v>411</v>
      </c>
      <c r="K5" s="205">
        <v>70</v>
      </c>
      <c r="L5" cm="1">
        <f t="array" ref="L5">_xll.BDP(J5&amp;" Equity","LAST PRICE")</f>
        <v>75.97</v>
      </c>
      <c r="M5" s="207">
        <f>L5/K5-1</f>
        <v>8.5285714285714187E-2</v>
      </c>
      <c r="S5" s="35" t="s">
        <v>441</v>
      </c>
      <c r="T5" t="s">
        <v>552</v>
      </c>
      <c r="U5" t="s">
        <v>558</v>
      </c>
      <c r="V5" s="287"/>
      <c r="W5" s="287">
        <v>0.1</v>
      </c>
      <c r="X5" s="287">
        <f t="shared" si="0"/>
        <v>3.8461538461538471E-2</v>
      </c>
      <c r="Z5" s="70">
        <f t="shared" ref="Z5:Z13" si="1">V5*$Z$2</f>
        <v>0</v>
      </c>
      <c r="AA5" s="70">
        <f t="shared" ref="AA5:AA13" si="2">W5*$AA$2</f>
        <v>1.2500000000000002E-3</v>
      </c>
      <c r="AB5" s="70">
        <f t="shared" ref="AB5:AB13" si="3">Z5+AA5</f>
        <v>1.2500000000000002E-3</v>
      </c>
      <c r="AC5" s="44" t="s">
        <v>441</v>
      </c>
      <c r="AD5" s="70">
        <v>1.1999999999999999E-3</v>
      </c>
      <c r="AE5" s="205">
        <f t="shared" ref="AE5:AE13" si="4">(AB5-AD5)*10000</f>
        <v>0.50000000000000344</v>
      </c>
      <c r="AG5" s="286">
        <f t="shared" ref="AG5:AG13" si="5">X5</f>
        <v>3.8461538461538471E-2</v>
      </c>
      <c r="AH5" s="285"/>
      <c r="AI5" s="285"/>
      <c r="AK5" s="20"/>
    </row>
    <row r="6" spans="3:37">
      <c r="C6" t="s">
        <v>78</v>
      </c>
      <c r="D6" s="205">
        <v>2.4</v>
      </c>
      <c r="F6" s="130" cm="1">
        <f t="array" ref="F6">_xll.BDP($C6&amp;" Equity","volatility_10d")/100</f>
        <v>0.81321573200016262</v>
      </c>
      <c r="G6" s="130" cm="1">
        <f t="array" ref="G6">_xll.BDP($C6&amp;" Equity","volatility_30d")/100</f>
        <v>0.68374342049386272</v>
      </c>
      <c r="J6" t="s">
        <v>411</v>
      </c>
      <c r="K6" s="205">
        <v>70</v>
      </c>
      <c r="L6" cm="1">
        <f t="array" ref="L6">_xll.BDP(J6&amp;" Equity","LAST PRICE")</f>
        <v>75.97</v>
      </c>
      <c r="M6" s="207">
        <f>L6/K6-1</f>
        <v>8.5285714285714187E-2</v>
      </c>
      <c r="S6" s="35" t="s">
        <v>441</v>
      </c>
      <c r="T6" t="s">
        <v>568</v>
      </c>
      <c r="U6" t="s">
        <v>565</v>
      </c>
      <c r="V6" s="287"/>
      <c r="W6" s="287"/>
      <c r="X6" s="287"/>
      <c r="Z6" s="70">
        <f>V6*$Z$2</f>
        <v>0</v>
      </c>
      <c r="AA6" s="70">
        <f>W6*$AA$2</f>
        <v>0</v>
      </c>
      <c r="AB6" s="70">
        <f>Z6+AA6</f>
        <v>0</v>
      </c>
      <c r="AD6" s="70"/>
      <c r="AE6" s="205"/>
      <c r="AG6" s="286">
        <f>X6</f>
        <v>0</v>
      </c>
      <c r="AH6" s="285"/>
      <c r="AI6" s="285"/>
      <c r="AK6" s="20"/>
    </row>
    <row r="7" spans="3:37">
      <c r="C7" t="s">
        <v>370</v>
      </c>
      <c r="D7" s="205">
        <v>1.2</v>
      </c>
      <c r="F7" s="130" cm="1">
        <f t="array" ref="F7">_xll.BDP($C7&amp;" Equity","volatility_10d")/100</f>
        <v>0.49193431905715618</v>
      </c>
      <c r="G7" s="130" cm="1">
        <f t="array" ref="G7">_xll.BDP($C7&amp;" Equity","volatility_30d")/100</f>
        <v>0.49738671498404458</v>
      </c>
      <c r="J7" t="s">
        <v>414</v>
      </c>
      <c r="K7" s="205">
        <v>28.5</v>
      </c>
      <c r="L7" cm="1">
        <f t="array" ref="L7">_xll.BDP(J7&amp;" Equity","LAST PRICE")</f>
        <v>16.98</v>
      </c>
      <c r="M7" s="207">
        <f t="shared" ref="M7:M13" si="6">L7/K7-1</f>
        <v>-0.40421052631578946</v>
      </c>
      <c r="S7" s="35" t="s">
        <v>441</v>
      </c>
      <c r="T7" t="s">
        <v>29</v>
      </c>
      <c r="U7" t="s">
        <v>544</v>
      </c>
      <c r="V7" s="287">
        <v>0.2</v>
      </c>
      <c r="W7" s="287"/>
      <c r="X7" s="287">
        <f t="shared" si="0"/>
        <v>0.12307692307692307</v>
      </c>
      <c r="Z7" s="70">
        <f t="shared" si="1"/>
        <v>4.0000000000000001E-3</v>
      </c>
      <c r="AA7" s="70">
        <f t="shared" si="2"/>
        <v>0</v>
      </c>
      <c r="AB7" s="70">
        <f t="shared" si="3"/>
        <v>4.0000000000000001E-3</v>
      </c>
      <c r="AD7" s="70">
        <v>3.0999999999999999E-3</v>
      </c>
      <c r="AE7" s="205">
        <f t="shared" si="4"/>
        <v>9.0000000000000018</v>
      </c>
      <c r="AG7" s="286">
        <f t="shared" si="5"/>
        <v>0.12307692307692307</v>
      </c>
      <c r="AH7" s="285">
        <v>0.3</v>
      </c>
      <c r="AI7" s="285">
        <v>0.25</v>
      </c>
      <c r="AK7" s="20"/>
    </row>
    <row r="8" spans="3:37">
      <c r="C8" t="s">
        <v>79</v>
      </c>
      <c r="D8" s="205">
        <v>2</v>
      </c>
      <c r="F8" s="130" cm="1">
        <f t="array" ref="F8">_xll.BDP($C8&amp;" Equity","volatility_10d")/100</f>
        <v>0.78194972478081137</v>
      </c>
      <c r="G8" s="130" cm="1">
        <f t="array" ref="G8">_xll.BDP($C8&amp;" Equity","volatility_30d")/100</f>
        <v>0.64484113629235229</v>
      </c>
      <c r="J8" t="s">
        <v>317</v>
      </c>
      <c r="K8" s="205">
        <v>318.75</v>
      </c>
      <c r="L8" cm="1">
        <f t="array" ref="L8">_xll.BDP(J8&amp;" Equity","LAST PRICE")</f>
        <v>224.23</v>
      </c>
      <c r="M8" s="207">
        <f t="shared" si="6"/>
        <v>-0.29653333333333332</v>
      </c>
      <c r="S8" s="35" t="s">
        <v>441</v>
      </c>
      <c r="T8" t="s">
        <v>31</v>
      </c>
      <c r="U8" t="s">
        <v>544</v>
      </c>
      <c r="V8" s="287">
        <v>0.05</v>
      </c>
      <c r="W8" s="287">
        <v>0.05</v>
      </c>
      <c r="X8" s="287">
        <f t="shared" si="0"/>
        <v>0.05</v>
      </c>
      <c r="Z8" s="70">
        <f t="shared" si="1"/>
        <v>1E-3</v>
      </c>
      <c r="AA8" s="70">
        <f t="shared" si="2"/>
        <v>6.2500000000000012E-4</v>
      </c>
      <c r="AB8" s="70">
        <f t="shared" si="3"/>
        <v>1.6250000000000001E-3</v>
      </c>
      <c r="AD8" s="70">
        <v>1.2999999999999999E-3</v>
      </c>
      <c r="AE8" s="205">
        <f t="shared" si="4"/>
        <v>3.2500000000000022</v>
      </c>
      <c r="AG8" s="286">
        <f t="shared" si="5"/>
        <v>0.05</v>
      </c>
      <c r="AH8" s="285">
        <v>0.05</v>
      </c>
      <c r="AI8" s="285">
        <v>0.05</v>
      </c>
      <c r="AK8" s="20"/>
    </row>
    <row r="9" spans="3:37">
      <c r="C9" t="s">
        <v>37</v>
      </c>
      <c r="D9" s="205">
        <v>1.2</v>
      </c>
      <c r="E9" s="205">
        <v>1.35</v>
      </c>
      <c r="F9" s="130" cm="1">
        <f t="array" ref="F9">_xll.BDP($C9&amp;" Equity","volatility_10d")/100</f>
        <v>0.52787020254075423</v>
      </c>
      <c r="G9" s="130" cm="1">
        <f t="array" ref="G9">_xll.BDP($C9&amp;" Equity","volatility_30d")/100</f>
        <v>0.36044482260433353</v>
      </c>
      <c r="J9" t="s">
        <v>81</v>
      </c>
      <c r="K9" s="205">
        <v>265.95999999999998</v>
      </c>
      <c r="L9" cm="1">
        <f t="array" ref="L9">_xll.BDP(J9&amp;" Equity","LAST PRICE")</f>
        <v>189.72</v>
      </c>
      <c r="M9" s="207">
        <f t="shared" si="6"/>
        <v>-0.28665964806737854</v>
      </c>
      <c r="S9" s="35" t="s">
        <v>441</v>
      </c>
      <c r="T9" t="s">
        <v>316</v>
      </c>
      <c r="U9" t="s">
        <v>544</v>
      </c>
      <c r="V9" s="287">
        <v>0.1</v>
      </c>
      <c r="W9" s="287">
        <v>0.05</v>
      </c>
      <c r="X9" s="287">
        <f t="shared" si="0"/>
        <v>8.0769230769230774E-2</v>
      </c>
      <c r="Z9" s="70">
        <f t="shared" si="1"/>
        <v>2E-3</v>
      </c>
      <c r="AA9" s="70">
        <f t="shared" si="2"/>
        <v>6.2500000000000012E-4</v>
      </c>
      <c r="AB9" s="70">
        <f t="shared" si="3"/>
        <v>2.6250000000000002E-3</v>
      </c>
      <c r="AD9" s="70">
        <v>2.5999999999999999E-3</v>
      </c>
      <c r="AE9" s="205">
        <f t="shared" si="4"/>
        <v>0.25000000000000283</v>
      </c>
      <c r="AG9" s="286">
        <f t="shared" si="5"/>
        <v>8.0769230769230774E-2</v>
      </c>
      <c r="AH9" s="285">
        <v>0.15</v>
      </c>
      <c r="AI9" s="285">
        <v>0.15</v>
      </c>
      <c r="AJ9" t="s">
        <v>441</v>
      </c>
      <c r="AK9" s="20"/>
    </row>
    <row r="10" spans="3:37">
      <c r="C10" t="s">
        <v>274</v>
      </c>
      <c r="D10" s="205">
        <v>1.2</v>
      </c>
      <c r="E10" s="205">
        <v>1.35</v>
      </c>
      <c r="F10" s="130" cm="1">
        <f t="array" ref="F10">_xll.BDP($C10&amp;" Equity","volatility_10d")/100</f>
        <v>0.60800659999999995</v>
      </c>
      <c r="G10" s="130" cm="1">
        <f t="array" ref="G10">_xll.BDP($C10&amp;" Equity","volatility_30d")/100</f>
        <v>0.42651020000000001</v>
      </c>
      <c r="J10" t="s">
        <v>424</v>
      </c>
      <c r="K10" s="205">
        <v>251.52</v>
      </c>
      <c r="L10" cm="1">
        <f t="array" ref="L10">_xll.BDP(J10&amp;" Equity","LAST PRICE")</f>
        <v>144.41999999999999</v>
      </c>
      <c r="M10" s="207">
        <f t="shared" si="6"/>
        <v>-0.42581106870229013</v>
      </c>
      <c r="S10" s="35" t="s">
        <v>441</v>
      </c>
      <c r="T10" t="s">
        <v>569</v>
      </c>
      <c r="U10" t="s">
        <v>559</v>
      </c>
      <c r="V10" s="287"/>
      <c r="W10" s="287">
        <v>7.4999999999999997E-2</v>
      </c>
      <c r="X10" s="287">
        <f t="shared" si="0"/>
        <v>2.8846153846153844E-2</v>
      </c>
      <c r="Z10" s="70">
        <f t="shared" si="1"/>
        <v>0</v>
      </c>
      <c r="AA10" s="70">
        <f t="shared" si="2"/>
        <v>9.3749999999999997E-4</v>
      </c>
      <c r="AB10" s="70">
        <f t="shared" si="3"/>
        <v>9.3749999999999997E-4</v>
      </c>
      <c r="AD10" s="70">
        <v>1E-3</v>
      </c>
      <c r="AE10" s="205">
        <f t="shared" si="4"/>
        <v>-0.62500000000000056</v>
      </c>
      <c r="AG10" s="286">
        <f t="shared" si="5"/>
        <v>2.8846153846153844E-2</v>
      </c>
      <c r="AH10" s="285"/>
      <c r="AI10" s="285"/>
      <c r="AK10" s="20"/>
    </row>
    <row r="11" spans="3:37">
      <c r="C11" t="s">
        <v>318</v>
      </c>
      <c r="D11" s="205">
        <v>1.5</v>
      </c>
      <c r="E11" s="205">
        <v>0.94</v>
      </c>
      <c r="F11" s="130" cm="1">
        <f t="array" ref="F11">_xll.BDP($C11&amp;" Equity","volatility_10d")/100</f>
        <v>0.27340509090769988</v>
      </c>
      <c r="G11" s="130" cm="1">
        <f t="array" ref="G11">_xll.BDP($C11&amp;" Equity","volatility_30d")/100</f>
        <v>0.21745794452784006</v>
      </c>
      <c r="J11" t="s">
        <v>277</v>
      </c>
      <c r="K11" s="205">
        <v>117.4</v>
      </c>
      <c r="L11" cm="1">
        <f t="array" ref="L11">_xll.BDP(J11&amp;" Equity","LAST PRICE")</f>
        <v>139.65</v>
      </c>
      <c r="M11" s="207">
        <f t="shared" si="6"/>
        <v>0.18952299829642238</v>
      </c>
      <c r="S11" s="35" t="s">
        <v>441</v>
      </c>
      <c r="T11" t="s">
        <v>42</v>
      </c>
      <c r="U11" t="s">
        <v>545</v>
      </c>
      <c r="V11" s="287">
        <v>0.05</v>
      </c>
      <c r="W11" s="287">
        <v>0.1</v>
      </c>
      <c r="X11" s="287">
        <f t="shared" si="0"/>
        <v>6.9230769230769235E-2</v>
      </c>
      <c r="Z11" s="70">
        <f t="shared" si="1"/>
        <v>1E-3</v>
      </c>
      <c r="AA11" s="70">
        <f t="shared" si="2"/>
        <v>1.2500000000000002E-3</v>
      </c>
      <c r="AB11" s="70">
        <f t="shared" si="3"/>
        <v>2.2500000000000003E-3</v>
      </c>
      <c r="AD11" s="70">
        <v>2.2000000000000001E-3</v>
      </c>
      <c r="AE11" s="205">
        <f t="shared" si="4"/>
        <v>0.50000000000000133</v>
      </c>
      <c r="AG11" s="286">
        <f t="shared" si="5"/>
        <v>6.9230769230769235E-2</v>
      </c>
      <c r="AH11" s="285">
        <v>0.05</v>
      </c>
      <c r="AI11" s="285">
        <v>0.05</v>
      </c>
      <c r="AK11" s="20"/>
    </row>
    <row r="12" spans="3:37">
      <c r="C12" t="s">
        <v>362</v>
      </c>
      <c r="D12" s="205">
        <v>1.5</v>
      </c>
      <c r="E12" s="205">
        <v>1.07</v>
      </c>
      <c r="F12" s="130" cm="1">
        <f t="array" ref="F12">_xll.BDP($C12&amp;" Equity","volatility_10d")/100</f>
        <v>0.24973767604322938</v>
      </c>
      <c r="G12" s="130" cm="1">
        <f t="array" ref="G12">_xll.BDP($C12&amp;" Equity","volatility_30d")/100</f>
        <v>0.29651018246469046</v>
      </c>
      <c r="J12" t="s">
        <v>413</v>
      </c>
      <c r="K12" s="205">
        <v>5420</v>
      </c>
      <c r="L12" cm="1">
        <f t="array" ref="L12">_xll.BDP(J12&amp;" Index","LAST PRICE")</f>
        <v>5369</v>
      </c>
      <c r="M12" s="207">
        <f t="shared" si="6"/>
        <v>-9.4095940959409985E-3</v>
      </c>
      <c r="S12" s="35" t="s">
        <v>441</v>
      </c>
      <c r="T12" t="s">
        <v>84</v>
      </c>
      <c r="U12" t="s">
        <v>559</v>
      </c>
      <c r="V12" s="287">
        <v>0.05</v>
      </c>
      <c r="W12" s="287">
        <v>0.125</v>
      </c>
      <c r="X12" s="287">
        <f t="shared" si="0"/>
        <v>7.8846153846153844E-2</v>
      </c>
      <c r="Z12" s="70">
        <f t="shared" si="1"/>
        <v>1E-3</v>
      </c>
      <c r="AA12" s="70">
        <f t="shared" si="2"/>
        <v>1.5625000000000001E-3</v>
      </c>
      <c r="AB12" s="70">
        <f t="shared" si="3"/>
        <v>2.5625000000000001E-3</v>
      </c>
      <c r="AD12" s="70">
        <v>2.5000000000000001E-3</v>
      </c>
      <c r="AE12" s="205">
        <f t="shared" si="4"/>
        <v>0.62500000000000056</v>
      </c>
      <c r="AG12" s="286">
        <f t="shared" si="5"/>
        <v>7.8846153846153844E-2</v>
      </c>
      <c r="AH12" s="285">
        <v>0.1</v>
      </c>
      <c r="AI12" s="285">
        <v>0.1</v>
      </c>
      <c r="AK12" s="20"/>
    </row>
    <row r="13" spans="3:37">
      <c r="C13" t="s">
        <v>366</v>
      </c>
      <c r="D13" s="205">
        <v>1.5</v>
      </c>
      <c r="E13" s="205">
        <v>0.97</v>
      </c>
      <c r="F13" s="130" cm="1">
        <f t="array" ref="F13">_xll.BDP($C13&amp;" Equity","volatility_10d")/100</f>
        <v>0.2688569932366911</v>
      </c>
      <c r="G13" s="130" cm="1">
        <f t="array" ref="G13">_xll.BDP($C13&amp;" Equity","volatility_30d")/100</f>
        <v>0.32367487931010347</v>
      </c>
      <c r="J13" t="s">
        <v>415</v>
      </c>
      <c r="K13" s="205">
        <v>386.5</v>
      </c>
      <c r="L13" t="str" cm="1">
        <f t="array" ref="L13">_xll.BDP(J13&amp;" Index","LAST PRICE")</f>
        <v>#N/A Real Time</v>
      </c>
      <c r="M13" s="207" t="e">
        <f t="shared" si="6"/>
        <v>#VALUE!</v>
      </c>
      <c r="S13" s="35" t="s">
        <v>441</v>
      </c>
      <c r="T13" t="s">
        <v>44</v>
      </c>
      <c r="U13" t="s">
        <v>545</v>
      </c>
      <c r="V13" s="287">
        <v>0.27500000000000002</v>
      </c>
      <c r="W13" s="287"/>
      <c r="X13" s="287">
        <f t="shared" si="0"/>
        <v>0.16923076923076924</v>
      </c>
      <c r="Z13" s="70">
        <f t="shared" si="1"/>
        <v>5.5000000000000005E-3</v>
      </c>
      <c r="AA13" s="70">
        <f t="shared" si="2"/>
        <v>0</v>
      </c>
      <c r="AB13" s="70">
        <f t="shared" si="3"/>
        <v>5.5000000000000005E-3</v>
      </c>
      <c r="AC13" s="44" t="s">
        <v>441</v>
      </c>
      <c r="AD13" s="70">
        <v>5.3E-3</v>
      </c>
      <c r="AE13" s="205">
        <f t="shared" si="4"/>
        <v>2.0000000000000053</v>
      </c>
      <c r="AG13" s="286">
        <f t="shared" si="5"/>
        <v>0.16923076923076924</v>
      </c>
      <c r="AH13" s="285">
        <v>0.15</v>
      </c>
      <c r="AI13" s="285">
        <v>0.25</v>
      </c>
      <c r="AK13" s="20"/>
    </row>
    <row r="14" spans="3:37">
      <c r="C14" t="s">
        <v>36</v>
      </c>
      <c r="D14" s="205">
        <v>1</v>
      </c>
      <c r="E14" s="205">
        <v>0.9</v>
      </c>
      <c r="F14" s="130" cm="1">
        <f t="array" ref="F14">_xll.BDP($C14&amp;" Equity","volatility_10d")/100</f>
        <v>0.19175754375026963</v>
      </c>
      <c r="G14" s="130" cm="1">
        <f t="array" ref="G14">_xll.BDP($C14&amp;" Equity","volatility_30d")/100</f>
        <v>0.1811478292788738</v>
      </c>
      <c r="S14" s="35"/>
      <c r="V14" s="20">
        <f>SUM(V4:V13)</f>
        <v>1</v>
      </c>
      <c r="W14" s="20">
        <f>SUM(W4:W13)</f>
        <v>1</v>
      </c>
      <c r="X14" s="65">
        <f>SUM(X4:X13)</f>
        <v>1.0000000000000002</v>
      </c>
      <c r="Z14" s="20">
        <f>SUM(Z4:Z13)</f>
        <v>2.0000000000000004E-2</v>
      </c>
      <c r="AA14" s="20">
        <f>SUM(AA4:AA13)</f>
        <v>1.2500000000000002E-2</v>
      </c>
      <c r="AB14" s="20">
        <f>SUM(AB4:AB13)</f>
        <v>3.2500000000000001E-2</v>
      </c>
      <c r="AD14" s="5">
        <f>SUM(AD4:AD13)</f>
        <v>3.2600000000000004E-2</v>
      </c>
      <c r="AE14" s="20"/>
      <c r="AG14" s="126">
        <f>SUM(AG4:AG13)</f>
        <v>1.0000000000000002</v>
      </c>
      <c r="AH14" s="126">
        <f>SUM(AH4:AH13)</f>
        <v>1</v>
      </c>
      <c r="AI14" s="126">
        <f>SUM(AI4:AI13)</f>
        <v>1</v>
      </c>
      <c r="AK14" s="65"/>
    </row>
    <row r="15" spans="3:37">
      <c r="C15" t="s">
        <v>6</v>
      </c>
      <c r="D15" s="205">
        <v>1.2</v>
      </c>
      <c r="E15" s="205">
        <v>1.21</v>
      </c>
      <c r="F15" s="130" cm="1">
        <f t="array" ref="F15">_xll.BDP($C15&amp;" Equity","volatility_10d")/100</f>
        <v>0.28321670389749554</v>
      </c>
      <c r="G15" s="130" cm="1">
        <f t="array" ref="G15">_xll.BDP($C15&amp;" Equity","volatility_30d")/100</f>
        <v>0.23061251740495264</v>
      </c>
      <c r="S15" s="35"/>
    </row>
    <row r="16" spans="3:37">
      <c r="C16" t="s">
        <v>19</v>
      </c>
      <c r="D16" s="205">
        <v>1.3</v>
      </c>
      <c r="E16" s="205">
        <v>1.1599999999999999</v>
      </c>
      <c r="F16" s="130" cm="1">
        <f t="array" ref="F16">_xll.BDP($C16&amp;" Equity","volatility_10d")/100</f>
        <v>0.21253629200569468</v>
      </c>
      <c r="G16" s="130" cm="1">
        <f t="array" ref="G16">_xll.BDP($C16&amp;" Equity","volatility_30d")/100</f>
        <v>0.25511274394823974</v>
      </c>
    </row>
    <row r="17" spans="3:42">
      <c r="C17" t="s">
        <v>43</v>
      </c>
      <c r="D17" s="205">
        <v>1.9</v>
      </c>
      <c r="E17" s="205">
        <v>1.9</v>
      </c>
      <c r="F17" s="130" cm="1">
        <f t="array" ref="F17">_xll.BDP($C17&amp;" Equity","volatility_10d")/100</f>
        <v>0.46324832181612657</v>
      </c>
      <c r="G17" s="130" cm="1">
        <f t="array" ref="G17">_xll.BDP($C17&amp;" Equity","volatility_30d")/100</f>
        <v>0.35784008751459562</v>
      </c>
      <c r="AP17" t="s">
        <v>441</v>
      </c>
    </row>
    <row r="18" spans="3:42">
      <c r="C18" t="s">
        <v>83</v>
      </c>
      <c r="D18" s="205">
        <v>1.9</v>
      </c>
      <c r="E18" s="205">
        <v>1.9</v>
      </c>
      <c r="F18" s="130" cm="1">
        <f t="array" ref="F18">_xll.BDP($C18&amp;" Equity","volatility_10d")/100</f>
        <v>0.45155679211527217</v>
      </c>
      <c r="G18" s="130" cm="1">
        <f t="array" ref="G18">_xll.BDP($C18&amp;" Equity","volatility_30d")/100</f>
        <v>0.33718382414719456</v>
      </c>
      <c r="AP18" t="s">
        <v>441</v>
      </c>
    </row>
    <row r="19" spans="3:42">
      <c r="C19" t="s">
        <v>4</v>
      </c>
      <c r="D19" s="205">
        <v>0.75</v>
      </c>
      <c r="E19" s="205">
        <v>0.54</v>
      </c>
      <c r="F19" s="130" cm="1">
        <f t="array" ref="F19">_xll.BDP($C19&amp;" Equity","volatility_10d")/100</f>
        <v>0.13199947026569606</v>
      </c>
      <c r="G19" s="130" cm="1">
        <f t="array" ref="G19">_xll.BDP($C19&amp;" Equity","volatility_30d")/100</f>
        <v>0.13984452238334646</v>
      </c>
      <c r="AP19" t="s">
        <v>441</v>
      </c>
    </row>
    <row r="20" spans="3:42">
      <c r="C20" t="s">
        <v>517</v>
      </c>
      <c r="D20" s="205">
        <v>1</v>
      </c>
      <c r="F20" s="130" cm="1">
        <f t="array" ref="F20">_xll.BDP($C20&amp;" Equity","volatility_10d")/100</f>
        <v>0.17936233871784868</v>
      </c>
      <c r="G20" s="130" cm="1">
        <f t="array" ref="G20">_xll.BDP($C20&amp;" Equity","volatility_30d")/100</f>
        <v>0.16753290634619389</v>
      </c>
    </row>
    <row r="21" spans="3:42">
      <c r="C21" t="s">
        <v>3</v>
      </c>
      <c r="D21" s="205">
        <v>1</v>
      </c>
      <c r="E21" s="205">
        <v>0.9</v>
      </c>
      <c r="F21" s="130" cm="1">
        <f t="array" ref="F21">_xll.BDP($C21&amp;" Equity","volatility_10d")/100</f>
        <v>0.15685807794757708</v>
      </c>
      <c r="G21" s="130" cm="1">
        <f t="array" ref="G21">_xll.BDP($C21&amp;" Equity","volatility_30d")/100</f>
        <v>0.12929649420890593</v>
      </c>
    </row>
    <row r="22" spans="3:42">
      <c r="C22" t="s">
        <v>0</v>
      </c>
      <c r="D22" s="205">
        <v>1</v>
      </c>
      <c r="E22" s="205">
        <v>1</v>
      </c>
      <c r="F22" s="130" cm="1">
        <f t="array" ref="F22">_xll.BDP($C22&amp;" Equity","volatility_10d")/100</f>
        <v>0.16562868125353922</v>
      </c>
      <c r="G22" s="130" cm="1">
        <f t="array" ref="G22">_xll.BDP($C22&amp;" Equity","volatility_30d")/100</f>
        <v>0.12639658034318435</v>
      </c>
    </row>
    <row r="23" spans="3:42" ht="15.75">
      <c r="C23" t="s">
        <v>82</v>
      </c>
      <c r="D23" s="205">
        <v>1.2</v>
      </c>
      <c r="E23" s="205">
        <v>1.2</v>
      </c>
      <c r="F23" s="130" cm="1">
        <f t="array" ref="F23">_xll.BDP($C23&amp;" Equity","volatility_10d")/100</f>
        <v>0.22364598559731788</v>
      </c>
      <c r="G23" s="130" cm="1">
        <f t="array" ref="G23">_xll.BDP($C23&amp;" Equity","volatility_30d")/100</f>
        <v>0.17095385148713646</v>
      </c>
      <c r="K23" s="302" t="s">
        <v>572</v>
      </c>
      <c r="L23" s="303">
        <v>-1.0963377653370632E-2</v>
      </c>
      <c r="M23" s="304">
        <v>-0.37836540865925272</v>
      </c>
      <c r="N23" s="305">
        <v>3.4133390057770963E-3</v>
      </c>
      <c r="O23" s="305">
        <v>0</v>
      </c>
      <c r="P23" s="305">
        <v>3.4133390057770963E-3</v>
      </c>
      <c r="R23" s="305"/>
    </row>
    <row r="24" spans="3:42" ht="15.75">
      <c r="C24" t="s">
        <v>89</v>
      </c>
      <c r="D24" s="205">
        <v>1.3</v>
      </c>
      <c r="E24" s="205">
        <v>1.1000000000000001</v>
      </c>
      <c r="F24" s="130" cm="1">
        <f t="array" ref="F24">_xll.BDP($C24&amp;" Equity","volatility_10d")/100</f>
        <v>0.27508523698281334</v>
      </c>
      <c r="G24" s="130" cm="1">
        <f t="array" ref="G24">_xll.BDP($C24&amp;" Equity","volatility_30d")/100</f>
        <v>0.1987459876022542</v>
      </c>
      <c r="K24" s="299" t="s">
        <v>9</v>
      </c>
      <c r="L24" s="297">
        <v>-1.0963377653370632E-2</v>
      </c>
      <c r="M24" s="300">
        <v>-0.37836540865925272</v>
      </c>
      <c r="N24" s="298">
        <v>3.4133390057770963E-3</v>
      </c>
      <c r="O24" s="298">
        <v>0</v>
      </c>
      <c r="P24" s="298">
        <v>3.4133390057770963E-3</v>
      </c>
      <c r="R24" s="298"/>
    </row>
    <row r="25" spans="3:42" ht="15.75">
      <c r="C25" t="s">
        <v>339</v>
      </c>
      <c r="D25" s="205">
        <v>0.9</v>
      </c>
      <c r="F25" s="130" cm="1">
        <f t="array" ref="F25">_xll.BDP($C25&amp;" Equity","volatility_10d")/100</f>
        <v>0.24236806403899203</v>
      </c>
      <c r="G25" s="130" cm="1">
        <f t="array" ref="G25">_xll.BDP($C25&amp;" Equity","volatility_30d")/100</f>
        <v>0.20977435534547681</v>
      </c>
      <c r="K25" s="302" t="s">
        <v>32</v>
      </c>
      <c r="L25" s="303">
        <v>-5.9553798585880949E-3</v>
      </c>
      <c r="M25" s="304">
        <v>-0.63972487206523787</v>
      </c>
      <c r="N25" s="305">
        <v>1.1232261185275198E-2</v>
      </c>
      <c r="O25" s="305">
        <v>0</v>
      </c>
      <c r="P25" s="305">
        <v>1.1232261185275198E-2</v>
      </c>
      <c r="R25" s="305"/>
    </row>
    <row r="26" spans="3:42" ht="15.75">
      <c r="C26" t="s">
        <v>29</v>
      </c>
      <c r="D26" s="205" cm="1">
        <f t="array" ref="D26">_xll.BDP(C26&amp;" EQUITY","eqy_beta")</f>
        <v>1.1902408599853516</v>
      </c>
      <c r="F26" s="130" cm="1">
        <f t="array" ref="F26">_xll.BDP($C26&amp;" Equity","volatility_10d")/100</f>
        <v>0.27705127720622003</v>
      </c>
      <c r="G26" s="130" cm="1">
        <f t="array" ref="G26">_xll.BDP($C26&amp;" Equity","volatility_30d")/100</f>
        <v>0.44097949172565604</v>
      </c>
      <c r="K26" s="299" t="s">
        <v>33</v>
      </c>
      <c r="L26" s="297">
        <v>4.7598096076157947E-3</v>
      </c>
      <c r="M26" s="300">
        <v>-4.6604870922836092E-2</v>
      </c>
      <c r="N26" s="298">
        <v>-9.837935777997017E-4</v>
      </c>
      <c r="O26" s="298">
        <v>0</v>
      </c>
      <c r="P26" s="298">
        <v>-9.837935777997017E-4</v>
      </c>
      <c r="R26" s="298"/>
    </row>
    <row r="27" spans="3:42" ht="15.75">
      <c r="C27" t="s">
        <v>27</v>
      </c>
      <c r="D27" s="205" cm="1">
        <f t="array" ref="D27">_xll.BDP(C27&amp;" EQUITY","eqy_beta")</f>
        <v>1.0625611543655396</v>
      </c>
      <c r="F27" s="130" cm="1">
        <f t="array" ref="F27">_xll.BDP($C27&amp;" Equity","volatility_10d")/100</f>
        <v>0.35048238314430713</v>
      </c>
      <c r="G27" s="130" cm="1">
        <f t="array" ref="G27">_xll.BDP($C27&amp;" Equity","volatility_30d")/100</f>
        <v>0.28510792324666251</v>
      </c>
      <c r="K27" s="299" t="s">
        <v>6</v>
      </c>
      <c r="L27" s="297">
        <v>-2.9742661321608965E-3</v>
      </c>
      <c r="M27" s="300">
        <v>-0.27022992383829852</v>
      </c>
      <c r="N27" s="298">
        <v>9.0585770121445457E-3</v>
      </c>
      <c r="O27" s="298">
        <v>0</v>
      </c>
      <c r="P27" s="298">
        <v>9.0585770121445457E-3</v>
      </c>
      <c r="R27" s="298"/>
    </row>
    <row r="28" spans="3:42" ht="15.75">
      <c r="C28" t="s">
        <v>31</v>
      </c>
      <c r="D28" s="205" cm="1">
        <f t="array" ref="D28">_xll.BDP(C28&amp;" EQUITY","eqy_beta")</f>
        <v>1.2108018398284912</v>
      </c>
      <c r="F28" s="130" cm="1">
        <f t="array" ref="F28">_xll.BDP($C28&amp;" Equity","volatility_10d")/100</f>
        <v>0.35260302050219672</v>
      </c>
      <c r="G28" s="130" cm="1">
        <f t="array" ref="G28">_xll.BDP($C28&amp;" Equity","volatility_30d")/100</f>
        <v>0.34099234038216153</v>
      </c>
      <c r="K28" s="299" t="s">
        <v>358</v>
      </c>
      <c r="L28" s="297">
        <v>-3.3200841711480411E-3</v>
      </c>
      <c r="M28" s="300">
        <v>-3.8619816007486069E-2</v>
      </c>
      <c r="N28" s="298">
        <v>1.1593559977233082E-3</v>
      </c>
      <c r="O28" s="298">
        <v>0</v>
      </c>
      <c r="P28" s="298">
        <v>1.1593559977233082E-3</v>
      </c>
      <c r="R28" s="298"/>
    </row>
    <row r="29" spans="3:42" ht="15.75">
      <c r="C29" t="s">
        <v>30</v>
      </c>
      <c r="D29" s="205" cm="1">
        <f t="array" ref="D29">_xll.BDP(C29&amp;" EQUITY","eqy_beta")</f>
        <v>0.8611491322517395</v>
      </c>
      <c r="F29" s="130" cm="1">
        <f t="array" ref="F29">_xll.BDP($C29&amp;" Equity","volatility_10d")/100</f>
        <v>0.6660874951056005</v>
      </c>
      <c r="G29" s="130" cm="1">
        <f t="array" ref="G29">_xll.BDP($C29&amp;" Equity","volatility_30d")/100</f>
        <v>0.45900051355351335</v>
      </c>
      <c r="K29" s="299" t="s">
        <v>471</v>
      </c>
      <c r="L29" s="297">
        <v>-1.9074643335697972E-2</v>
      </c>
      <c r="M29" s="300">
        <v>-0.18961576845233849</v>
      </c>
      <c r="N29" s="298">
        <v>9.7511084230964917E-4</v>
      </c>
      <c r="O29" s="298">
        <v>0</v>
      </c>
      <c r="P29" s="298">
        <v>9.7511084230964917E-4</v>
      </c>
      <c r="R29" s="298"/>
    </row>
    <row r="30" spans="3:42" ht="15.75">
      <c r="C30" t="s">
        <v>38</v>
      </c>
      <c r="D30" s="205" cm="1">
        <f t="array" ref="D30">_xll.BDP(C30&amp;" EQUITY","eqy_beta")</f>
        <v>1.0185316801071167</v>
      </c>
      <c r="F30" s="130" cm="1">
        <f t="array" ref="F30">_xll.BDP($C30&amp;" Equity","volatility_10d")/100</f>
        <v>0.40190507860587565</v>
      </c>
      <c r="G30" s="130" cm="1">
        <f t="array" ref="G30">_xll.BDP($C30&amp;" Equity","volatility_30d")/100</f>
        <v>0.42600172470665698</v>
      </c>
      <c r="K30" s="299" t="s">
        <v>566</v>
      </c>
      <c r="L30" s="297">
        <v>-9.1677152615493585E-3</v>
      </c>
      <c r="M30" s="300">
        <v>-9.4654492844278598E-2</v>
      </c>
      <c r="N30" s="298">
        <v>1.0230109108973979E-3</v>
      </c>
      <c r="O30" s="298">
        <v>0</v>
      </c>
      <c r="P30" s="298">
        <v>1.0230109108973979E-3</v>
      </c>
      <c r="R30" s="298"/>
    </row>
    <row r="31" spans="3:42" ht="15.75">
      <c r="C31" t="s">
        <v>358</v>
      </c>
      <c r="D31" s="205" cm="1">
        <f t="array" ref="D31">_xll.BDP(C31&amp;" EQUITY","eqy_beta")</f>
        <v>1.2250771522521973</v>
      </c>
      <c r="F31" s="130" cm="1">
        <f t="array" ref="F31">_xll.BDP($C31&amp;" Equity","volatility_10d")/100</f>
        <v>0.34865956481141891</v>
      </c>
      <c r="G31" s="130" cm="1">
        <f t="array" ref="G31">_xll.BDP($C31&amp;" Equity","volatility_30d")/100</f>
        <v>0.42670540281219721</v>
      </c>
      <c r="K31" s="302" t="s">
        <v>26</v>
      </c>
      <c r="L31" s="303">
        <v>-4.2479506412567702E-3</v>
      </c>
      <c r="M31" s="304">
        <v>1.0338056955883257</v>
      </c>
      <c r="N31" s="305">
        <v>-2.396608490698357E-2</v>
      </c>
      <c r="O31" s="305">
        <v>0</v>
      </c>
      <c r="P31" s="305">
        <v>-2.396608490698357E-2</v>
      </c>
      <c r="R31" s="305"/>
    </row>
    <row r="32" spans="3:42" ht="15.75">
      <c r="C32" t="s">
        <v>34</v>
      </c>
      <c r="D32" s="205" cm="1">
        <f t="array" ref="D32">_xll.BDP(C32&amp;" EQUITY","eqy_beta")</f>
        <v>0.85044598579406738</v>
      </c>
      <c r="F32" s="130" cm="1">
        <f t="array" ref="F32">_xll.BDP($C32&amp;" Equity","volatility_10d")/100</f>
        <v>0.17984632299084299</v>
      </c>
      <c r="G32" s="130" cm="1">
        <f t="array" ref="G32">_xll.BDP($C32&amp;" Equity","volatility_30d")/100</f>
        <v>0.25987714607163637</v>
      </c>
      <c r="K32" s="299" t="s">
        <v>3</v>
      </c>
      <c r="L32" s="297">
        <v>-3.7397353418066048E-3</v>
      </c>
      <c r="M32" s="300">
        <v>0.16241210060252317</v>
      </c>
      <c r="N32" s="298">
        <v>-4.3266356450720909E-3</v>
      </c>
      <c r="O32" s="298">
        <v>0</v>
      </c>
      <c r="P32" s="298">
        <v>-4.3266356450720909E-3</v>
      </c>
      <c r="R32" s="298"/>
    </row>
    <row r="33" spans="3:18" ht="15.75">
      <c r="C33" t="s">
        <v>35</v>
      </c>
      <c r="D33" s="205" cm="1">
        <f t="array" ref="D33">_xll.BDP(C33&amp;" EQUITY","eqy_beta")</f>
        <v>0.83178466558456421</v>
      </c>
      <c r="F33" s="130" cm="1">
        <f t="array" ref="F33">_xll.BDP($C33&amp;" Equity","volatility_10d")/100</f>
        <v>0.22264115759528388</v>
      </c>
      <c r="G33" s="130" cm="1">
        <f t="array" ref="G33">_xll.BDP($C33&amp;" Equity","volatility_30d")/100</f>
        <v>0.26475725360619201</v>
      </c>
      <c r="K33" s="299" t="s">
        <v>573</v>
      </c>
      <c r="L33" s="297">
        <v>-4.417355741073492E-3</v>
      </c>
      <c r="M33" s="300">
        <v>0.8713935949858026</v>
      </c>
      <c r="N33" s="298">
        <v>-1.9639449261911478E-2</v>
      </c>
      <c r="O33" s="298"/>
      <c r="P33" s="298">
        <v>-1.9639449261911478E-2</v>
      </c>
      <c r="R33" s="298"/>
    </row>
    <row r="34" spans="3:18" ht="15.75">
      <c r="C34" t="s">
        <v>33</v>
      </c>
      <c r="D34" s="205" cm="1">
        <f t="array" ref="D34">_xll.BDP(C34&amp;" EQUITY","eqy_beta")</f>
        <v>0.62486034631729126</v>
      </c>
      <c r="F34" s="130" cm="1">
        <f t="array" ref="F34">_xll.BDP($C34&amp;" Equity","volatility_10d")/100</f>
        <v>0.18412829211221227</v>
      </c>
      <c r="G34" s="130" cm="1">
        <f t="array" ref="G34">_xll.BDP($C34&amp;" Equity","volatility_30d")/100</f>
        <v>0.14937434925274237</v>
      </c>
      <c r="K34" s="302" t="s">
        <v>544</v>
      </c>
      <c r="L34" s="303">
        <v>-1.068463658385139E-2</v>
      </c>
      <c r="M34" s="304">
        <v>-0.90024740598245501</v>
      </c>
      <c r="N34" s="305">
        <v>4.8096776346909318E-3</v>
      </c>
      <c r="O34" s="305">
        <v>5.1572351618506054E-3</v>
      </c>
      <c r="P34" s="305">
        <v>9.9669127965415355E-3</v>
      </c>
      <c r="R34" s="305"/>
    </row>
    <row r="35" spans="3:18" ht="15.75">
      <c r="C35" t="s">
        <v>44</v>
      </c>
      <c r="D35" s="205" cm="1">
        <f t="array" ref="D35">_xll.BDP(C35&amp;" EQUITY","eqy_beta")</f>
        <v>1.4528714418411255</v>
      </c>
      <c r="F35" s="130" cm="1">
        <f t="array" ref="F35">_xll.BDP($C35&amp;" Equity","volatility_10d")/100</f>
        <v>0.43289555580887806</v>
      </c>
      <c r="G35" s="130" cm="1">
        <f t="array" ref="G35">_xll.BDP($C35&amp;" Equity","volatility_30d")/100</f>
        <v>0.36823519336324678</v>
      </c>
      <c r="K35" s="299" t="s">
        <v>29</v>
      </c>
      <c r="L35" s="297">
        <v>-6.4136601179329844E-3</v>
      </c>
      <c r="M35" s="300">
        <v>-0.19767788893855778</v>
      </c>
      <c r="N35" s="298">
        <v>3.0623707295760953E-3</v>
      </c>
      <c r="O35" s="298">
        <v>0</v>
      </c>
      <c r="P35" s="298">
        <v>3.0623707295760953E-3</v>
      </c>
      <c r="R35" s="298"/>
    </row>
    <row r="36" spans="3:18" ht="15.75">
      <c r="C36" t="s">
        <v>42</v>
      </c>
      <c r="D36" s="205" cm="1">
        <f t="array" ref="D36">_xll.BDP(C36&amp;" EQUITY","eqy_beta")</f>
        <v>1.8448104858398438</v>
      </c>
      <c r="F36" s="130" cm="1">
        <f t="array" ref="F36">_xll.BDP($C36&amp;" Equity","volatility_10d")/100</f>
        <v>0.55371272944822414</v>
      </c>
      <c r="G36" s="130" cm="1">
        <f t="array" ref="G36">_xll.BDP($C36&amp;" Equity","volatility_30d")/100</f>
        <v>0.37604042574335272</v>
      </c>
      <c r="K36" s="299" t="s">
        <v>30</v>
      </c>
      <c r="L36" s="297">
        <v>4.6735154486730046E-3</v>
      </c>
      <c r="M36" s="300">
        <v>1.3065464514081379E-2</v>
      </c>
      <c r="N36" s="298">
        <v>2.8087049905996193E-4</v>
      </c>
      <c r="O36" s="298">
        <v>0</v>
      </c>
      <c r="P36" s="298">
        <v>2.8087049905996193E-4</v>
      </c>
      <c r="R36" s="298"/>
    </row>
    <row r="37" spans="3:18" ht="15.75">
      <c r="C37" t="s">
        <v>280</v>
      </c>
      <c r="D37" s="205" cm="1">
        <f t="array" ref="D37">_xll.BDP(C37&amp;" EQUITY","eqy_beta")</f>
        <v>1.6551313400268555</v>
      </c>
      <c r="F37" s="130" cm="1">
        <f t="array" ref="F37">_xll.BDP($C37&amp;" Equity","volatility_10d")/100</f>
        <v>0.75861419358305648</v>
      </c>
      <c r="G37" s="130" cm="1">
        <f t="array" ref="G37">_xll.BDP($C37&amp;" Equity","volatility_30d")/100</f>
        <v>0.95460755786529961</v>
      </c>
      <c r="K37" s="299" t="s">
        <v>31</v>
      </c>
      <c r="L37" s="297">
        <v>-1.9930069930069849E-2</v>
      </c>
      <c r="M37" s="300">
        <v>-0.4000142632662666</v>
      </c>
      <c r="N37" s="298">
        <v>0</v>
      </c>
      <c r="O37" s="298">
        <v>1.6318254484903006E-3</v>
      </c>
      <c r="P37" s="298">
        <v>1.6318254484903006E-3</v>
      </c>
      <c r="R37" s="298"/>
    </row>
    <row r="38" spans="3:18" ht="15.75">
      <c r="C38" t="s">
        <v>77</v>
      </c>
      <c r="D38" s="205" cm="1">
        <f t="array" ref="D38">_xll.BDP(C38&amp;" EQUITY","eqy_beta")</f>
        <v>1.1855286359786987</v>
      </c>
      <c r="F38" s="130" cm="1">
        <f t="array" ref="F38">_xll.BDP($C38&amp;" Equity","volatility_10d")/100</f>
        <v>0.54072692023309399</v>
      </c>
      <c r="G38" s="130" cm="1">
        <f t="array" ref="G38">_xll.BDP($C38&amp;" Equity","volatility_30d")/100</f>
        <v>0.37204067709777078</v>
      </c>
      <c r="K38" s="299" t="s">
        <v>316</v>
      </c>
      <c r="L38" s="297">
        <v>1.3128112267994929E-3</v>
      </c>
      <c r="M38" s="300">
        <v>7.9154304583226778E-3</v>
      </c>
      <c r="N38" s="298">
        <v>8.2776255868375693E-4</v>
      </c>
      <c r="O38" s="298">
        <v>5.6416207697500146E-4</v>
      </c>
      <c r="P38" s="298">
        <v>1.3919246356587584E-3</v>
      </c>
      <c r="R38" s="298"/>
    </row>
    <row r="39" spans="3:18" ht="15.75">
      <c r="C39" t="s">
        <v>76</v>
      </c>
      <c r="D39" s="205" cm="1">
        <f t="array" ref="D39">_xll.BDP(C39&amp;" EQUITY","eqy_beta")</f>
        <v>1.0839351415634155</v>
      </c>
      <c r="F39" s="130" cm="1">
        <f t="array" ref="F39">_xll.BDP($C39&amp;" Equity","volatility_10d")/100</f>
        <v>0.56984590706795235</v>
      </c>
      <c r="G39" s="130" cm="1">
        <f t="array" ref="G39">_xll.BDP($C39&amp;" Equity","volatility_30d")/100</f>
        <v>0.39928613526361756</v>
      </c>
      <c r="K39" s="299" t="s">
        <v>338</v>
      </c>
      <c r="L39" s="297">
        <v>-2.3083787755390939E-2</v>
      </c>
      <c r="M39" s="300">
        <v>-0.25663139707509386</v>
      </c>
      <c r="N39" s="298">
        <v>6.3867384737111737E-4</v>
      </c>
      <c r="O39" s="298">
        <v>2.1555720957797475E-3</v>
      </c>
      <c r="P39" s="298">
        <v>2.794245943150865E-3</v>
      </c>
      <c r="Q39" s="298">
        <f>R39-P39</f>
        <v>-7.9424594315086498E-4</v>
      </c>
      <c r="R39" s="298">
        <v>2E-3</v>
      </c>
    </row>
    <row r="40" spans="3:18" ht="15.75">
      <c r="C40" t="s">
        <v>355</v>
      </c>
      <c r="D40" s="205" cm="1">
        <f t="array" ref="D40">_xll.BDP(C40&amp;" EQUITY","eqy_beta")</f>
        <v>0.59204941987991333</v>
      </c>
      <c r="F40" s="130" cm="1">
        <f t="array" ref="F40">_xll.BDP($C40&amp;" Equity","volatility_10d")/100</f>
        <v>0.53639759329083048</v>
      </c>
      <c r="G40" s="130" cm="1">
        <f t="array" ref="G40">_xll.BDP($C40&amp;" Equity","volatility_30d")/100</f>
        <v>0.38061074028773517</v>
      </c>
      <c r="K40" s="299" t="s">
        <v>576</v>
      </c>
      <c r="L40" s="297">
        <v>-8.2674772036475108E-3</v>
      </c>
      <c r="M40" s="300">
        <v>-6.6904751674940866E-2</v>
      </c>
      <c r="N40" s="298">
        <v>0</v>
      </c>
      <c r="O40" s="298">
        <v>8.0567554060555571E-4</v>
      </c>
      <c r="P40" s="298">
        <v>8.0567554060555571E-4</v>
      </c>
      <c r="R40" s="298"/>
    </row>
    <row r="41" spans="3:18" ht="15.75">
      <c r="C41" t="s">
        <v>356</v>
      </c>
      <c r="D41" s="205" cm="1">
        <f t="array" ref="D41">_xll.BDP(C41&amp;" EQUITY","eqy_beta")</f>
        <v>0.53775566816329956</v>
      </c>
      <c r="F41" s="130" cm="1">
        <f t="array" ref="F41">_xll.BDP($C41&amp;" Equity","volatility_10d")/100</f>
        <v>0.4532216510652024</v>
      </c>
      <c r="G41" s="130" cm="1">
        <f t="array" ref="G41">_xll.BDP($C41&amp;" Equity","volatility_30d")/100</f>
        <v>0.33209962744985466</v>
      </c>
      <c r="K41" s="302" t="s">
        <v>543</v>
      </c>
      <c r="L41" s="303">
        <v>-2.171898868541829E-2</v>
      </c>
      <c r="M41" s="304">
        <v>-2.1659089402196168</v>
      </c>
      <c r="N41" s="305">
        <v>7.426914807117521E-3</v>
      </c>
      <c r="O41" s="305">
        <v>1.0473448302227259E-2</v>
      </c>
      <c r="P41" s="305">
        <v>1.790069034429281E-2</v>
      </c>
      <c r="R41" s="305"/>
    </row>
    <row r="42" spans="3:18" ht="15.75">
      <c r="C42" t="s">
        <v>357</v>
      </c>
      <c r="D42" s="205" cm="1">
        <f t="array" ref="D42">_xll.BDP(C42&amp;" EQUITY","eqy_beta")</f>
        <v>0.54449498653411865</v>
      </c>
      <c r="F42" s="130" cm="1">
        <f t="array" ref="F42">_xll.BDP($C42&amp;" Equity","volatility_10d")/100</f>
        <v>0.34145537116301272</v>
      </c>
      <c r="G42" s="130" cm="1">
        <f t="array" ref="G42">_xll.BDP($C42&amp;" Equity","volatility_30d")/100</f>
        <v>0.28606059890622615</v>
      </c>
      <c r="K42" s="299" t="s">
        <v>38</v>
      </c>
      <c r="L42" s="297">
        <v>-6.2572785972485057E-3</v>
      </c>
      <c r="M42" s="300">
        <v>-1.1994344461055253</v>
      </c>
      <c r="N42" s="298">
        <v>7.426914807117521E-3</v>
      </c>
      <c r="O42" s="298">
        <v>8.792129380292845E-3</v>
      </c>
      <c r="P42" s="298">
        <v>1.6219371422358395E-2</v>
      </c>
      <c r="Q42" s="298">
        <f>R42-P42</f>
        <v>-3.7193714223583939E-3</v>
      </c>
      <c r="R42" s="298">
        <v>1.2500000000000001E-2</v>
      </c>
    </row>
    <row r="43" spans="3:18" ht="15.75">
      <c r="C43" t="s">
        <v>363</v>
      </c>
      <c r="D43" s="205" cm="1">
        <f t="array" ref="D43">_xll.BDP(C43&amp;" EQUITY","eqy_beta")</f>
        <v>0.76145392656326294</v>
      </c>
      <c r="F43" s="130" cm="1">
        <f t="array" ref="F43">_xll.BDP($C43&amp;" Equity","volatility_10d")/100</f>
        <v>0.23680130427620155</v>
      </c>
      <c r="G43" s="130" cm="1">
        <f t="array" ref="G43">_xll.BDP($C43&amp;" Equity","volatility_30d")/100</f>
        <v>0.27086563579933476</v>
      </c>
      <c r="K43" s="299" t="s">
        <v>552</v>
      </c>
      <c r="L43" s="297">
        <v>-5.2642408861757861E-2</v>
      </c>
      <c r="M43" s="300">
        <v>-0.96647449411409159</v>
      </c>
      <c r="N43" s="298">
        <v>0</v>
      </c>
      <c r="O43" s="298">
        <v>1.6813189219344138E-3</v>
      </c>
      <c r="P43" s="298">
        <v>1.6813189219344138E-3</v>
      </c>
      <c r="Q43" s="298">
        <f>R43-P43</f>
        <v>-6.8131892193441378E-4</v>
      </c>
      <c r="R43" s="298">
        <v>1E-3</v>
      </c>
    </row>
    <row r="44" spans="3:18" ht="15.75">
      <c r="C44" t="s">
        <v>41</v>
      </c>
      <c r="D44" s="205" cm="1">
        <f t="array" ref="D44">_xll.BDP(C44&amp;" EQUITY","eqy_beta")</f>
        <v>0.66327273845672607</v>
      </c>
      <c r="F44" s="130" cm="1">
        <f t="array" ref="F44">_xll.BDP($C44&amp;" Equity","volatility_10d")/100</f>
        <v>0.9524105820091916</v>
      </c>
      <c r="G44" s="130" cm="1">
        <f t="array" ref="G44">_xll.BDP($C44&amp;" Equity","volatility_30d")/100</f>
        <v>0.83098250685311736</v>
      </c>
      <c r="K44" s="302" t="s">
        <v>545</v>
      </c>
      <c r="L44" s="303">
        <v>-1.5317902816898016E-2</v>
      </c>
      <c r="M44" s="304">
        <v>-1.4805052895405777</v>
      </c>
      <c r="N44" s="305">
        <v>2.2698465837621799E-3</v>
      </c>
      <c r="O44" s="305">
        <v>9.6786193156367471E-3</v>
      </c>
      <c r="P44" s="305">
        <v>1.1948465899398925E-2</v>
      </c>
      <c r="R44" s="305"/>
    </row>
    <row r="45" spans="3:18" ht="15.75">
      <c r="C45" t="s">
        <v>40</v>
      </c>
      <c r="D45" s="205" cm="1">
        <f t="array" ref="D45">_xll.BDP(C45&amp;" EQUITY","eqy_beta")</f>
        <v>0.56127637624740601</v>
      </c>
      <c r="F45" s="130" cm="1">
        <f t="array" ref="F45">_xll.BDP($C45&amp;" Equity","volatility_10d")/100</f>
        <v>0.72593337390449808</v>
      </c>
      <c r="G45" s="130" cm="1">
        <f t="array" ref="G45">_xll.BDP($C45&amp;" Equity","volatility_30d")/100</f>
        <v>0.75589014785248243</v>
      </c>
      <c r="K45" s="299" t="s">
        <v>42</v>
      </c>
      <c r="L45" s="297">
        <v>-1.4552118141639703E-3</v>
      </c>
      <c r="M45" s="300">
        <v>-0.12432534684415254</v>
      </c>
      <c r="N45" s="298">
        <v>1.543887739934495E-3</v>
      </c>
      <c r="O45" s="298">
        <v>2.9553410385488818E-3</v>
      </c>
      <c r="P45" s="298">
        <v>4.4992287784833768E-3</v>
      </c>
      <c r="Q45" s="298">
        <f>R45-P45</f>
        <v>-9.9922877848337673E-4</v>
      </c>
      <c r="R45" s="298">
        <v>3.5000000000000001E-3</v>
      </c>
    </row>
    <row r="46" spans="3:18" ht="15.75">
      <c r="K46" s="299" t="s">
        <v>44</v>
      </c>
      <c r="L46" s="297">
        <v>-1.6534391534391513E-2</v>
      </c>
      <c r="M46" s="300">
        <v>-0.9982406526329215</v>
      </c>
      <c r="N46" s="298">
        <v>0</v>
      </c>
      <c r="O46" s="298">
        <v>5.1455045378578784E-3</v>
      </c>
      <c r="P46" s="298">
        <v>5.1455045378578784E-3</v>
      </c>
      <c r="Q46" s="298">
        <f>R46-P46</f>
        <v>-1.1455045378578783E-3</v>
      </c>
      <c r="R46" s="298">
        <v>4.0000000000000001E-3</v>
      </c>
    </row>
    <row r="47" spans="3:18" ht="15.75">
      <c r="K47" s="299" t="s">
        <v>518</v>
      </c>
      <c r="L47" s="297">
        <v>-2.6798655211057065E-2</v>
      </c>
      <c r="M47" s="300">
        <v>1.5852618559466514E-2</v>
      </c>
      <c r="N47" s="298">
        <v>-7.9358043150606667E-4</v>
      </c>
      <c r="O47" s="298">
        <v>9.8607657949751791E-4</v>
      </c>
      <c r="P47" s="298">
        <v>1.9249614799145119E-4</v>
      </c>
      <c r="Q47" s="298">
        <f>R47-P47</f>
        <v>-1.9249614799145119E-4</v>
      </c>
      <c r="R47" s="298">
        <v>0</v>
      </c>
    </row>
    <row r="48" spans="3:18" ht="15.75">
      <c r="K48" s="299" t="s">
        <v>84</v>
      </c>
      <c r="L48" s="297">
        <v>-1.6483352707979515E-2</v>
      </c>
      <c r="M48" s="300">
        <v>-0.37379190862297018</v>
      </c>
      <c r="N48" s="298">
        <v>1.5195392753337515E-3</v>
      </c>
      <c r="O48" s="298">
        <v>5.9169715973246908E-4</v>
      </c>
      <c r="P48" s="298">
        <v>2.1112364350662207E-3</v>
      </c>
      <c r="Q48" s="298">
        <f>R48-P48</f>
        <v>-6.1123643506622071E-4</v>
      </c>
      <c r="R48" s="298">
        <v>1.5E-3</v>
      </c>
    </row>
    <row r="49" spans="11:18" ht="15.75">
      <c r="K49" s="302" t="s">
        <v>354</v>
      </c>
      <c r="L49" s="303">
        <v>-8.4026174193907455E-4</v>
      </c>
      <c r="M49" s="304">
        <v>-1.7578782910323221E-2</v>
      </c>
      <c r="N49" s="305">
        <v>-1.5669404759838411E-3</v>
      </c>
      <c r="O49" s="305">
        <v>2.4004823085147778E-3</v>
      </c>
      <c r="P49" s="305">
        <v>8.3354183253093669E-4</v>
      </c>
      <c r="R49" s="305"/>
    </row>
    <row r="50" spans="11:18" ht="15.75">
      <c r="K50" s="299" t="s">
        <v>355</v>
      </c>
      <c r="L50" s="297">
        <v>-1.2919896640827266E-3</v>
      </c>
      <c r="M50" s="300">
        <v>-7.1821978952513466E-2</v>
      </c>
      <c r="N50" s="298">
        <v>1.3471744978480506E-3</v>
      </c>
      <c r="O50" s="298">
        <v>2.4004823085147778E-3</v>
      </c>
      <c r="P50" s="298">
        <v>3.7476568063628283E-3</v>
      </c>
      <c r="R50" s="298"/>
    </row>
    <row r="51" spans="11:18" ht="15.75">
      <c r="K51" s="299" t="s">
        <v>356</v>
      </c>
      <c r="L51" s="297">
        <v>7.8093442843678584E-3</v>
      </c>
      <c r="M51" s="300">
        <v>-9.7169632839115672E-2</v>
      </c>
      <c r="N51" s="298">
        <v>-1.2539908651737638E-3</v>
      </c>
      <c r="O51" s="298">
        <v>0</v>
      </c>
      <c r="P51" s="298">
        <v>-1.2539908651737638E-3</v>
      </c>
      <c r="R51" s="298"/>
    </row>
    <row r="52" spans="11:18" ht="15.75">
      <c r="K52" s="299" t="s">
        <v>357</v>
      </c>
      <c r="L52" s="297">
        <v>-9.0381398461023554E-3</v>
      </c>
      <c r="M52" s="300">
        <v>0.15141282888130592</v>
      </c>
      <c r="N52" s="298">
        <v>-1.6601241086581279E-3</v>
      </c>
      <c r="O52" s="298">
        <v>0</v>
      </c>
      <c r="P52" s="298">
        <v>-1.6601241086581279E-3</v>
      </c>
      <c r="R52" s="298"/>
    </row>
    <row r="53" spans="11:18" ht="15.75">
      <c r="K53" s="302" t="s">
        <v>560</v>
      </c>
      <c r="L53" s="303">
        <v>8.5655571165981219E-4</v>
      </c>
      <c r="M53" s="304">
        <v>0.30047010447379285</v>
      </c>
      <c r="N53" s="305">
        <v>2.4558330120338706E-3</v>
      </c>
      <c r="O53" s="305">
        <v>4.083701484987501E-3</v>
      </c>
      <c r="P53" s="305">
        <v>6.5395344970213716E-3</v>
      </c>
      <c r="R53" s="305"/>
    </row>
    <row r="54" spans="11:18" ht="15.75">
      <c r="K54" s="299" t="s">
        <v>40</v>
      </c>
      <c r="L54" s="297">
        <v>-2.0689655172413945E-2</v>
      </c>
      <c r="M54" s="300">
        <v>-0.14686408904255172</v>
      </c>
      <c r="N54" s="298">
        <v>6.9515668813474141E-4</v>
      </c>
      <c r="O54" s="298">
        <v>0</v>
      </c>
      <c r="P54" s="298">
        <v>6.9515668813474141E-4</v>
      </c>
      <c r="R54" s="298"/>
    </row>
    <row r="55" spans="11:18" ht="15.75">
      <c r="K55" s="299" t="s">
        <v>41</v>
      </c>
      <c r="L55" s="297">
        <v>-2.6907036189963707E-3</v>
      </c>
      <c r="M55" s="300">
        <v>-1.8493996397951615E-2</v>
      </c>
      <c r="N55" s="298">
        <v>4.83868218698858E-4</v>
      </c>
      <c r="O55" s="298">
        <v>2.5123589968408243E-4</v>
      </c>
      <c r="P55" s="298">
        <v>7.3510411838294048E-4</v>
      </c>
      <c r="R55" s="298"/>
    </row>
    <row r="56" spans="11:18" ht="15.75">
      <c r="K56" s="299" t="s">
        <v>370</v>
      </c>
      <c r="L56" s="297">
        <v>6.5590866677642801E-3</v>
      </c>
      <c r="M56" s="300">
        <v>0.11670799609248043</v>
      </c>
      <c r="N56" s="298">
        <v>1.276808105200271E-3</v>
      </c>
      <c r="O56" s="298">
        <v>6.7729666444606672E-4</v>
      </c>
      <c r="P56" s="298">
        <v>1.9541047696463375E-3</v>
      </c>
      <c r="R56" s="298"/>
    </row>
    <row r="57" spans="11:18" ht="15.75">
      <c r="K57" s="299" t="s">
        <v>337</v>
      </c>
      <c r="L57" s="297">
        <v>8.594130047024473E-3</v>
      </c>
      <c r="M57" s="300">
        <v>0.16635599412441882</v>
      </c>
      <c r="N57" s="298">
        <v>0</v>
      </c>
      <c r="O57" s="298">
        <v>1.544348871542936E-3</v>
      </c>
      <c r="P57" s="298">
        <v>1.544348871542936E-3</v>
      </c>
      <c r="R57" s="298"/>
    </row>
    <row r="58" spans="11:18" ht="15.75">
      <c r="K58" s="299" t="s">
        <v>575</v>
      </c>
      <c r="L58" s="297">
        <v>1.2509920634920624E-2</v>
      </c>
      <c r="M58" s="300">
        <v>0.18276419969739696</v>
      </c>
      <c r="N58" s="298">
        <v>0</v>
      </c>
      <c r="O58" s="298">
        <v>1.6108200493144163E-3</v>
      </c>
      <c r="P58" s="298">
        <v>1.6108200493144163E-3</v>
      </c>
      <c r="R58" s="298"/>
    </row>
    <row r="59" spans="11:18" ht="15.75">
      <c r="K59" s="306" t="s">
        <v>45</v>
      </c>
      <c r="L59" s="307">
        <v>-8.037222487176969E-3</v>
      </c>
      <c r="M59" s="308">
        <v>-4.2480548993153455</v>
      </c>
      <c r="N59" s="309">
        <v>6.0748468456893858E-3</v>
      </c>
      <c r="O59" s="309">
        <v>3.17934865732169E-2</v>
      </c>
      <c r="P59" s="309">
        <v>3.7868660653854309E-2</v>
      </c>
      <c r="R59" s="309"/>
    </row>
  </sheetData>
  <conditionalFormatting sqref="F5:F45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4:AE1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59">
    <cfRule type="cellIs" dxfId="3566" priority="6" operator="lessThan">
      <formula>0</formula>
    </cfRule>
  </conditionalFormatting>
  <conditionalFormatting sqref="L23:O59">
    <cfRule type="cellIs" dxfId="3565" priority="5" operator="lessThan">
      <formula>0</formula>
    </cfRule>
  </conditionalFormatting>
  <conditionalFormatting sqref="R23:R59">
    <cfRule type="cellIs" dxfId="3564" priority="4" operator="lessThan">
      <formula>0</formula>
    </cfRule>
  </conditionalFormatting>
  <conditionalFormatting sqref="Q45:Q48">
    <cfRule type="cellIs" dxfId="3563" priority="3" operator="lessThan">
      <formula>0</formula>
    </cfRule>
  </conditionalFormatting>
  <conditionalFormatting sqref="Q42:Q43">
    <cfRule type="cellIs" dxfId="3562" priority="2" operator="lessThan">
      <formula>0</formula>
    </cfRule>
  </conditionalFormatting>
  <conditionalFormatting sqref="Q39">
    <cfRule type="cellIs" dxfId="3561" priority="1" operator="lessThan">
      <formula>0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58E60-E46B-4FD1-A82E-6DC5A1454A92}">
  <sheetPr codeName="Sheet7"/>
  <dimension ref="C5:AD68"/>
  <sheetViews>
    <sheetView topLeftCell="E40" workbookViewId="0">
      <selection activeCell="J59" sqref="J59:K59"/>
    </sheetView>
  </sheetViews>
  <sheetFormatPr defaultRowHeight="15"/>
  <cols>
    <col min="1" max="2" width="1.5703125" customWidth="1"/>
    <col min="3" max="3" width="6.140625" bestFit="1" customWidth="1"/>
    <col min="4" max="4" width="6.85546875" bestFit="1" customWidth="1"/>
    <col min="5" max="6" width="6.140625" bestFit="1" customWidth="1"/>
    <col min="7" max="7" width="8.5703125" customWidth="1"/>
    <col min="8" max="8" width="21.7109375" bestFit="1" customWidth="1"/>
    <col min="9" max="9" width="12.28515625" customWidth="1"/>
    <col min="13" max="13" width="2.5703125" customWidth="1"/>
    <col min="14" max="14" width="8.42578125" customWidth="1"/>
    <col min="15" max="15" width="8" bestFit="1" customWidth="1"/>
    <col min="22" max="30" width="6.85546875" style="208" customWidth="1"/>
  </cols>
  <sheetData>
    <row r="5" spans="3:30" s="6" customFormat="1">
      <c r="I5" s="6" t="s">
        <v>928</v>
      </c>
      <c r="J5" s="6" t="s">
        <v>925</v>
      </c>
      <c r="K5" s="6" t="s">
        <v>927</v>
      </c>
      <c r="L5" s="6" t="s">
        <v>926</v>
      </c>
      <c r="O5" s="6" t="s">
        <v>5</v>
      </c>
      <c r="P5" s="6" t="s">
        <v>932</v>
      </c>
      <c r="Q5" s="6" t="s">
        <v>932</v>
      </c>
      <c r="R5" s="6" t="s">
        <v>933</v>
      </c>
      <c r="S5" s="6" t="s">
        <v>931</v>
      </c>
      <c r="T5" s="6" t="s">
        <v>931</v>
      </c>
      <c r="V5" s="368" t="s">
        <v>623</v>
      </c>
      <c r="W5" s="368" t="s">
        <v>623</v>
      </c>
      <c r="X5" s="368" t="s">
        <v>620</v>
      </c>
      <c r="Y5" s="368" t="s">
        <v>620</v>
      </c>
      <c r="Z5" s="368" t="s">
        <v>621</v>
      </c>
      <c r="AA5" s="368" t="s">
        <v>621</v>
      </c>
      <c r="AB5" s="368" t="s">
        <v>622</v>
      </c>
      <c r="AC5" s="368" t="s">
        <v>622</v>
      </c>
      <c r="AD5" s="368" t="s">
        <v>623</v>
      </c>
    </row>
    <row r="6" spans="3:30" s="6" customFormat="1">
      <c r="V6" s="368" t="s">
        <v>929</v>
      </c>
      <c r="W6" s="368" t="s">
        <v>930</v>
      </c>
      <c r="X6" s="368" t="s">
        <v>929</v>
      </c>
      <c r="Y6" s="368" t="s">
        <v>930</v>
      </c>
      <c r="Z6" s="368" t="s">
        <v>929</v>
      </c>
      <c r="AA6" s="368" t="s">
        <v>930</v>
      </c>
      <c r="AB6" s="368" t="s">
        <v>929</v>
      </c>
      <c r="AC6" s="368" t="s">
        <v>930</v>
      </c>
      <c r="AD6" s="368" t="s">
        <v>929</v>
      </c>
    </row>
    <row r="7" spans="3:30">
      <c r="P7" s="369"/>
      <c r="Q7" s="369"/>
      <c r="R7" s="369"/>
      <c r="T7" s="369"/>
    </row>
    <row r="8" spans="3:30">
      <c r="C8" t="s">
        <v>316</v>
      </c>
      <c r="D8" s="42">
        <v>2.0999999999999999E-3</v>
      </c>
      <c r="E8" s="42">
        <v>2.9999999999999997E-4</v>
      </c>
      <c r="F8" s="42">
        <f>D8+E8</f>
        <v>2.3999999999999998E-3</v>
      </c>
      <c r="H8" t="e">
        <f>Options!#REF!</f>
        <v>#REF!</v>
      </c>
      <c r="I8" s="205" t="e">
        <f>Options!#REF!</f>
        <v>#REF!</v>
      </c>
      <c r="J8" s="42" t="e">
        <f>Options!#REF!</f>
        <v>#REF!</v>
      </c>
      <c r="K8" s="42" t="e">
        <f>Options!#REF!</f>
        <v>#REF!</v>
      </c>
      <c r="L8" s="42" t="e">
        <f>Options!#REF!</f>
        <v>#REF!</v>
      </c>
    </row>
    <row r="9" spans="3:30">
      <c r="D9" s="42"/>
      <c r="E9" s="42"/>
      <c r="F9" s="42"/>
      <c r="I9" s="205"/>
      <c r="J9" s="42"/>
      <c r="K9" s="42"/>
      <c r="L9" s="42"/>
      <c r="V9" s="208">
        <v>31.5</v>
      </c>
      <c r="W9" s="208">
        <v>29.6</v>
      </c>
      <c r="X9" s="208">
        <v>34.72</v>
      </c>
      <c r="Y9" s="208">
        <v>33.4</v>
      </c>
      <c r="Z9" s="208">
        <v>29.3</v>
      </c>
      <c r="AA9" s="208">
        <v>28.9</v>
      </c>
      <c r="AB9" s="208">
        <v>36.9</v>
      </c>
      <c r="AC9" s="208">
        <v>35.4</v>
      </c>
      <c r="AD9" s="208">
        <v>34.299999999999997</v>
      </c>
    </row>
    <row r="10" spans="3:30">
      <c r="D10" s="42"/>
      <c r="E10" s="42"/>
      <c r="F10" s="42"/>
      <c r="I10" s="205"/>
      <c r="J10" s="42"/>
      <c r="K10" s="42"/>
      <c r="L10" s="42"/>
      <c r="V10" s="368"/>
      <c r="W10" s="368">
        <f>W9-V9</f>
        <v>-1.8999999999999986</v>
      </c>
      <c r="X10" s="368"/>
      <c r="Y10" s="368">
        <f>Y9-X9</f>
        <v>-1.3200000000000003</v>
      </c>
      <c r="Z10" s="368"/>
      <c r="AA10" s="368">
        <f>AA9-Z9</f>
        <v>-0.40000000000000213</v>
      </c>
      <c r="AB10" s="368"/>
      <c r="AC10" s="368">
        <f>AC9-AB9</f>
        <v>-1.5</v>
      </c>
      <c r="AD10" s="368"/>
    </row>
    <row r="11" spans="3:30">
      <c r="D11" s="42"/>
      <c r="E11" s="42"/>
      <c r="F11" s="42"/>
      <c r="I11" s="205"/>
      <c r="J11" s="42"/>
      <c r="K11" s="42"/>
      <c r="L11" s="42"/>
    </row>
    <row r="12" spans="3:30">
      <c r="D12" s="42"/>
      <c r="E12" s="42"/>
      <c r="F12" s="42"/>
      <c r="I12" s="205"/>
      <c r="J12" s="42"/>
      <c r="K12" s="42"/>
      <c r="L12" s="42"/>
    </row>
    <row r="13" spans="3:30" s="6" customFormat="1">
      <c r="C13" s="375" t="s">
        <v>29</v>
      </c>
      <c r="D13" s="376">
        <v>-2.0000000000000001E-4</v>
      </c>
      <c r="E13" s="367"/>
      <c r="F13" s="367"/>
      <c r="H13" s="375"/>
      <c r="I13" s="375"/>
      <c r="J13" s="375"/>
      <c r="K13" s="375"/>
      <c r="L13" s="375"/>
      <c r="M13" s="375"/>
      <c r="N13" s="375"/>
      <c r="O13" s="382">
        <v>672</v>
      </c>
      <c r="P13" s="382">
        <v>750</v>
      </c>
      <c r="Q13" s="382">
        <v>710</v>
      </c>
      <c r="R13" s="382">
        <v>672</v>
      </c>
      <c r="S13" s="382">
        <v>630</v>
      </c>
      <c r="T13" s="382">
        <v>600</v>
      </c>
      <c r="U13" s="375"/>
      <c r="V13" s="378"/>
      <c r="W13" s="378"/>
      <c r="X13" s="378"/>
      <c r="Y13" s="378"/>
      <c r="Z13" s="378"/>
      <c r="AA13" s="378"/>
      <c r="AB13" s="378"/>
      <c r="AC13" s="378"/>
      <c r="AD13" s="378"/>
    </row>
    <row r="14" spans="3:30" s="6" customFormat="1">
      <c r="C14" s="375"/>
      <c r="D14" s="376"/>
      <c r="E14" s="367"/>
      <c r="F14" s="367"/>
      <c r="H14" s="375"/>
      <c r="I14" s="375"/>
      <c r="J14" s="375"/>
      <c r="K14" s="375"/>
      <c r="L14" s="375"/>
      <c r="M14" s="375"/>
      <c r="N14" s="375"/>
      <c r="O14" s="375"/>
      <c r="P14" s="383">
        <f>P13/$O13-1</f>
        <v>0.1160714285714286</v>
      </c>
      <c r="Q14" s="383">
        <f>Q13/$O13-1</f>
        <v>5.6547619047619069E-2</v>
      </c>
      <c r="R14" s="383">
        <f>R13/$O13-1</f>
        <v>0</v>
      </c>
      <c r="S14" s="383">
        <f>S13/$O13-1</f>
        <v>-6.25E-2</v>
      </c>
      <c r="T14" s="383">
        <f>T13/$O13-1</f>
        <v>-0.1071428571428571</v>
      </c>
      <c r="U14" s="375"/>
      <c r="V14" s="378"/>
      <c r="W14" s="378"/>
      <c r="X14" s="378"/>
      <c r="Y14" s="378"/>
      <c r="Z14" s="378"/>
      <c r="AA14" s="378"/>
      <c r="AB14" s="378"/>
      <c r="AC14" s="378"/>
      <c r="AD14" s="378"/>
    </row>
    <row r="15" spans="3:30" s="6" customFormat="1">
      <c r="C15" s="375"/>
      <c r="D15" s="376"/>
      <c r="E15" s="42"/>
      <c r="F15" s="42"/>
      <c r="G15"/>
      <c r="H15" s="375"/>
      <c r="I15" s="375"/>
      <c r="J15" s="375"/>
      <c r="K15" s="375"/>
      <c r="L15" s="375"/>
      <c r="M15" s="375"/>
      <c r="N15" s="375"/>
      <c r="O15" s="375"/>
      <c r="P15" s="375"/>
      <c r="Q15" s="375"/>
      <c r="R15" s="375"/>
      <c r="S15" s="375"/>
      <c r="T15" s="375"/>
      <c r="U15" s="375"/>
      <c r="V15" s="373"/>
      <c r="W15" s="373"/>
      <c r="X15" s="373"/>
      <c r="Y15" s="373"/>
      <c r="Z15" s="373"/>
      <c r="AA15" s="373"/>
      <c r="AB15" s="373"/>
      <c r="AC15" s="373"/>
      <c r="AD15" s="373"/>
    </row>
    <row r="16" spans="3:30">
      <c r="C16" s="370"/>
      <c r="D16" s="371"/>
      <c r="E16" s="42"/>
      <c r="F16" s="42"/>
      <c r="H16" s="370"/>
      <c r="I16" s="372"/>
      <c r="J16" s="371"/>
      <c r="K16" s="371"/>
      <c r="L16" s="371" t="e">
        <f>L17*Q18/100</f>
        <v>#REF!</v>
      </c>
      <c r="M16" s="370"/>
      <c r="N16" s="370"/>
      <c r="O16" s="370"/>
      <c r="P16" s="370"/>
      <c r="Q16" s="370"/>
      <c r="R16" s="370"/>
      <c r="S16" s="370"/>
      <c r="T16" s="370"/>
      <c r="U16" s="370"/>
      <c r="V16" s="373"/>
      <c r="W16" s="373"/>
      <c r="X16" s="373"/>
      <c r="Y16" s="373"/>
      <c r="Z16" s="373"/>
      <c r="AA16" s="373"/>
      <c r="AB16" s="373"/>
      <c r="AC16" s="373"/>
      <c r="AD16" s="373"/>
    </row>
    <row r="17" spans="3:30">
      <c r="C17" s="370"/>
      <c r="D17" s="371"/>
      <c r="E17" s="42"/>
      <c r="F17" s="42"/>
      <c r="H17" s="375" t="str">
        <f>'Options Price'!B79</f>
        <v>META US 07/17/26 C700</v>
      </c>
      <c r="I17" s="377" t="e">
        <f>Options!#REF!</f>
        <v>#REF!</v>
      </c>
      <c r="J17" s="376" t="e">
        <f>Options!#REF!</f>
        <v>#REF!</v>
      </c>
      <c r="K17" s="376" t="e">
        <f>Options!#REF!</f>
        <v>#REF!</v>
      </c>
      <c r="L17" s="376" t="e">
        <f>Options!#REF!</f>
        <v>#REF!</v>
      </c>
      <c r="M17" s="370"/>
      <c r="N17" s="370" t="s">
        <v>1</v>
      </c>
      <c r="O17" s="370">
        <v>37</v>
      </c>
      <c r="P17" s="370">
        <v>34</v>
      </c>
      <c r="Q17" s="370">
        <v>34</v>
      </c>
      <c r="R17" s="370">
        <v>34</v>
      </c>
      <c r="S17" s="370">
        <v>34</v>
      </c>
      <c r="T17" s="370">
        <v>34</v>
      </c>
      <c r="U17" s="370"/>
      <c r="V17" s="373">
        <v>36.299999999999997</v>
      </c>
      <c r="W17" s="373">
        <v>34.119999999999997</v>
      </c>
      <c r="X17" s="373">
        <v>39.200000000000003</v>
      </c>
      <c r="Y17" s="373">
        <v>37.200000000000003</v>
      </c>
      <c r="Z17" s="373">
        <v>32</v>
      </c>
      <c r="AA17" s="373">
        <v>31.7</v>
      </c>
      <c r="AB17" s="373">
        <v>37</v>
      </c>
      <c r="AC17" s="373">
        <v>38.5</v>
      </c>
      <c r="AD17" s="373">
        <v>36.5</v>
      </c>
    </row>
    <row r="18" spans="3:30">
      <c r="C18" s="370"/>
      <c r="D18" s="371"/>
      <c r="E18" s="42"/>
      <c r="F18" s="42"/>
      <c r="H18" s="370"/>
      <c r="I18" s="372"/>
      <c r="J18" s="371"/>
      <c r="K18" s="371"/>
      <c r="L18" s="371"/>
      <c r="M18" s="370"/>
      <c r="N18" s="370" t="s">
        <v>163</v>
      </c>
      <c r="O18" s="370">
        <v>53</v>
      </c>
      <c r="P18" s="370">
        <v>71</v>
      </c>
      <c r="Q18" s="370">
        <v>62</v>
      </c>
      <c r="R18" s="370">
        <v>52</v>
      </c>
      <c r="S18" s="370">
        <v>52</v>
      </c>
      <c r="T18" s="370">
        <v>34</v>
      </c>
      <c r="U18" s="370"/>
      <c r="V18" s="378"/>
      <c r="W18" s="378">
        <f>W17-V17</f>
        <v>-2.1799999999999997</v>
      </c>
      <c r="X18" s="378"/>
      <c r="Y18" s="378">
        <f>Y17-X17</f>
        <v>-2</v>
      </c>
      <c r="Z18" s="378"/>
      <c r="AA18" s="378">
        <f>AA17-Z17</f>
        <v>-0.30000000000000071</v>
      </c>
      <c r="AB18" s="378"/>
      <c r="AC18" s="378">
        <f>AC17-AB17</f>
        <v>1.5</v>
      </c>
      <c r="AD18" s="378"/>
    </row>
    <row r="19" spans="3:30">
      <c r="C19" s="370"/>
      <c r="D19" s="371"/>
      <c r="E19" s="42"/>
      <c r="F19" s="42"/>
      <c r="H19" s="370"/>
      <c r="I19" s="372"/>
      <c r="J19" s="371"/>
      <c r="K19" s="371"/>
      <c r="L19" s="371"/>
      <c r="M19" s="370"/>
      <c r="N19" s="370" t="s">
        <v>5</v>
      </c>
      <c r="O19" s="370">
        <v>64</v>
      </c>
      <c r="P19" s="370">
        <v>106</v>
      </c>
      <c r="Q19" s="370">
        <v>80</v>
      </c>
      <c r="R19" s="370">
        <v>58</v>
      </c>
      <c r="S19" s="370">
        <v>38</v>
      </c>
      <c r="T19" s="370">
        <v>27</v>
      </c>
      <c r="U19" s="370"/>
      <c r="V19" s="373"/>
      <c r="W19" s="373"/>
      <c r="X19" s="373"/>
      <c r="Y19" s="373"/>
      <c r="Z19" s="373"/>
      <c r="AA19" s="373"/>
      <c r="AB19" s="373"/>
      <c r="AC19" s="373"/>
      <c r="AD19" s="373"/>
    </row>
    <row r="20" spans="3:30">
      <c r="C20" s="370"/>
      <c r="D20" s="371"/>
      <c r="E20" s="42"/>
      <c r="F20" s="42"/>
      <c r="H20" s="370"/>
      <c r="I20" s="372"/>
      <c r="J20" s="371"/>
      <c r="K20" s="371"/>
      <c r="L20" s="371"/>
      <c r="M20" s="370"/>
      <c r="N20" s="370" t="s">
        <v>51</v>
      </c>
      <c r="O20" s="370"/>
      <c r="P20" s="374">
        <f>P19/$O19-1</f>
        <v>0.65625</v>
      </c>
      <c r="Q20" s="374">
        <f>Q19/$O19-1</f>
        <v>0.25</v>
      </c>
      <c r="R20" s="374">
        <f>R19/$O19-1</f>
        <v>-9.375E-2</v>
      </c>
      <c r="S20" s="374">
        <f>S19/$O19-1</f>
        <v>-0.40625</v>
      </c>
      <c r="T20" s="374">
        <f>T19/$O19-1</f>
        <v>-0.578125</v>
      </c>
      <c r="U20" s="370"/>
      <c r="V20" s="373"/>
      <c r="W20" s="373"/>
      <c r="X20" s="373"/>
      <c r="Y20" s="373"/>
      <c r="Z20" s="373"/>
      <c r="AA20" s="373"/>
      <c r="AB20" s="373"/>
      <c r="AC20" s="373"/>
      <c r="AD20" s="373"/>
    </row>
    <row r="21" spans="3:30">
      <c r="C21" s="370"/>
      <c r="D21" s="371"/>
      <c r="E21" s="42"/>
      <c r="F21" s="42"/>
      <c r="H21" s="370"/>
      <c r="I21" s="372"/>
      <c r="J21" s="371"/>
      <c r="K21" s="371"/>
      <c r="L21" s="371"/>
      <c r="M21" s="370"/>
      <c r="N21" s="370" t="s">
        <v>875</v>
      </c>
      <c r="O21" s="370"/>
      <c r="P21" s="372" t="e">
        <f>$I$17*(1+P20)</f>
        <v>#REF!</v>
      </c>
      <c r="Q21" s="372" t="e">
        <f>$I$17*(1+Q20)</f>
        <v>#REF!</v>
      </c>
      <c r="R21" s="372" t="e">
        <f>$I$17*(1+R20)</f>
        <v>#REF!</v>
      </c>
      <c r="S21" s="372" t="e">
        <f>$I$17*(1+S20)</f>
        <v>#REF!</v>
      </c>
      <c r="T21" s="372" t="e">
        <f>$I$17*(1+T20)</f>
        <v>#REF!</v>
      </c>
      <c r="U21" s="370"/>
      <c r="V21" s="373"/>
      <c r="W21" s="373"/>
      <c r="X21" s="373"/>
      <c r="Y21" s="373"/>
      <c r="Z21" s="373"/>
      <c r="AA21" s="373"/>
      <c r="AB21" s="373"/>
      <c r="AC21" s="373"/>
      <c r="AD21" s="373"/>
    </row>
    <row r="22" spans="3:30">
      <c r="C22" s="370"/>
      <c r="D22" s="371"/>
      <c r="E22" s="42"/>
      <c r="F22" s="42"/>
      <c r="H22" s="370"/>
      <c r="I22" s="372"/>
      <c r="J22" s="371"/>
      <c r="K22" s="371"/>
      <c r="L22" s="371"/>
      <c r="M22" s="370"/>
      <c r="N22" s="370" t="s">
        <v>934</v>
      </c>
      <c r="O22" s="370"/>
      <c r="P22" s="372" t="e">
        <f>P21-$I$17</f>
        <v>#REF!</v>
      </c>
      <c r="Q22" s="372" t="e">
        <f>Q21-$I$17</f>
        <v>#REF!</v>
      </c>
      <c r="R22" s="372" t="e">
        <f>R21-$I$17</f>
        <v>#REF!</v>
      </c>
      <c r="S22" s="372" t="e">
        <f>S21-$I$17</f>
        <v>#REF!</v>
      </c>
      <c r="T22" s="372" t="e">
        <f>T21-$I$17</f>
        <v>#REF!</v>
      </c>
      <c r="U22" s="370"/>
      <c r="V22" s="373"/>
      <c r="W22" s="373"/>
      <c r="X22" s="373"/>
      <c r="Y22" s="373"/>
      <c r="Z22" s="373"/>
      <c r="AA22" s="373"/>
      <c r="AB22" s="373"/>
      <c r="AC22" s="373"/>
      <c r="AD22" s="373"/>
    </row>
    <row r="23" spans="3:30" ht="15.75" thickBot="1">
      <c r="C23" s="370"/>
      <c r="D23" s="371"/>
      <c r="E23" s="42"/>
      <c r="F23" s="42"/>
      <c r="H23" s="370"/>
      <c r="I23" s="372"/>
      <c r="J23" s="371"/>
      <c r="K23" s="371"/>
      <c r="L23" s="371"/>
      <c r="M23" s="370"/>
      <c r="N23" s="370"/>
      <c r="O23" s="370"/>
      <c r="P23" s="370"/>
      <c r="Q23" s="370"/>
      <c r="R23" s="370"/>
      <c r="S23" s="370"/>
      <c r="T23" s="370"/>
      <c r="U23" s="370"/>
      <c r="V23" s="373"/>
      <c r="W23" s="373"/>
      <c r="X23" s="373"/>
      <c r="Y23" s="373"/>
      <c r="Z23" s="373"/>
      <c r="AA23" s="373"/>
      <c r="AB23" s="373"/>
      <c r="AC23" s="373"/>
      <c r="AD23" s="373"/>
    </row>
    <row r="24" spans="3:30" ht="15.75" thickBot="1">
      <c r="C24" s="370"/>
      <c r="D24" s="371"/>
      <c r="E24" s="42"/>
      <c r="F24" s="42"/>
      <c r="H24" s="380" t="s">
        <v>163</v>
      </c>
      <c r="I24" s="381" t="e">
        <f>K17*10000</f>
        <v>#REF!</v>
      </c>
      <c r="J24" s="371"/>
      <c r="K24" s="371"/>
      <c r="L24" s="371"/>
      <c r="M24" s="370"/>
      <c r="N24" s="370"/>
      <c r="O24" s="370"/>
      <c r="P24" s="379" t="e">
        <f>P22/$I$24</f>
        <v>#REF!</v>
      </c>
      <c r="Q24" s="379" t="e">
        <f>Q22/$I$24</f>
        <v>#REF!</v>
      </c>
      <c r="R24" s="379" t="e">
        <f>R22/$I$24</f>
        <v>#REF!</v>
      </c>
      <c r="S24" s="379" t="e">
        <f>S22/$I$24</f>
        <v>#REF!</v>
      </c>
      <c r="T24" s="379" t="e">
        <f>T22/$I$24</f>
        <v>#REF!</v>
      </c>
      <c r="U24" s="370"/>
      <c r="V24" s="373"/>
      <c r="W24" s="373"/>
      <c r="X24" s="373"/>
      <c r="Y24" s="373"/>
      <c r="Z24" s="373"/>
      <c r="AA24" s="373"/>
      <c r="AB24" s="373"/>
      <c r="AC24" s="373"/>
      <c r="AD24" s="373"/>
    </row>
    <row r="25" spans="3:30">
      <c r="D25" s="42"/>
      <c r="E25" s="42"/>
      <c r="F25" s="42"/>
      <c r="H25" s="370"/>
      <c r="I25" s="372"/>
      <c r="J25" s="371"/>
      <c r="K25" s="371"/>
      <c r="L25" s="371"/>
      <c r="M25" s="370"/>
      <c r="N25" s="370"/>
      <c r="O25" s="370"/>
      <c r="P25" s="370"/>
      <c r="Q25" s="370"/>
      <c r="R25" s="370"/>
      <c r="S25" s="370"/>
      <c r="T25" s="370"/>
      <c r="U25" s="370"/>
      <c r="V25" s="373"/>
      <c r="W25" s="373"/>
      <c r="X25" s="373"/>
      <c r="Y25" s="373"/>
      <c r="Z25" s="373"/>
      <c r="AA25" s="373"/>
      <c r="AB25" s="373"/>
      <c r="AC25" s="373"/>
      <c r="AD25" s="373"/>
    </row>
    <row r="26" spans="3:30">
      <c r="D26" s="42"/>
      <c r="E26" s="42"/>
      <c r="F26" s="42"/>
      <c r="H26" s="370"/>
      <c r="I26" s="372"/>
      <c r="J26" s="371"/>
      <c r="K26" s="371"/>
      <c r="L26" s="371" t="e">
        <f>L27*Q28/100</f>
        <v>#REF!</v>
      </c>
      <c r="M26" s="370"/>
      <c r="N26" s="370"/>
      <c r="O26" s="370"/>
      <c r="P26" s="370"/>
      <c r="Q26" s="370"/>
      <c r="R26" s="370"/>
      <c r="S26" s="370"/>
      <c r="T26" s="370"/>
      <c r="U26" s="370"/>
      <c r="V26" s="373"/>
      <c r="W26" s="373"/>
      <c r="X26" s="373"/>
      <c r="Y26" s="373"/>
      <c r="Z26" s="373"/>
      <c r="AA26" s="373"/>
      <c r="AB26" s="373"/>
      <c r="AC26" s="373"/>
      <c r="AD26" s="373"/>
    </row>
    <row r="27" spans="3:30">
      <c r="D27" s="42"/>
      <c r="E27" s="42"/>
      <c r="F27" s="42"/>
      <c r="H27" s="375" t="e">
        <f>Options!#REF!</f>
        <v>#REF!</v>
      </c>
      <c r="I27" s="377" t="e">
        <f>Options!#REF!</f>
        <v>#REF!</v>
      </c>
      <c r="J27" s="376" t="e">
        <f>Options!#REF!</f>
        <v>#REF!</v>
      </c>
      <c r="K27" s="376" t="e">
        <f>Options!#REF!</f>
        <v>#REF!</v>
      </c>
      <c r="L27" s="376" t="e">
        <f>Options!#REF!</f>
        <v>#REF!</v>
      </c>
      <c r="M27" s="370"/>
      <c r="N27" s="370" t="s">
        <v>1</v>
      </c>
      <c r="O27" s="370">
        <v>37</v>
      </c>
      <c r="P27" s="370">
        <v>32.5</v>
      </c>
      <c r="Q27" s="370">
        <v>32.5</v>
      </c>
      <c r="R27" s="370">
        <v>32.5</v>
      </c>
      <c r="S27" s="370">
        <v>32.5</v>
      </c>
      <c r="T27" s="370">
        <v>32.5</v>
      </c>
      <c r="U27" s="370"/>
      <c r="V27" s="373">
        <v>37.5</v>
      </c>
      <c r="W27" s="373">
        <v>33.200000000000003</v>
      </c>
      <c r="X27" s="373">
        <v>40.299999999999997</v>
      </c>
      <c r="Y27" s="373">
        <v>36.700000000000003</v>
      </c>
      <c r="Z27" s="373">
        <v>32</v>
      </c>
      <c r="AA27" s="373">
        <v>30</v>
      </c>
      <c r="AB27" s="373">
        <v>37.1</v>
      </c>
      <c r="AC27" s="373">
        <v>37.4</v>
      </c>
      <c r="AD27" s="373">
        <v>36.799999999999997</v>
      </c>
    </row>
    <row r="28" spans="3:30">
      <c r="D28" s="42"/>
      <c r="E28" s="42"/>
      <c r="F28" s="42"/>
      <c r="H28" s="370"/>
      <c r="I28" s="372"/>
      <c r="J28" s="371"/>
      <c r="K28" s="371"/>
      <c r="L28" s="371"/>
      <c r="M28" s="370"/>
      <c r="N28" s="370" t="s">
        <v>163</v>
      </c>
      <c r="O28" s="370">
        <v>48</v>
      </c>
      <c r="P28" s="370">
        <v>75</v>
      </c>
      <c r="Q28" s="370">
        <v>62</v>
      </c>
      <c r="R28" s="370">
        <v>48</v>
      </c>
      <c r="S28" s="370">
        <v>31</v>
      </c>
      <c r="T28" s="370">
        <v>21</v>
      </c>
      <c r="U28" s="370"/>
      <c r="V28" s="378"/>
      <c r="W28" s="378">
        <f>W27-V27</f>
        <v>-4.2999999999999972</v>
      </c>
      <c r="X28" s="378"/>
      <c r="Y28" s="378">
        <f>Y27-X27</f>
        <v>-3.5999999999999943</v>
      </c>
      <c r="Z28" s="378"/>
      <c r="AA28" s="378">
        <f>AA27-Z27</f>
        <v>-2</v>
      </c>
      <c r="AB28" s="378"/>
      <c r="AC28" s="378">
        <f>AC27-AB27</f>
        <v>0.29999999999999716</v>
      </c>
      <c r="AD28" s="378"/>
    </row>
    <row r="29" spans="3:30">
      <c r="D29" s="42"/>
      <c r="E29" s="42"/>
      <c r="F29" s="42"/>
      <c r="H29" s="370"/>
      <c r="I29" s="372"/>
      <c r="J29" s="371"/>
      <c r="K29" s="371"/>
      <c r="L29" s="371"/>
      <c r="M29" s="370"/>
      <c r="N29" s="370" t="s">
        <v>5</v>
      </c>
      <c r="O29" s="370">
        <v>40</v>
      </c>
      <c r="P29" s="370">
        <v>82.9</v>
      </c>
      <c r="Q29" s="370">
        <v>55</v>
      </c>
      <c r="R29" s="370">
        <v>34</v>
      </c>
      <c r="S29" s="370">
        <v>18</v>
      </c>
      <c r="T29" s="370">
        <v>10</v>
      </c>
      <c r="U29" s="370"/>
      <c r="V29" s="373"/>
      <c r="W29" s="373"/>
      <c r="X29" s="373"/>
      <c r="Y29" s="373"/>
      <c r="Z29" s="373"/>
      <c r="AA29" s="373"/>
      <c r="AB29" s="373"/>
      <c r="AC29" s="373"/>
      <c r="AD29" s="373"/>
    </row>
    <row r="30" spans="3:30">
      <c r="D30" s="42"/>
      <c r="E30" s="42"/>
      <c r="F30" s="42"/>
      <c r="H30" s="370"/>
      <c r="I30" s="372"/>
      <c r="J30" s="371"/>
      <c r="K30" s="371"/>
      <c r="L30" s="371"/>
      <c r="M30" s="370"/>
      <c r="N30" s="370" t="s">
        <v>51</v>
      </c>
      <c r="O30" s="370"/>
      <c r="P30" s="374">
        <f>P29/$O29-1</f>
        <v>1.0725000000000002</v>
      </c>
      <c r="Q30" s="374">
        <f>Q29/$O29-1</f>
        <v>0.375</v>
      </c>
      <c r="R30" s="374">
        <f>R29/$O29-1</f>
        <v>-0.15000000000000002</v>
      </c>
      <c r="S30" s="374">
        <f>S29/$O29-1</f>
        <v>-0.55000000000000004</v>
      </c>
      <c r="T30" s="374">
        <f>T29/$O29-1</f>
        <v>-0.75</v>
      </c>
      <c r="U30" s="370"/>
      <c r="V30" s="373"/>
      <c r="W30" s="373"/>
      <c r="X30" s="373"/>
      <c r="Y30" s="373"/>
      <c r="Z30" s="373"/>
      <c r="AA30" s="373"/>
      <c r="AB30" s="373"/>
      <c r="AC30" s="373"/>
      <c r="AD30" s="373"/>
    </row>
    <row r="31" spans="3:30">
      <c r="D31" s="42"/>
      <c r="E31" s="42"/>
      <c r="F31" s="42"/>
      <c r="H31" s="370"/>
      <c r="I31" s="372"/>
      <c r="J31" s="371"/>
      <c r="K31" s="371"/>
      <c r="L31" s="371"/>
      <c r="M31" s="370"/>
      <c r="N31" s="370" t="s">
        <v>875</v>
      </c>
      <c r="O31" s="370"/>
      <c r="P31" s="372" t="e">
        <f>$I$27*(1+P30)</f>
        <v>#REF!</v>
      </c>
      <c r="Q31" s="372" t="e">
        <f>$I$27*(1+Q30)</f>
        <v>#REF!</v>
      </c>
      <c r="R31" s="372" t="e">
        <f>$I$27*(1+R30)</f>
        <v>#REF!</v>
      </c>
      <c r="S31" s="372" t="e">
        <f>$I$27*(1+S30)</f>
        <v>#REF!</v>
      </c>
      <c r="T31" s="372" t="e">
        <f>$I$27*(1+T30)</f>
        <v>#REF!</v>
      </c>
      <c r="U31" s="370"/>
      <c r="V31" s="373"/>
      <c r="W31" s="373"/>
      <c r="X31" s="373"/>
      <c r="Y31" s="373"/>
      <c r="Z31" s="373"/>
      <c r="AA31" s="373"/>
      <c r="AB31" s="373"/>
      <c r="AC31" s="373"/>
      <c r="AD31" s="373"/>
    </row>
    <row r="32" spans="3:30">
      <c r="D32" s="42"/>
      <c r="E32" s="42"/>
      <c r="F32" s="42"/>
      <c r="H32" s="370"/>
      <c r="I32" s="372"/>
      <c r="J32" s="371"/>
      <c r="K32" s="371"/>
      <c r="L32" s="371"/>
      <c r="M32" s="370"/>
      <c r="N32" s="370" t="s">
        <v>934</v>
      </c>
      <c r="O32" s="370"/>
      <c r="P32" s="372" t="e">
        <f>P31-$I$27</f>
        <v>#REF!</v>
      </c>
      <c r="Q32" s="372" t="e">
        <f>Q31-$I$27</f>
        <v>#REF!</v>
      </c>
      <c r="R32" s="372" t="e">
        <f>R31-$I$27</f>
        <v>#REF!</v>
      </c>
      <c r="S32" s="372" t="e">
        <f>S31-$I$27</f>
        <v>#REF!</v>
      </c>
      <c r="T32" s="372" t="e">
        <f>T31-$I$27</f>
        <v>#REF!</v>
      </c>
      <c r="U32" s="370"/>
      <c r="V32" s="373"/>
      <c r="W32" s="373"/>
      <c r="X32" s="373"/>
      <c r="Y32" s="373"/>
      <c r="Z32" s="373"/>
      <c r="AA32" s="373"/>
      <c r="AB32" s="373"/>
      <c r="AC32" s="373"/>
      <c r="AD32" s="373"/>
    </row>
    <row r="33" spans="3:30" ht="15.75" thickBot="1">
      <c r="D33" s="42"/>
      <c r="E33" s="42"/>
      <c r="F33" s="42"/>
      <c r="H33" s="370"/>
      <c r="I33" s="372"/>
      <c r="J33" s="371"/>
      <c r="K33" s="371"/>
      <c r="L33" s="371"/>
      <c r="M33" s="370"/>
      <c r="N33" s="370"/>
      <c r="O33" s="370"/>
      <c r="P33" s="370"/>
      <c r="Q33" s="370"/>
      <c r="R33" s="370"/>
      <c r="S33" s="370"/>
      <c r="T33" s="370"/>
      <c r="U33" s="370"/>
      <c r="V33" s="373"/>
      <c r="W33" s="373"/>
      <c r="X33" s="373"/>
      <c r="Y33" s="373"/>
      <c r="Z33" s="373"/>
      <c r="AA33" s="373"/>
      <c r="AB33" s="373"/>
      <c r="AC33" s="373"/>
      <c r="AD33" s="373"/>
    </row>
    <row r="34" spans="3:30" ht="15.75" thickBot="1">
      <c r="D34" s="42"/>
      <c r="E34" s="42"/>
      <c r="F34" s="42"/>
      <c r="H34" s="380" t="s">
        <v>163</v>
      </c>
      <c r="I34" s="381" t="e">
        <f>K27*10000</f>
        <v>#REF!</v>
      </c>
      <c r="J34" s="371"/>
      <c r="K34" s="371"/>
      <c r="L34" s="371"/>
      <c r="M34" s="370"/>
      <c r="N34" s="370"/>
      <c r="O34" s="370"/>
      <c r="P34" s="379" t="e">
        <f>P32/$I$34</f>
        <v>#REF!</v>
      </c>
      <c r="Q34" s="379" t="e">
        <f>Q32/$I$34</f>
        <v>#REF!</v>
      </c>
      <c r="R34" s="379" t="e">
        <f>R32/$I$34</f>
        <v>#REF!</v>
      </c>
      <c r="S34" s="379" t="e">
        <f>S32/$I$34</f>
        <v>#REF!</v>
      </c>
      <c r="T34" s="379" t="e">
        <f>T32/$I$34</f>
        <v>#REF!</v>
      </c>
      <c r="U34" s="370"/>
      <c r="V34" s="373"/>
      <c r="W34" s="373"/>
      <c r="X34" s="373"/>
      <c r="Y34" s="373"/>
      <c r="Z34" s="373"/>
      <c r="AA34" s="373"/>
      <c r="AB34" s="373"/>
      <c r="AC34" s="373"/>
      <c r="AD34" s="373"/>
    </row>
    <row r="35" spans="3:30" ht="15.75" thickBot="1">
      <c r="D35" s="42"/>
      <c r="E35" s="42"/>
      <c r="F35" s="42"/>
      <c r="H35" s="370"/>
      <c r="I35" s="370"/>
      <c r="J35" s="370"/>
      <c r="K35" s="370"/>
      <c r="L35" s="370"/>
      <c r="M35" s="370"/>
      <c r="N35" s="370"/>
      <c r="O35" s="370"/>
      <c r="P35" s="370"/>
      <c r="Q35" s="370"/>
      <c r="R35" s="370"/>
      <c r="S35" s="370"/>
      <c r="T35" s="370"/>
      <c r="U35" s="370"/>
      <c r="V35" s="373"/>
      <c r="W35" s="373"/>
      <c r="X35" s="373"/>
      <c r="Y35" s="373"/>
      <c r="Z35" s="373"/>
      <c r="AA35" s="373"/>
      <c r="AB35" s="373"/>
      <c r="AC35" s="373"/>
      <c r="AD35" s="373"/>
    </row>
    <row r="36" spans="3:30" s="6" customFormat="1" ht="15.75" thickBot="1">
      <c r="D36" s="367"/>
      <c r="E36" s="367"/>
      <c r="F36" s="367"/>
      <c r="H36" s="375"/>
      <c r="I36" s="377"/>
      <c r="J36" s="376"/>
      <c r="K36" s="376"/>
      <c r="L36" s="376"/>
      <c r="M36" s="375"/>
      <c r="N36" s="384" t="s">
        <v>936</v>
      </c>
      <c r="O36" s="385"/>
      <c r="P36" s="386" t="e">
        <f>P22+P32</f>
        <v>#REF!</v>
      </c>
      <c r="Q36" s="386" t="e">
        <f>Q22+Q32</f>
        <v>#REF!</v>
      </c>
      <c r="R36" s="386" t="e">
        <f>R22+R32</f>
        <v>#REF!</v>
      </c>
      <c r="S36" s="386" t="e">
        <f>S22+S32</f>
        <v>#REF!</v>
      </c>
      <c r="T36" s="387" t="e">
        <f>T22+T32</f>
        <v>#REF!</v>
      </c>
      <c r="U36" s="375"/>
      <c r="V36" s="378"/>
      <c r="W36" s="378"/>
      <c r="X36" s="378"/>
      <c r="Y36" s="378"/>
      <c r="Z36" s="378"/>
      <c r="AA36" s="378"/>
      <c r="AB36" s="378"/>
      <c r="AC36" s="378"/>
      <c r="AD36" s="378"/>
    </row>
    <row r="37" spans="3:30">
      <c r="D37" s="42"/>
      <c r="E37" s="42"/>
      <c r="F37" s="42"/>
      <c r="H37" s="370"/>
      <c r="I37" s="377"/>
      <c r="J37" s="376"/>
      <c r="K37" s="376"/>
      <c r="L37" s="376"/>
      <c r="M37" s="370"/>
      <c r="N37" s="370"/>
      <c r="O37" s="370"/>
      <c r="P37" s="370"/>
      <c r="Q37" s="370"/>
      <c r="R37" s="370"/>
      <c r="S37" s="370"/>
      <c r="T37" s="370"/>
      <c r="U37" s="370"/>
      <c r="V37" s="373"/>
      <c r="W37" s="373"/>
      <c r="X37" s="373"/>
      <c r="Y37" s="373"/>
      <c r="Z37" s="373"/>
      <c r="AA37" s="373"/>
      <c r="AB37" s="373"/>
      <c r="AC37" s="373"/>
      <c r="AD37" s="373"/>
    </row>
    <row r="38" spans="3:30">
      <c r="D38" s="42"/>
      <c r="E38" s="42"/>
      <c r="F38" s="42"/>
      <c r="I38" s="205"/>
      <c r="J38" s="42"/>
      <c r="K38" s="42"/>
      <c r="L38" s="42"/>
    </row>
    <row r="39" spans="3:30">
      <c r="D39" s="42"/>
      <c r="E39" s="42"/>
      <c r="F39" s="42"/>
      <c r="H39" s="58"/>
      <c r="I39" s="265"/>
      <c r="J39" s="388"/>
      <c r="K39" s="388"/>
      <c r="L39" s="388"/>
      <c r="M39" s="58"/>
      <c r="N39" s="58"/>
      <c r="O39" s="135">
        <v>481</v>
      </c>
      <c r="P39" s="135">
        <v>515</v>
      </c>
      <c r="Q39" s="135">
        <v>505</v>
      </c>
      <c r="R39" s="135">
        <v>481</v>
      </c>
      <c r="S39" s="135">
        <v>455</v>
      </c>
      <c r="T39" s="135">
        <v>445</v>
      </c>
      <c r="U39" s="58"/>
      <c r="V39" s="351"/>
      <c r="W39" s="351"/>
      <c r="X39" s="351"/>
      <c r="Y39" s="351"/>
      <c r="Z39" s="351"/>
      <c r="AA39" s="351"/>
      <c r="AB39" s="351"/>
      <c r="AC39" s="351"/>
      <c r="AD39" s="351"/>
    </row>
    <row r="40" spans="3:30">
      <c r="D40" s="42"/>
      <c r="E40" s="42"/>
      <c r="F40" s="42"/>
      <c r="H40" s="58"/>
      <c r="I40" s="265"/>
      <c r="J40" s="388"/>
      <c r="K40" s="388"/>
      <c r="L40" s="388"/>
      <c r="M40" s="58"/>
      <c r="N40" s="58"/>
      <c r="O40" s="92"/>
      <c r="P40" s="389">
        <f>P39/$O39-1</f>
        <v>7.0686070686070579E-2</v>
      </c>
      <c r="Q40" s="389">
        <f>Q39/$O39-1</f>
        <v>4.9896049896049899E-2</v>
      </c>
      <c r="R40" s="389">
        <f>R39/$O39-1</f>
        <v>0</v>
      </c>
      <c r="S40" s="389">
        <f>S39/$O39-1</f>
        <v>-5.4054054054054057E-2</v>
      </c>
      <c r="T40" s="389">
        <f>T39/$O39-1</f>
        <v>-7.4844074844074848E-2</v>
      </c>
      <c r="U40" s="58"/>
      <c r="V40" s="351"/>
      <c r="W40" s="351"/>
      <c r="X40" s="351"/>
      <c r="Y40" s="351"/>
      <c r="Z40" s="351"/>
      <c r="AA40" s="351"/>
      <c r="AB40" s="351"/>
      <c r="AC40" s="351"/>
      <c r="AD40" s="351"/>
    </row>
    <row r="41" spans="3:30">
      <c r="D41" s="42"/>
      <c r="E41" s="42"/>
      <c r="F41" s="42"/>
      <c r="H41" s="58"/>
      <c r="I41" s="265"/>
      <c r="J41" s="388"/>
      <c r="K41" s="388"/>
      <c r="L41" s="388" t="e">
        <f>L42*T43/100</f>
        <v>#REF!</v>
      </c>
      <c r="M41" s="58"/>
      <c r="N41" s="58"/>
      <c r="O41" s="58"/>
      <c r="P41" s="58"/>
      <c r="Q41" s="58"/>
      <c r="R41" s="58"/>
      <c r="S41" s="58"/>
      <c r="T41" s="58"/>
      <c r="U41" s="58"/>
      <c r="V41" s="351"/>
      <c r="W41" s="351"/>
      <c r="X41" s="351"/>
      <c r="Y41" s="351"/>
      <c r="Z41" s="351"/>
      <c r="AA41" s="351"/>
      <c r="AB41" s="351"/>
      <c r="AC41" s="351"/>
      <c r="AD41" s="351"/>
    </row>
    <row r="42" spans="3:30">
      <c r="D42" s="42"/>
      <c r="E42" s="42"/>
      <c r="F42" s="42"/>
      <c r="H42" s="58" t="e">
        <f>Options!#REF!</f>
        <v>#REF!</v>
      </c>
      <c r="I42" s="265" t="e">
        <f>Options!#REF!</f>
        <v>#REF!</v>
      </c>
      <c r="J42" s="388" t="e">
        <f>Options!#REF!</f>
        <v>#REF!</v>
      </c>
      <c r="K42" s="388" t="e">
        <f>Options!#REF!</f>
        <v>#REF!</v>
      </c>
      <c r="L42" s="388" t="e">
        <f>Options!#REF!</f>
        <v>#REF!</v>
      </c>
      <c r="M42" s="58"/>
      <c r="N42" s="58" t="s">
        <v>1</v>
      </c>
      <c r="O42" s="58">
        <v>28</v>
      </c>
      <c r="P42" s="58">
        <v>25</v>
      </c>
      <c r="Q42" s="58">
        <v>25</v>
      </c>
      <c r="R42" s="58">
        <v>25</v>
      </c>
      <c r="S42" s="58">
        <v>25</v>
      </c>
      <c r="T42" s="58">
        <v>25</v>
      </c>
      <c r="U42" s="58"/>
      <c r="V42" s="351">
        <v>23.2</v>
      </c>
      <c r="W42" s="351">
        <v>22.9</v>
      </c>
      <c r="X42" s="351">
        <v>27.1</v>
      </c>
      <c r="Y42" s="351">
        <v>24.8</v>
      </c>
      <c r="Z42" s="351">
        <v>21.5</v>
      </c>
      <c r="AA42" s="351">
        <v>22</v>
      </c>
      <c r="AB42" s="351">
        <v>26.4</v>
      </c>
      <c r="AC42" s="351">
        <v>26.5</v>
      </c>
      <c r="AD42" s="351">
        <v>27.5</v>
      </c>
    </row>
    <row r="43" spans="3:30">
      <c r="D43" s="42"/>
      <c r="E43" s="42"/>
      <c r="F43" s="42"/>
      <c r="H43" s="58"/>
      <c r="I43" s="390"/>
      <c r="J43" s="391"/>
      <c r="K43" s="391"/>
      <c r="L43" s="391"/>
      <c r="M43" s="58"/>
      <c r="N43" s="58" t="s">
        <v>163</v>
      </c>
      <c r="O43" s="58">
        <v>48</v>
      </c>
      <c r="P43" s="58">
        <v>63</v>
      </c>
      <c r="Q43" s="58">
        <v>59</v>
      </c>
      <c r="R43" s="58">
        <v>47</v>
      </c>
      <c r="S43" s="58">
        <v>35</v>
      </c>
      <c r="T43" s="58">
        <v>30</v>
      </c>
      <c r="U43" s="58"/>
      <c r="V43" s="392"/>
      <c r="W43" s="392">
        <f>W42-V42</f>
        <v>-0.30000000000000071</v>
      </c>
      <c r="X43" s="392"/>
      <c r="Y43" s="392">
        <f>Y42-X42</f>
        <v>-2.3000000000000007</v>
      </c>
      <c r="Z43" s="392"/>
      <c r="AA43" s="392">
        <f>AA42-Z42</f>
        <v>0.5</v>
      </c>
      <c r="AB43" s="392"/>
      <c r="AC43" s="392">
        <f>AC42-AB42</f>
        <v>0.10000000000000142</v>
      </c>
      <c r="AD43" s="392"/>
    </row>
    <row r="44" spans="3:30">
      <c r="D44" s="42"/>
      <c r="E44" s="42"/>
      <c r="F44" s="42"/>
      <c r="H44" s="58"/>
      <c r="I44" s="265"/>
      <c r="J44" s="388"/>
      <c r="K44" s="388"/>
      <c r="L44" s="388"/>
      <c r="M44" s="58"/>
      <c r="N44" s="58" t="s">
        <v>5</v>
      </c>
      <c r="O44" s="58">
        <v>31</v>
      </c>
      <c r="P44" s="58">
        <v>46</v>
      </c>
      <c r="Q44" s="58">
        <v>40</v>
      </c>
      <c r="R44" s="58">
        <v>27</v>
      </c>
      <c r="S44" s="58">
        <v>16</v>
      </c>
      <c r="T44" s="58">
        <v>13</v>
      </c>
      <c r="U44" s="58"/>
      <c r="V44" s="351"/>
      <c r="W44" s="351"/>
      <c r="X44" s="351"/>
      <c r="Y44" s="351"/>
      <c r="Z44" s="351"/>
      <c r="AA44" s="351"/>
      <c r="AB44" s="351"/>
      <c r="AC44" s="351"/>
      <c r="AD44" s="351"/>
    </row>
    <row r="45" spans="3:30">
      <c r="D45" s="42"/>
      <c r="E45" s="42"/>
      <c r="F45" s="42"/>
      <c r="H45" s="58"/>
      <c r="I45" s="265"/>
      <c r="J45" s="388"/>
      <c r="K45" s="388"/>
      <c r="L45" s="388"/>
      <c r="M45" s="58"/>
      <c r="N45" s="58" t="s">
        <v>51</v>
      </c>
      <c r="O45" s="58"/>
      <c r="P45" s="350">
        <f>P44/$O44-1</f>
        <v>0.4838709677419355</v>
      </c>
      <c r="Q45" s="350">
        <f>Q44/$O44-1</f>
        <v>0.29032258064516125</v>
      </c>
      <c r="R45" s="350">
        <f>R44/$O44-1</f>
        <v>-0.12903225806451613</v>
      </c>
      <c r="S45" s="350">
        <f>S44/$O44-1</f>
        <v>-0.4838709677419355</v>
      </c>
      <c r="T45" s="350">
        <f>T44/$O44-1</f>
        <v>-0.58064516129032251</v>
      </c>
      <c r="U45" s="58"/>
      <c r="V45" s="351"/>
      <c r="W45" s="351"/>
      <c r="X45" s="351"/>
      <c r="Y45" s="351"/>
      <c r="Z45" s="351"/>
      <c r="AA45" s="351"/>
      <c r="AB45" s="351"/>
      <c r="AC45" s="351"/>
      <c r="AD45" s="351"/>
    </row>
    <row r="46" spans="3:30">
      <c r="C46" t="s">
        <v>27</v>
      </c>
      <c r="D46" s="42"/>
      <c r="E46" s="42"/>
      <c r="F46" s="42"/>
      <c r="H46" s="58"/>
      <c r="I46" s="58"/>
      <c r="J46" s="58"/>
      <c r="K46" s="58"/>
      <c r="L46" s="58"/>
      <c r="M46" s="58"/>
      <c r="N46" s="58" t="s">
        <v>875</v>
      </c>
      <c r="O46" s="58"/>
      <c r="P46" s="265" t="e">
        <f>$I$42*(1+P45)</f>
        <v>#REF!</v>
      </c>
      <c r="Q46" s="265" t="e">
        <f>$I$42*(1+Q45)</f>
        <v>#REF!</v>
      </c>
      <c r="R46" s="265" t="e">
        <f>$I$42*(1+R45)</f>
        <v>#REF!</v>
      </c>
      <c r="S46" s="265" t="e">
        <f>$I$42*(1+S45)</f>
        <v>#REF!</v>
      </c>
      <c r="T46" s="265" t="e">
        <f>$I$42*(1+T45)</f>
        <v>#REF!</v>
      </c>
      <c r="U46" s="58"/>
      <c r="V46" s="351"/>
      <c r="W46" s="351"/>
      <c r="X46" s="351"/>
      <c r="Y46" s="351"/>
      <c r="Z46" s="351"/>
      <c r="AA46" s="351"/>
      <c r="AB46" s="351"/>
      <c r="AC46" s="351"/>
      <c r="AD46" s="351"/>
    </row>
    <row r="47" spans="3:30">
      <c r="D47" s="42"/>
      <c r="E47" s="42"/>
      <c r="F47" s="42"/>
      <c r="H47" s="58"/>
      <c r="I47" s="58"/>
      <c r="J47" s="58"/>
      <c r="K47" s="58"/>
      <c r="L47" s="58"/>
      <c r="M47" s="58"/>
      <c r="N47" s="58" t="s">
        <v>934</v>
      </c>
      <c r="O47" s="58"/>
      <c r="P47" s="265" t="e">
        <f>P46-$I$42</f>
        <v>#REF!</v>
      </c>
      <c r="Q47" s="265" t="e">
        <f>Q46-$I$42</f>
        <v>#REF!</v>
      </c>
      <c r="R47" s="265" t="e">
        <f>R46-$I$42</f>
        <v>#REF!</v>
      </c>
      <c r="S47" s="265" t="e">
        <f>S46-$I$42</f>
        <v>#REF!</v>
      </c>
      <c r="T47" s="265" t="e">
        <f>T46-$I$42</f>
        <v>#REF!</v>
      </c>
      <c r="U47" s="58"/>
      <c r="V47" s="351"/>
      <c r="W47" s="351"/>
      <c r="X47" s="351"/>
      <c r="Y47" s="351"/>
      <c r="Z47" s="351"/>
      <c r="AA47" s="351"/>
      <c r="AB47" s="351"/>
      <c r="AC47" s="351"/>
      <c r="AD47" s="351"/>
    </row>
    <row r="48" spans="3:30"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392"/>
      <c r="W48" s="392"/>
      <c r="X48" s="392"/>
      <c r="Y48" s="392"/>
      <c r="Z48" s="392"/>
      <c r="AA48" s="392"/>
      <c r="AB48" s="392"/>
      <c r="AC48" s="392"/>
      <c r="AD48" s="392"/>
    </row>
    <row r="49" spans="8:30">
      <c r="H49" s="58"/>
      <c r="I49" s="58"/>
      <c r="J49" s="58"/>
      <c r="K49" s="58"/>
      <c r="L49" s="58"/>
      <c r="M49" s="58"/>
      <c r="N49" s="58"/>
      <c r="O49" s="58"/>
      <c r="P49" s="349" t="e">
        <f>P47/$I$42</f>
        <v>#REF!</v>
      </c>
      <c r="Q49" s="349" t="e">
        <f>Q47/$I$42</f>
        <v>#REF!</v>
      </c>
      <c r="R49" s="349" t="e">
        <f>R47/$I$42</f>
        <v>#REF!</v>
      </c>
      <c r="S49" s="349" t="e">
        <f>S47/$I$42</f>
        <v>#REF!</v>
      </c>
      <c r="T49" s="349" t="e">
        <f>T47/$I$42</f>
        <v>#REF!</v>
      </c>
      <c r="U49" s="58"/>
      <c r="V49" s="351"/>
      <c r="W49" s="351"/>
      <c r="X49" s="351"/>
      <c r="Y49" s="351"/>
      <c r="Z49" s="351"/>
      <c r="AA49" s="351"/>
      <c r="AB49" s="351"/>
      <c r="AC49" s="351"/>
      <c r="AD49" s="351"/>
    </row>
    <row r="50" spans="8:30" ht="15.75" thickBot="1"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351"/>
      <c r="W50" s="351"/>
      <c r="X50" s="351"/>
      <c r="Y50" s="351"/>
      <c r="Z50" s="351"/>
      <c r="AA50" s="351"/>
      <c r="AB50" s="351"/>
      <c r="AC50" s="351"/>
      <c r="AD50" s="351"/>
    </row>
    <row r="51" spans="8:30" ht="15.75" thickBot="1">
      <c r="H51" s="58"/>
      <c r="I51" s="58"/>
      <c r="J51" s="58"/>
      <c r="K51" s="58"/>
      <c r="L51" s="58"/>
      <c r="M51" s="58"/>
      <c r="N51" s="393" t="s">
        <v>936</v>
      </c>
      <c r="O51" s="394"/>
      <c r="P51" s="395" t="e">
        <f>P47</f>
        <v>#REF!</v>
      </c>
      <c r="Q51" s="395" t="e">
        <f>Q47</f>
        <v>#REF!</v>
      </c>
      <c r="R51" s="395" t="e">
        <f>R47</f>
        <v>#REF!</v>
      </c>
      <c r="S51" s="395" t="e">
        <f>S47</f>
        <v>#REF!</v>
      </c>
      <c r="T51" s="395" t="e">
        <f>T47</f>
        <v>#REF!</v>
      </c>
      <c r="U51" s="58"/>
      <c r="V51" s="351"/>
      <c r="W51" s="351"/>
      <c r="X51" s="351"/>
      <c r="Y51" s="351"/>
      <c r="Z51" s="351"/>
      <c r="AA51" s="351"/>
      <c r="AB51" s="351"/>
      <c r="AC51" s="351"/>
      <c r="AD51" s="351"/>
    </row>
    <row r="54" spans="8:30">
      <c r="H54">
        <v>2.2000000000000002</v>
      </c>
    </row>
    <row r="55" spans="8:30">
      <c r="H55">
        <v>1.8</v>
      </c>
    </row>
    <row r="57" spans="8:30">
      <c r="I57" t="s">
        <v>961</v>
      </c>
    </row>
    <row r="58" spans="8:30">
      <c r="H58" t="s">
        <v>960</v>
      </c>
      <c r="I58" s="42">
        <f>24500/25000-1</f>
        <v>-2.0000000000000018E-2</v>
      </c>
    </row>
    <row r="59" spans="8:30">
      <c r="H59" s="42">
        <v>0.02</v>
      </c>
      <c r="I59" s="205">
        <f>H59*$I$58*10000</f>
        <v>-4.0000000000000036</v>
      </c>
      <c r="J59">
        <f>-2*1.2</f>
        <v>-2.4</v>
      </c>
      <c r="K59">
        <f>-1*1.2</f>
        <v>-1.2</v>
      </c>
    </row>
    <row r="60" spans="8:30">
      <c r="H60" s="42">
        <v>1.8499999999999999E-2</v>
      </c>
      <c r="I60" s="205">
        <f>H60*$I$58*10000</f>
        <v>-3.7000000000000033</v>
      </c>
    </row>
    <row r="61" spans="8:30">
      <c r="H61" s="42">
        <v>1.4999999999999999E-2</v>
      </c>
      <c r="I61" s="205">
        <f>H61*$I$58*10000</f>
        <v>-3.0000000000000027</v>
      </c>
    </row>
    <row r="63" spans="8:30">
      <c r="I63" s="205"/>
      <c r="J63" s="42"/>
      <c r="K63" s="42"/>
      <c r="L63" s="42"/>
    </row>
    <row r="64" spans="8:30">
      <c r="I64" t="s">
        <v>961</v>
      </c>
      <c r="J64" s="42"/>
      <c r="K64" s="42"/>
      <c r="L64" s="42"/>
    </row>
    <row r="65" spans="8:9">
      <c r="H65" t="s">
        <v>960</v>
      </c>
      <c r="I65" s="42">
        <v>0.01</v>
      </c>
    </row>
    <row r="66" spans="8:9">
      <c r="H66" s="42">
        <v>-0.01</v>
      </c>
      <c r="I66" s="205">
        <f>H66*$I$65*10000</f>
        <v>-1</v>
      </c>
    </row>
    <row r="67" spans="8:9">
      <c r="H67" s="42"/>
      <c r="I67" s="205"/>
    </row>
    <row r="68" spans="8:9">
      <c r="H68" s="42"/>
      <c r="I68" s="205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EC10D-1B78-44B9-9C10-24EA408886CF}">
  <sheetPr codeName="Sheet8"/>
  <dimension ref="D3:O15"/>
  <sheetViews>
    <sheetView workbookViewId="0">
      <selection activeCell="S11" sqref="S11"/>
    </sheetView>
  </sheetViews>
  <sheetFormatPr defaultRowHeight="15"/>
  <cols>
    <col min="4" max="4" width="22.28515625" customWidth="1"/>
    <col min="5" max="5" width="10.42578125" style="79" bestFit="1" customWidth="1"/>
    <col min="8" max="8" width="2.140625" customWidth="1"/>
    <col min="12" max="12" width="2.28515625" customWidth="1"/>
    <col min="13" max="13" width="6.85546875" bestFit="1" customWidth="1"/>
  </cols>
  <sheetData>
    <row r="3" spans="4:15" s="6" customFormat="1">
      <c r="E3" s="316"/>
      <c r="F3" s="6" t="s">
        <v>642</v>
      </c>
      <c r="K3" s="6" t="s">
        <v>643</v>
      </c>
      <c r="M3" s="6" t="s">
        <v>644</v>
      </c>
    </row>
    <row r="4" spans="4:15">
      <c r="D4" s="6" t="s">
        <v>631</v>
      </c>
      <c r="E4" s="316" t="s">
        <v>632</v>
      </c>
      <c r="F4" s="6" t="s">
        <v>636</v>
      </c>
      <c r="G4" s="6" t="s">
        <v>637</v>
      </c>
      <c r="H4" s="6"/>
      <c r="I4" s="6" t="s">
        <v>624</v>
      </c>
      <c r="J4" s="6" t="s">
        <v>633</v>
      </c>
      <c r="K4" s="6" t="s">
        <v>637</v>
      </c>
      <c r="L4" s="6"/>
      <c r="M4" s="6" t="s">
        <v>634</v>
      </c>
    </row>
    <row r="5" spans="4:15">
      <c r="D5" t="s">
        <v>630</v>
      </c>
      <c r="E5" s="79">
        <v>45960</v>
      </c>
      <c r="F5" s="196">
        <v>140</v>
      </c>
      <c r="G5" s="196" t="s">
        <v>641</v>
      </c>
      <c r="H5" s="196"/>
      <c r="I5" s="196">
        <v>44</v>
      </c>
      <c r="J5" s="196">
        <v>12.5</v>
      </c>
      <c r="K5" s="196">
        <f>I5-J5</f>
        <v>31.5</v>
      </c>
      <c r="L5" s="196"/>
      <c r="M5" s="208">
        <f>F5/K5</f>
        <v>4.4444444444444446</v>
      </c>
      <c r="N5" s="196"/>
      <c r="O5" s="196"/>
    </row>
    <row r="6" spans="4:15">
      <c r="D6" t="s">
        <v>640</v>
      </c>
      <c r="E6" s="79">
        <v>45960</v>
      </c>
      <c r="F6" s="196">
        <v>65</v>
      </c>
      <c r="G6" s="196">
        <v>32</v>
      </c>
      <c r="H6" s="196"/>
      <c r="I6" s="196">
        <v>26</v>
      </c>
      <c r="J6" s="196">
        <v>5</v>
      </c>
      <c r="K6" s="196">
        <f>I6-J6</f>
        <v>21</v>
      </c>
      <c r="L6" s="196"/>
      <c r="M6" s="208">
        <f>F6/K6</f>
        <v>3.0952380952380953</v>
      </c>
      <c r="N6" s="196"/>
      <c r="O6" s="196"/>
    </row>
    <row r="7" spans="4:15">
      <c r="F7" s="196"/>
      <c r="G7" s="196"/>
      <c r="H7" s="196"/>
      <c r="I7" s="196"/>
      <c r="J7" s="196"/>
      <c r="K7" s="196"/>
      <c r="L7" s="196"/>
      <c r="M7" s="208"/>
      <c r="N7" s="196"/>
      <c r="O7" s="196"/>
    </row>
    <row r="8" spans="4:15">
      <c r="D8" t="s">
        <v>635</v>
      </c>
      <c r="E8" s="79">
        <v>45959</v>
      </c>
      <c r="F8" s="196">
        <v>95</v>
      </c>
      <c r="G8" s="196">
        <v>44</v>
      </c>
      <c r="H8" s="196"/>
      <c r="I8" s="196">
        <v>41</v>
      </c>
      <c r="J8" s="196">
        <v>12.5</v>
      </c>
      <c r="K8" s="196">
        <f>I8-J8</f>
        <v>28.5</v>
      </c>
      <c r="L8" s="196"/>
      <c r="M8" s="208">
        <f>F8/K8</f>
        <v>3.3333333333333335</v>
      </c>
      <c r="N8" s="196"/>
      <c r="O8" s="196"/>
    </row>
    <row r="9" spans="4:15">
      <c r="D9" t="s">
        <v>638</v>
      </c>
      <c r="E9" s="79">
        <v>45959</v>
      </c>
      <c r="F9" s="196">
        <v>95</v>
      </c>
      <c r="G9" s="196">
        <v>75</v>
      </c>
      <c r="H9" s="196"/>
      <c r="I9" s="196">
        <v>42</v>
      </c>
      <c r="J9" s="196">
        <v>12.5</v>
      </c>
      <c r="K9" s="196">
        <f>I9-J9</f>
        <v>29.5</v>
      </c>
      <c r="L9" s="196"/>
      <c r="M9" s="208">
        <f>F9/K9</f>
        <v>3.2203389830508473</v>
      </c>
      <c r="N9" s="196"/>
      <c r="O9" s="196"/>
    </row>
    <row r="10" spans="4:15">
      <c r="D10" t="s">
        <v>639</v>
      </c>
      <c r="E10" s="79">
        <v>45959</v>
      </c>
      <c r="F10" s="196">
        <v>72</v>
      </c>
      <c r="G10" s="196">
        <v>30</v>
      </c>
      <c r="H10" s="196"/>
      <c r="I10" s="196">
        <v>30</v>
      </c>
      <c r="J10" s="196">
        <v>7.5</v>
      </c>
      <c r="K10" s="196">
        <f>I10-J10</f>
        <v>22.5</v>
      </c>
      <c r="L10" s="196"/>
      <c r="M10" s="208">
        <f>F10/K10</f>
        <v>3.2</v>
      </c>
      <c r="N10" s="196"/>
      <c r="O10" s="196"/>
    </row>
    <row r="11" spans="4:15">
      <c r="F11" s="196"/>
      <c r="G11" s="196"/>
      <c r="H11" s="196"/>
      <c r="I11" s="196"/>
      <c r="J11" s="196"/>
      <c r="K11" s="196"/>
      <c r="L11" s="196"/>
      <c r="M11" s="208"/>
      <c r="N11" s="196"/>
      <c r="O11" s="196"/>
    </row>
    <row r="12" spans="4:15">
      <c r="F12" s="196"/>
      <c r="G12" s="196"/>
      <c r="H12" s="196"/>
      <c r="I12" s="196"/>
      <c r="J12" s="196"/>
      <c r="K12" s="196"/>
      <c r="L12" s="196"/>
      <c r="M12" s="208"/>
      <c r="N12" s="196"/>
      <c r="O12" s="196"/>
    </row>
    <row r="13" spans="4:15">
      <c r="F13" s="196"/>
      <c r="G13" s="196"/>
      <c r="H13" s="196"/>
      <c r="I13" s="196"/>
      <c r="J13" s="196"/>
      <c r="K13" s="196"/>
      <c r="L13" s="196"/>
      <c r="M13" s="208"/>
      <c r="N13" s="196"/>
      <c r="O13" s="196"/>
    </row>
    <row r="14" spans="4:15">
      <c r="F14" s="196"/>
      <c r="G14" s="196"/>
      <c r="H14" s="196"/>
      <c r="I14" s="196"/>
      <c r="J14" s="196"/>
      <c r="K14" s="196"/>
      <c r="L14" s="196"/>
      <c r="M14" s="208"/>
      <c r="N14" s="196"/>
      <c r="O14" s="196"/>
    </row>
    <row r="15" spans="4:15">
      <c r="F15" s="196"/>
      <c r="G15" s="196"/>
      <c r="H15" s="196"/>
      <c r="I15" s="196"/>
      <c r="J15" s="196"/>
      <c r="K15" s="196"/>
      <c r="L15" s="196"/>
      <c r="M15" s="196"/>
      <c r="N15" s="196"/>
      <c r="O15" s="19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3412E-8215-4EDB-B9B2-639C78438178}">
  <sheetPr codeName="Sheet9"/>
  <dimension ref="B5:AB10"/>
  <sheetViews>
    <sheetView workbookViewId="0">
      <selection activeCell="O37" sqref="O37"/>
    </sheetView>
  </sheetViews>
  <sheetFormatPr defaultRowHeight="15"/>
  <cols>
    <col min="1" max="1" width="2.28515625" customWidth="1"/>
    <col min="2" max="2" width="4.7109375" customWidth="1"/>
    <col min="6" max="8" width="9.140625" customWidth="1"/>
    <col min="10" max="10" width="4.7109375" customWidth="1"/>
    <col min="19" max="19" width="4.140625" customWidth="1"/>
    <col min="20" max="20" width="4.7109375" customWidth="1"/>
  </cols>
  <sheetData>
    <row r="5" spans="2:28">
      <c r="C5" s="6" t="s">
        <v>29</v>
      </c>
      <c r="F5" s="6"/>
      <c r="K5" s="6" t="s">
        <v>38</v>
      </c>
      <c r="N5" s="6"/>
      <c r="P5" s="6"/>
      <c r="U5" s="6" t="s">
        <v>229</v>
      </c>
      <c r="X5" s="6"/>
      <c r="Z5" s="6"/>
    </row>
    <row r="6" spans="2:28" s="10" customFormat="1" ht="30.75" thickBot="1">
      <c r="B6" s="56"/>
      <c r="C6" s="56"/>
      <c r="D6" s="56" t="s">
        <v>625</v>
      </c>
      <c r="E6" s="314" t="s">
        <v>627</v>
      </c>
      <c r="F6" s="56" t="s">
        <v>626</v>
      </c>
      <c r="G6" s="314" t="s">
        <v>627</v>
      </c>
      <c r="H6" s="314" t="s">
        <v>628</v>
      </c>
      <c r="J6" s="56"/>
      <c r="K6" s="56"/>
      <c r="L6" s="56" t="s">
        <v>625</v>
      </c>
      <c r="M6" s="314" t="s">
        <v>627</v>
      </c>
      <c r="N6" s="56" t="s">
        <v>626</v>
      </c>
      <c r="O6" s="314" t="s">
        <v>627</v>
      </c>
      <c r="P6" s="56" t="s">
        <v>629</v>
      </c>
      <c r="Q6" s="314" t="s">
        <v>627</v>
      </c>
      <c r="R6" s="314" t="s">
        <v>628</v>
      </c>
      <c r="T6" s="56"/>
      <c r="U6" s="56"/>
      <c r="V6" s="56" t="s">
        <v>625</v>
      </c>
      <c r="W6" s="314" t="s">
        <v>627</v>
      </c>
      <c r="X6" s="56" t="s">
        <v>626</v>
      </c>
      <c r="Y6" s="314" t="s">
        <v>627</v>
      </c>
      <c r="Z6" s="56" t="s">
        <v>629</v>
      </c>
      <c r="AA6" s="314" t="s">
        <v>627</v>
      </c>
      <c r="AB6" s="314" t="s">
        <v>628</v>
      </c>
    </row>
    <row r="7" spans="2:28">
      <c r="B7" t="s">
        <v>623</v>
      </c>
      <c r="C7" s="312">
        <v>45658</v>
      </c>
      <c r="D7">
        <v>30</v>
      </c>
      <c r="E7" s="313">
        <f>D7/15.9</f>
        <v>1.8867924528301887</v>
      </c>
      <c r="F7">
        <v>45</v>
      </c>
      <c r="G7" s="313">
        <f>F7/15.9</f>
        <v>2.8301886792452828</v>
      </c>
      <c r="H7" s="315">
        <v>1.55</v>
      </c>
      <c r="J7" t="s">
        <v>623</v>
      </c>
      <c r="K7" s="312">
        <v>45658</v>
      </c>
      <c r="L7">
        <v>31.5</v>
      </c>
      <c r="M7" s="313">
        <f>L7/15.9</f>
        <v>1.9811320754716981</v>
      </c>
      <c r="N7">
        <v>23</v>
      </c>
      <c r="O7" s="313">
        <f>N7/15.9</f>
        <v>1.4465408805031446</v>
      </c>
      <c r="P7">
        <v>43</v>
      </c>
      <c r="Q7" s="313">
        <f>P7/15.9</f>
        <v>2.7044025157232703</v>
      </c>
      <c r="R7" s="315">
        <v>-6.2</v>
      </c>
      <c r="T7" t="s">
        <v>623</v>
      </c>
      <c r="U7" s="312">
        <v>45658</v>
      </c>
      <c r="V7">
        <v>31.5</v>
      </c>
      <c r="W7" s="313">
        <f>V7/15.9</f>
        <v>1.9811320754716981</v>
      </c>
      <c r="X7">
        <v>23</v>
      </c>
      <c r="Y7" s="313">
        <f>X7/15.9</f>
        <v>1.4465408805031446</v>
      </c>
      <c r="Z7">
        <v>43</v>
      </c>
      <c r="AA7" s="313">
        <f>Z7/15.9</f>
        <v>2.7044025157232703</v>
      </c>
      <c r="AB7" s="315">
        <v>-6.2</v>
      </c>
    </row>
    <row r="8" spans="2:28">
      <c r="B8" t="s">
        <v>620</v>
      </c>
      <c r="C8" s="312">
        <v>45748</v>
      </c>
      <c r="D8">
        <v>67</v>
      </c>
      <c r="E8" s="313">
        <f>D8/15.9</f>
        <v>4.2138364779874209</v>
      </c>
      <c r="F8">
        <v>47</v>
      </c>
      <c r="G8" s="313">
        <f>F8/15.9</f>
        <v>2.9559748427672954</v>
      </c>
      <c r="H8" s="315">
        <v>4.2300000000000004</v>
      </c>
      <c r="J8" t="s">
        <v>620</v>
      </c>
      <c r="K8" s="312">
        <v>45748</v>
      </c>
      <c r="L8">
        <v>41.2</v>
      </c>
      <c r="M8" s="313">
        <f>L8/15.9</f>
        <v>2.5911949685534594</v>
      </c>
      <c r="N8">
        <v>32</v>
      </c>
      <c r="O8" s="313">
        <f t="shared" ref="O8:Q10" si="0">N8/15.9</f>
        <v>2.0125786163522013</v>
      </c>
      <c r="P8">
        <v>32</v>
      </c>
      <c r="Q8" s="313">
        <f t="shared" si="0"/>
        <v>2.0125786163522013</v>
      </c>
      <c r="R8" s="315">
        <v>7.6</v>
      </c>
      <c r="T8" t="s">
        <v>620</v>
      </c>
      <c r="U8" s="312">
        <v>45748</v>
      </c>
      <c r="V8">
        <v>41.2</v>
      </c>
      <c r="W8" s="313">
        <f>V8/15.9</f>
        <v>2.5911949685534594</v>
      </c>
      <c r="X8">
        <v>32</v>
      </c>
      <c r="Y8" s="313">
        <f>X8/15.9</f>
        <v>2.0125786163522013</v>
      </c>
      <c r="Z8">
        <v>32</v>
      </c>
      <c r="AA8" s="313">
        <f>Z8/15.9</f>
        <v>2.0125786163522013</v>
      </c>
      <c r="AB8" s="315">
        <v>7.6</v>
      </c>
    </row>
    <row r="9" spans="2:28">
      <c r="B9" t="s">
        <v>621</v>
      </c>
      <c r="C9" s="312">
        <v>45839</v>
      </c>
      <c r="D9">
        <v>21</v>
      </c>
      <c r="E9" s="313">
        <f>D9/15.9</f>
        <v>1.320754716981132</v>
      </c>
      <c r="F9">
        <v>36</v>
      </c>
      <c r="G9" s="313">
        <f>F9/15.9</f>
        <v>2.2641509433962264</v>
      </c>
      <c r="H9" s="315">
        <v>11.25</v>
      </c>
      <c r="J9" t="s">
        <v>621</v>
      </c>
      <c r="K9" s="312">
        <v>45839</v>
      </c>
      <c r="L9">
        <v>11.5</v>
      </c>
      <c r="M9" s="313">
        <f>L9/15.9</f>
        <v>0.72327044025157228</v>
      </c>
      <c r="N9">
        <v>23</v>
      </c>
      <c r="O9" s="313">
        <f t="shared" si="0"/>
        <v>1.4465408805031446</v>
      </c>
      <c r="P9">
        <v>23</v>
      </c>
      <c r="Q9" s="313">
        <f t="shared" si="0"/>
        <v>1.4465408805031446</v>
      </c>
      <c r="R9" s="315">
        <v>3.95</v>
      </c>
      <c r="T9" t="s">
        <v>621</v>
      </c>
      <c r="U9" s="312">
        <v>45839</v>
      </c>
      <c r="V9">
        <v>11.5</v>
      </c>
      <c r="W9" s="313">
        <f>V9/15.9</f>
        <v>0.72327044025157228</v>
      </c>
      <c r="X9">
        <v>23</v>
      </c>
      <c r="Y9" s="313">
        <f>X9/15.9</f>
        <v>1.4465408805031446</v>
      </c>
      <c r="Z9">
        <v>23</v>
      </c>
      <c r="AA9" s="313">
        <f>Z9/15.9</f>
        <v>1.4465408805031446</v>
      </c>
      <c r="AB9" s="315">
        <v>3.95</v>
      </c>
    </row>
    <row r="10" spans="2:28">
      <c r="B10" t="s">
        <v>622</v>
      </c>
      <c r="C10" s="312">
        <v>45931</v>
      </c>
      <c r="D10">
        <v>23</v>
      </c>
      <c r="E10" s="313">
        <f>D10/15.9</f>
        <v>1.4465408805031446</v>
      </c>
      <c r="F10">
        <v>41</v>
      </c>
      <c r="G10" s="313">
        <f>F10/15.9</f>
        <v>2.5786163522012577</v>
      </c>
      <c r="H10" s="315">
        <v>-11.33</v>
      </c>
      <c r="J10" t="s">
        <v>622</v>
      </c>
      <c r="K10" s="312">
        <v>45931</v>
      </c>
      <c r="L10">
        <v>15.1</v>
      </c>
      <c r="M10" s="313">
        <f>L10/15.9</f>
        <v>0.94968553459119498</v>
      </c>
      <c r="N10">
        <v>30</v>
      </c>
      <c r="O10" s="313">
        <f t="shared" si="0"/>
        <v>1.8867924528301887</v>
      </c>
      <c r="P10">
        <v>30</v>
      </c>
      <c r="Q10" s="313">
        <f t="shared" si="0"/>
        <v>1.8867924528301887</v>
      </c>
      <c r="R10" s="315">
        <v>-2.9</v>
      </c>
      <c r="T10" t="s">
        <v>622</v>
      </c>
      <c r="U10" s="312">
        <v>45931</v>
      </c>
      <c r="V10">
        <v>15.1</v>
      </c>
      <c r="W10" s="313">
        <f>V10/15.9</f>
        <v>0.94968553459119498</v>
      </c>
      <c r="X10">
        <v>30</v>
      </c>
      <c r="Y10" s="313">
        <f>X10/15.9</f>
        <v>1.8867924528301887</v>
      </c>
      <c r="Z10">
        <v>30</v>
      </c>
      <c r="AA10" s="313">
        <f>Z10/15.9</f>
        <v>1.8867924528301887</v>
      </c>
      <c r="AB10" s="315">
        <v>-2.9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9CD7B-4F91-4E33-AC0A-D010510B0492}">
  <sheetPr codeName="Planilha3">
    <pageSetUpPr fitToPage="1"/>
  </sheetPr>
  <dimension ref="A1:AI135"/>
  <sheetViews>
    <sheetView tabSelected="1" topLeftCell="A12" zoomScale="70" zoomScaleNormal="70" zoomScaleSheetLayoutView="85" workbookViewId="0">
      <selection activeCell="G24" sqref="G24"/>
    </sheetView>
  </sheetViews>
  <sheetFormatPr defaultColWidth="9.140625" defaultRowHeight="15.75" outlineLevelCol="1"/>
  <cols>
    <col min="1" max="1" width="18.85546875" style="210" bestFit="1" customWidth="1"/>
    <col min="2" max="2" width="9.85546875" style="211" bestFit="1" customWidth="1" outlineLevel="1"/>
    <col min="3" max="5" width="9.28515625" style="212" customWidth="1" outlineLevel="1"/>
    <col min="6" max="6" width="8.42578125" style="212" bestFit="1" customWidth="1"/>
    <col min="7" max="7" width="11.7109375" style="212" customWidth="1"/>
    <col min="8" max="8" width="9.28515625" style="212" customWidth="1" outlineLevel="1"/>
    <col min="9" max="9" width="10.140625" style="219" customWidth="1"/>
    <col min="10" max="10" width="10.140625" style="214" customWidth="1"/>
    <col min="11" max="12" width="9.140625" style="214"/>
    <col min="13" max="13" width="14.7109375" style="214" bestFit="1" customWidth="1"/>
    <col min="14" max="18" width="9.140625" style="214"/>
    <col min="19" max="21" width="11.85546875" style="214" customWidth="1"/>
    <col min="22" max="24" width="7.7109375" style="215" customWidth="1"/>
    <col min="25" max="25" width="2.5703125" style="215" customWidth="1"/>
    <col min="26" max="26" width="9.28515625" style="215" bestFit="1" customWidth="1"/>
    <col min="27" max="28" width="7.7109375" style="216" customWidth="1"/>
    <col min="29" max="29" width="7.7109375" style="214" customWidth="1"/>
    <col min="30" max="35" width="9.140625" style="214"/>
    <col min="36" max="36" width="9.28515625" style="214" bestFit="1" customWidth="1"/>
    <col min="37" max="38" width="9.140625" style="214"/>
    <col min="39" max="39" width="9.28515625" style="214" bestFit="1" customWidth="1"/>
    <col min="40" max="16384" width="9.140625" style="214"/>
  </cols>
  <sheetData>
    <row r="1" spans="1:28">
      <c r="I1" s="213"/>
      <c r="J1" s="214" t="str" cm="1">
        <f t="array" ref="J1">_xll.BDP(A1&amp;" Equity","PX_YEST_CLOSE")</f>
        <v>#N/A Invalid Security</v>
      </c>
    </row>
    <row r="2" spans="1:28">
      <c r="A2" s="217"/>
      <c r="C2" s="218"/>
    </row>
    <row r="3" spans="1:28" ht="16.5" thickBot="1">
      <c r="A3" s="220"/>
      <c r="B3" s="221"/>
      <c r="C3" s="222" t="s">
        <v>10</v>
      </c>
      <c r="D3" s="223"/>
      <c r="E3" s="222"/>
      <c r="F3" s="222" t="s">
        <v>11</v>
      </c>
      <c r="G3" s="224"/>
      <c r="H3" s="222"/>
    </row>
    <row r="4" spans="1:28">
      <c r="A4" s="225" t="s">
        <v>12</v>
      </c>
      <c r="C4" s="226">
        <f>'Master P&amp;L'!V5</f>
        <v>-1.8031478852829805</v>
      </c>
      <c r="F4" s="212">
        <f>'Master P&amp;L'!U5</f>
        <v>2.7899055910288417E-2</v>
      </c>
    </row>
    <row r="5" spans="1:28">
      <c r="A5" s="225" t="s">
        <v>13</v>
      </c>
      <c r="C5" s="226">
        <f>'Master P&amp;L'!V6</f>
        <v>-0.49875428705466368</v>
      </c>
      <c r="F5" s="212">
        <f>'Master P&amp;L'!U6</f>
        <v>-1.7726934810759605E-2</v>
      </c>
    </row>
    <row r="6" spans="1:28" s="232" customFormat="1">
      <c r="A6" s="227" t="s">
        <v>14</v>
      </c>
      <c r="B6" s="228"/>
      <c r="C6" s="229">
        <f>'Master P&amp;L'!V7</f>
        <v>-2.3019021723376443</v>
      </c>
      <c r="D6" s="230"/>
      <c r="E6" s="230"/>
      <c r="F6" s="230">
        <f>'Master P&amp;L'!U7</f>
        <v>1.0172121099528812E-2</v>
      </c>
      <c r="G6" s="230"/>
      <c r="H6" s="230"/>
      <c r="I6" s="231"/>
      <c r="V6" s="233"/>
      <c r="W6" s="233"/>
      <c r="X6" s="233"/>
      <c r="Y6" s="233"/>
      <c r="Z6" s="233"/>
      <c r="AA6" s="216"/>
      <c r="AB6" s="216"/>
    </row>
    <row r="7" spans="1:28">
      <c r="A7" s="225" t="s">
        <v>15</v>
      </c>
      <c r="F7" s="212">
        <f>'Master P&amp;L'!U8</f>
        <v>4.5625990721048018E-2</v>
      </c>
    </row>
    <row r="8" spans="1:28">
      <c r="A8" s="234" t="s">
        <v>16</v>
      </c>
      <c r="B8" s="235"/>
      <c r="C8" s="236">
        <f>'Master P&amp;L'!V7*'Master P&amp;L'!AD5/10000</f>
        <v>-545679.82656260184</v>
      </c>
      <c r="D8" s="218"/>
      <c r="E8" s="218"/>
      <c r="F8" s="218"/>
      <c r="G8" s="218"/>
      <c r="H8" s="218"/>
    </row>
    <row r="9" spans="1:28" ht="16.5" thickBot="1">
      <c r="A9" s="237" t="s">
        <v>17</v>
      </c>
      <c r="B9" s="238"/>
      <c r="C9" s="239">
        <f>C8*'Master P&amp;L'!AC3</f>
        <v>-2850031.1661538132</v>
      </c>
      <c r="D9" s="240"/>
      <c r="E9" s="240"/>
      <c r="F9" s="240"/>
      <c r="G9" s="241"/>
      <c r="H9" s="240"/>
    </row>
    <row r="10" spans="1:28">
      <c r="A10" s="354" t="s">
        <v>785</v>
      </c>
      <c r="B10" s="357">
        <f>Options!AI1</f>
        <v>-19.770613674474308</v>
      </c>
      <c r="H10" s="219"/>
    </row>
    <row r="11" spans="1:28">
      <c r="A11" s="242">
        <f ca="1">TODAY()</f>
        <v>46066</v>
      </c>
      <c r="H11" s="219"/>
      <c r="L11" s="212"/>
    </row>
    <row r="12" spans="1:28" s="292" customFormat="1" ht="47.25">
      <c r="A12" s="607" t="s">
        <v>20</v>
      </c>
      <c r="B12" s="600" t="s">
        <v>21</v>
      </c>
      <c r="C12" s="606" t="s">
        <v>22</v>
      </c>
      <c r="D12" s="606" t="s">
        <v>23</v>
      </c>
      <c r="E12" s="606" t="s">
        <v>24</v>
      </c>
      <c r="F12" s="606" t="s">
        <v>25</v>
      </c>
      <c r="G12" s="291"/>
      <c r="H12" s="293"/>
      <c r="I12" s="293"/>
      <c r="L12" s="243"/>
      <c r="AA12" s="294"/>
      <c r="AB12" s="294"/>
    </row>
    <row r="13" spans="1:28">
      <c r="A13" s="601" t="s">
        <v>572</v>
      </c>
      <c r="B13" s="602">
        <v>-1.097995196509823E-2</v>
      </c>
      <c r="C13" s="605">
        <v>-7.3678067442489753E-2</v>
      </c>
      <c r="D13" s="603">
        <v>6.0455706147990887E-4</v>
      </c>
      <c r="E13" s="603">
        <v>3.6047108149684325E-4</v>
      </c>
      <c r="F13" s="603">
        <v>9.6502814297675223E-4</v>
      </c>
      <c r="G13" s="244"/>
      <c r="H13" s="219"/>
      <c r="L13" s="244"/>
    </row>
    <row r="14" spans="1:28">
      <c r="A14" s="604" t="s">
        <v>7</v>
      </c>
      <c r="B14" s="602">
        <v>-4.1395623891188338E-3</v>
      </c>
      <c r="C14" s="605">
        <v>-5.5459591601422619E-3</v>
      </c>
      <c r="D14" s="603">
        <v>1.3341993179542187E-4</v>
      </c>
      <c r="E14" s="603">
        <v>3.6047108149684325E-4</v>
      </c>
      <c r="F14" s="603">
        <v>4.9389101329226517E-4</v>
      </c>
      <c r="G14" s="244"/>
      <c r="H14" s="219"/>
      <c r="I14" s="213"/>
      <c r="L14" s="244"/>
    </row>
    <row r="15" spans="1:28">
      <c r="A15" s="604" t="s">
        <v>800</v>
      </c>
      <c r="B15" s="602">
        <v>-9.9002746061569447E-3</v>
      </c>
      <c r="C15" s="605">
        <v>-2.4422027301626438E-2</v>
      </c>
      <c r="D15" s="603">
        <v>2.4423809931356407E-4</v>
      </c>
      <c r="E15" s="603">
        <v>0</v>
      </c>
      <c r="F15" s="603">
        <v>2.4423809931356407E-4</v>
      </c>
      <c r="G15" s="244"/>
      <c r="H15" s="219"/>
      <c r="I15" s="213"/>
      <c r="L15" s="244"/>
    </row>
    <row r="16" spans="1:28">
      <c r="A16" s="604" t="s">
        <v>334</v>
      </c>
      <c r="B16" s="602">
        <v>-1.8900018900018911E-2</v>
      </c>
      <c r="C16" s="605">
        <v>-4.3710080980721051E-2</v>
      </c>
      <c r="D16" s="603">
        <v>2.2689903037092295E-4</v>
      </c>
      <c r="E16" s="603">
        <v>0</v>
      </c>
      <c r="F16" s="603">
        <v>2.2689903037092295E-4</v>
      </c>
      <c r="G16" s="244"/>
      <c r="H16" s="219"/>
      <c r="I16" s="213"/>
      <c r="L16" s="244"/>
    </row>
    <row r="17" spans="1:12">
      <c r="A17" s="601" t="s">
        <v>26</v>
      </c>
      <c r="B17" s="602">
        <v>2.2877805060960523E-3</v>
      </c>
      <c r="C17" s="605">
        <v>-0.46132476713883874</v>
      </c>
      <c r="D17" s="603">
        <v>-1.2761895754889809E-2</v>
      </c>
      <c r="E17" s="603">
        <v>-4.0460921605935847E-3</v>
      </c>
      <c r="F17" s="603">
        <v>-1.6807987915483394E-2</v>
      </c>
      <c r="G17" s="244"/>
      <c r="H17" s="219"/>
      <c r="I17" s="213"/>
      <c r="L17" s="244"/>
    </row>
    <row r="18" spans="1:12">
      <c r="A18" s="604" t="s">
        <v>82</v>
      </c>
      <c r="B18" s="602">
        <v>2.1310602024506853E-3</v>
      </c>
      <c r="C18" s="605">
        <v>-3.5256454660904282E-2</v>
      </c>
      <c r="D18" s="603">
        <v>0</v>
      </c>
      <c r="E18" s="603">
        <v>-4.0460921605935847E-3</v>
      </c>
      <c r="F18" s="603">
        <v>-4.0460921605935847E-3</v>
      </c>
      <c r="G18" s="244"/>
      <c r="H18" s="219"/>
      <c r="I18" s="213"/>
      <c r="L18" s="244"/>
    </row>
    <row r="19" spans="1:12">
      <c r="A19" s="604" t="s">
        <v>573</v>
      </c>
      <c r="B19" s="602">
        <v>2.3661406579187361E-3</v>
      </c>
      <c r="C19" s="605">
        <v>-0.42606831247793447</v>
      </c>
      <c r="D19" s="603">
        <v>-1.2761895754889809E-2</v>
      </c>
      <c r="E19" s="603"/>
      <c r="F19" s="603">
        <v>-1.2761895754889809E-2</v>
      </c>
      <c r="G19" s="244"/>
      <c r="H19" s="219"/>
      <c r="I19" s="213"/>
      <c r="L19" s="244"/>
    </row>
    <row r="20" spans="1:12">
      <c r="A20" s="601" t="s">
        <v>797</v>
      </c>
      <c r="B20" s="602">
        <v>3.8632632040532279E-2</v>
      </c>
      <c r="C20" s="605">
        <v>0.48784510808869785</v>
      </c>
      <c r="D20" s="603">
        <v>6.1387487500165678E-4</v>
      </c>
      <c r="E20" s="603">
        <v>0</v>
      </c>
      <c r="F20" s="603">
        <v>6.1387487500165678E-4</v>
      </c>
      <c r="G20" s="244"/>
      <c r="H20" s="219"/>
      <c r="L20" s="244"/>
    </row>
    <row r="21" spans="1:12">
      <c r="A21" s="604" t="s">
        <v>78</v>
      </c>
      <c r="B21" s="602">
        <v>3.8632632040532279E-2</v>
      </c>
      <c r="C21" s="605">
        <v>0.48784510808869785</v>
      </c>
      <c r="D21" s="603">
        <v>6.1387487500165678E-4</v>
      </c>
      <c r="E21" s="603">
        <v>0</v>
      </c>
      <c r="F21" s="603">
        <v>6.1387487500165678E-4</v>
      </c>
      <c r="G21" s="244"/>
      <c r="H21" s="219"/>
      <c r="I21" s="213"/>
      <c r="L21" s="244"/>
    </row>
    <row r="22" spans="1:12">
      <c r="A22" s="601" t="s">
        <v>545</v>
      </c>
      <c r="B22" s="602">
        <v>-5.5663909522127358E-3</v>
      </c>
      <c r="C22" s="605">
        <v>-1.9700035255305859</v>
      </c>
      <c r="D22" s="603">
        <v>5.4471946177886213E-3</v>
      </c>
      <c r="E22" s="603">
        <v>7.9590366732168825E-3</v>
      </c>
      <c r="F22" s="603">
        <v>1.3406231291005506E-2</v>
      </c>
      <c r="G22" s="244"/>
      <c r="H22" s="219"/>
      <c r="L22" s="244"/>
    </row>
    <row r="23" spans="1:12">
      <c r="A23" s="604" t="s">
        <v>42</v>
      </c>
      <c r="B23" s="602">
        <v>-1.2709175313026178E-2</v>
      </c>
      <c r="C23" s="605">
        <v>-1.2862493511955677</v>
      </c>
      <c r="D23" s="603">
        <v>4.0532546259894131E-3</v>
      </c>
      <c r="E23" s="603">
        <v>1.4257337776678025E-3</v>
      </c>
      <c r="F23" s="603">
        <v>5.4789884036572159E-3</v>
      </c>
      <c r="G23" s="244"/>
      <c r="H23" s="219"/>
      <c r="J23" s="244"/>
      <c r="L23" s="244"/>
    </row>
    <row r="24" spans="1:12">
      <c r="A24" s="604" t="s">
        <v>44</v>
      </c>
      <c r="B24" s="602">
        <v>-3.6295177504754861E-3</v>
      </c>
      <c r="C24" s="605">
        <v>-0.15221756422878582</v>
      </c>
      <c r="D24" s="603">
        <v>-4.8763622349833058E-4</v>
      </c>
      <c r="E24" s="603">
        <v>5.7067632359971291E-3</v>
      </c>
      <c r="F24" s="603">
        <v>5.2191270124987985E-3</v>
      </c>
      <c r="G24" s="244"/>
      <c r="H24" s="219"/>
      <c r="L24" s="244"/>
    </row>
    <row r="25" spans="1:12">
      <c r="A25" s="604" t="s">
        <v>84</v>
      </c>
      <c r="B25" s="602">
        <v>-1.4473569642565076E-2</v>
      </c>
      <c r="C25" s="605">
        <v>-0.52039319359374658</v>
      </c>
      <c r="D25" s="603">
        <v>1.6423635097370726E-3</v>
      </c>
      <c r="E25" s="603">
        <v>7.4658071862757352E-4</v>
      </c>
      <c r="F25" s="603">
        <v>2.3889442283646458E-3</v>
      </c>
      <c r="G25" s="244"/>
      <c r="H25" s="219"/>
      <c r="L25" s="244"/>
    </row>
    <row r="26" spans="1:12">
      <c r="A26" s="604" t="s">
        <v>433</v>
      </c>
      <c r="B26" s="602">
        <v>0</v>
      </c>
      <c r="C26" s="605">
        <v>0</v>
      </c>
      <c r="D26" s="603">
        <v>4.3213523318505416E-4</v>
      </c>
      <c r="E26" s="603">
        <v>0</v>
      </c>
      <c r="F26" s="603">
        <v>4.3213523318505416E-4</v>
      </c>
      <c r="G26" s="244"/>
      <c r="H26" s="219"/>
      <c r="L26" s="244"/>
    </row>
    <row r="27" spans="1:12">
      <c r="A27" s="604" t="s">
        <v>85</v>
      </c>
      <c r="B27" s="602">
        <v>4.85747155822569E-3</v>
      </c>
      <c r="C27" s="605">
        <v>-3.6060618739124688E-2</v>
      </c>
      <c r="D27" s="603">
        <v>-1.7438713983151258E-4</v>
      </c>
      <c r="E27" s="603">
        <v>-2.1391719129096415E-4</v>
      </c>
      <c r="F27" s="603">
        <v>-3.8830433112247673E-4</v>
      </c>
      <c r="G27" s="244"/>
      <c r="H27" s="219"/>
      <c r="L27" s="244"/>
    </row>
    <row r="28" spans="1:12">
      <c r="A28" s="604" t="s">
        <v>342</v>
      </c>
      <c r="B28" s="602">
        <v>6.6695352839931665E-3</v>
      </c>
      <c r="C28" s="605">
        <v>2.4917202226639026E-2</v>
      </c>
      <c r="D28" s="603">
        <v>-1.8535387793075386E-5</v>
      </c>
      <c r="E28" s="603">
        <v>2.9387613221534126E-4</v>
      </c>
      <c r="F28" s="603">
        <v>2.7534074442226586E-4</v>
      </c>
      <c r="G28" s="244"/>
      <c r="H28" s="219"/>
      <c r="L28" s="244"/>
    </row>
    <row r="29" spans="1:12">
      <c r="A29" s="601" t="s">
        <v>796</v>
      </c>
      <c r="B29" s="602">
        <v>1.2385259541438898E-2</v>
      </c>
      <c r="C29" s="605">
        <v>0.53586800550507385</v>
      </c>
      <c r="D29" s="603">
        <v>3.1574709869308481E-3</v>
      </c>
      <c r="E29" s="603">
        <v>0</v>
      </c>
      <c r="F29" s="603">
        <v>3.1574709869308481E-3</v>
      </c>
      <c r="G29" s="244"/>
      <c r="H29" s="219"/>
      <c r="L29" s="244"/>
    </row>
    <row r="30" spans="1:12">
      <c r="A30" s="604" t="s">
        <v>425</v>
      </c>
      <c r="B30" s="602">
        <v>2.4235474006116142E-2</v>
      </c>
      <c r="C30" s="605">
        <v>0.48341875924100453</v>
      </c>
      <c r="D30" s="603">
        <v>2.043016125410651E-3</v>
      </c>
      <c r="E30" s="603">
        <v>0</v>
      </c>
      <c r="F30" s="603">
        <v>2.043016125410651E-3</v>
      </c>
      <c r="G30" s="244"/>
      <c r="H30" s="219"/>
      <c r="I30" s="213"/>
      <c r="L30" s="244"/>
    </row>
    <row r="31" spans="1:12">
      <c r="A31" s="604" t="s">
        <v>432</v>
      </c>
      <c r="B31" s="602">
        <v>-8.9485458612975632E-3</v>
      </c>
      <c r="C31" s="605">
        <v>-3.4300490339221938E-2</v>
      </c>
      <c r="D31" s="603">
        <v>3.7987793050688301E-4</v>
      </c>
      <c r="E31" s="603">
        <v>0</v>
      </c>
      <c r="F31" s="603">
        <v>3.7987793050688301E-4</v>
      </c>
      <c r="G31" s="244"/>
      <c r="H31" s="219"/>
      <c r="I31" s="213"/>
      <c r="L31" s="244"/>
    </row>
    <row r="32" spans="1:12">
      <c r="A32" s="604" t="s">
        <v>523</v>
      </c>
      <c r="B32" s="602">
        <v>-1.2302284710017597E-2</v>
      </c>
      <c r="C32" s="605">
        <v>-2.8188726705521808E-2</v>
      </c>
      <c r="D32" s="603">
        <v>2.2631520583576081E-4</v>
      </c>
      <c r="E32" s="603">
        <v>0</v>
      </c>
      <c r="F32" s="603">
        <v>2.2631520583576081E-4</v>
      </c>
      <c r="G32" s="244"/>
      <c r="H32" s="219"/>
      <c r="L32" s="244"/>
    </row>
    <row r="33" spans="1:28">
      <c r="A33" s="604" t="s">
        <v>956</v>
      </c>
      <c r="B33" s="602">
        <v>1.3896609227348478E-2</v>
      </c>
      <c r="C33" s="605">
        <v>4.8553957054080964E-2</v>
      </c>
      <c r="D33" s="603">
        <v>3.5424967066657469E-4</v>
      </c>
      <c r="E33" s="603">
        <v>0</v>
      </c>
      <c r="F33" s="603">
        <v>3.5424967066657469E-4</v>
      </c>
      <c r="G33" s="244"/>
      <c r="H33" s="219"/>
      <c r="I33" s="213"/>
      <c r="L33" s="244"/>
    </row>
    <row r="34" spans="1:28">
      <c r="A34" s="604" t="s">
        <v>1041</v>
      </c>
      <c r="B34" s="602">
        <v>4.5045045045045029E-2</v>
      </c>
      <c r="C34" s="605">
        <v>6.6384506254732148E-2</v>
      </c>
      <c r="D34" s="603">
        <v>1.5401205451097861E-4</v>
      </c>
      <c r="E34" s="603">
        <v>0</v>
      </c>
      <c r="F34" s="603">
        <v>1.5401205451097861E-4</v>
      </c>
      <c r="G34" s="244"/>
      <c r="H34" s="219"/>
      <c r="L34" s="244"/>
      <c r="N34" s="215"/>
      <c r="O34" s="215"/>
      <c r="P34" s="215"/>
      <c r="Q34" s="215"/>
      <c r="R34" s="215"/>
      <c r="S34" s="245"/>
      <c r="T34" s="245"/>
      <c r="U34" s="245"/>
    </row>
    <row r="35" spans="1:28">
      <c r="A35" s="601" t="s">
        <v>729</v>
      </c>
      <c r="B35" s="602">
        <v>7.4086596776883184E-3</v>
      </c>
      <c r="C35" s="605">
        <v>-3.2476831814038098E-3</v>
      </c>
      <c r="D35" s="603">
        <v>2.8849737206923772E-3</v>
      </c>
      <c r="E35" s="603">
        <v>3.2006747297806887E-4</v>
      </c>
      <c r="F35" s="603">
        <v>3.2050411936704461E-3</v>
      </c>
      <c r="G35" s="214"/>
      <c r="H35" s="219"/>
      <c r="I35" s="213"/>
      <c r="L35" s="244"/>
    </row>
    <row r="36" spans="1:28">
      <c r="A36" s="604" t="s">
        <v>728</v>
      </c>
      <c r="B36" s="602">
        <v>-1.7756144380077499E-2</v>
      </c>
      <c r="C36" s="605">
        <v>-0.44122066518331532</v>
      </c>
      <c r="D36" s="603">
        <v>9.808646753017966E-4</v>
      </c>
      <c r="E36" s="603">
        <v>3.9521648805869995E-4</v>
      </c>
      <c r="F36" s="603">
        <v>1.3760811633604967E-3</v>
      </c>
      <c r="G36" s="214"/>
      <c r="H36" s="219"/>
      <c r="I36" s="213"/>
      <c r="L36" s="244"/>
    </row>
    <row r="37" spans="1:28">
      <c r="A37" s="604" t="s">
        <v>1052</v>
      </c>
      <c r="B37" s="602">
        <v>-4.9926713081714924E-3</v>
      </c>
      <c r="C37" s="605">
        <v>-1.2435624996798981E-2</v>
      </c>
      <c r="D37" s="603">
        <v>2.4783402000501229E-4</v>
      </c>
      <c r="E37" s="603">
        <v>0</v>
      </c>
      <c r="F37" s="603">
        <v>2.4783402000501229E-4</v>
      </c>
      <c r="G37" s="214"/>
      <c r="H37" s="219"/>
      <c r="L37" s="244"/>
      <c r="S37" s="232"/>
      <c r="T37" s="232"/>
      <c r="U37" s="232"/>
      <c r="V37" s="246"/>
      <c r="W37" s="246"/>
      <c r="X37" s="246"/>
      <c r="Y37" s="246"/>
      <c r="Z37" s="246"/>
    </row>
    <row r="38" spans="1:28">
      <c r="A38" s="604" t="s">
        <v>892</v>
      </c>
      <c r="B38" s="602">
        <v>1.2008235804074452E-2</v>
      </c>
      <c r="C38" s="605">
        <v>0.22381656131289879</v>
      </c>
      <c r="D38" s="603">
        <v>1.0688661726252038E-3</v>
      </c>
      <c r="E38" s="603">
        <v>-7.5149015080631102E-5</v>
      </c>
      <c r="F38" s="603">
        <v>9.9371715754457252E-4</v>
      </c>
      <c r="G38" s="214"/>
      <c r="H38" s="219"/>
      <c r="I38" s="213"/>
      <c r="L38" s="244"/>
      <c r="AA38" s="247"/>
      <c r="AB38" s="247"/>
    </row>
    <row r="39" spans="1:28">
      <c r="A39" s="604" t="s">
        <v>1079</v>
      </c>
      <c r="B39" s="602">
        <v>3.4174553101997907E-2</v>
      </c>
      <c r="C39" s="605">
        <v>0.22659204568581168</v>
      </c>
      <c r="D39" s="603">
        <v>5.8740885276036469E-4</v>
      </c>
      <c r="E39" s="603">
        <v>0</v>
      </c>
      <c r="F39" s="603">
        <v>5.8740885276036469E-4</v>
      </c>
      <c r="G39" s="214"/>
      <c r="H39" s="219"/>
      <c r="I39" s="213"/>
      <c r="L39" s="244"/>
      <c r="S39" s="232"/>
      <c r="T39" s="232"/>
      <c r="U39" s="232"/>
      <c r="V39" s="233"/>
      <c r="W39" s="233"/>
      <c r="X39" s="233"/>
      <c r="Y39" s="233"/>
      <c r="Z39" s="233"/>
    </row>
    <row r="40" spans="1:28">
      <c r="A40" s="601" t="s">
        <v>791</v>
      </c>
      <c r="B40" s="602">
        <v>1.0953193541591633E-2</v>
      </c>
      <c r="C40" s="605">
        <v>0.27588140119563126</v>
      </c>
      <c r="D40" s="603">
        <v>2.7020584604253292E-3</v>
      </c>
      <c r="E40" s="603">
        <v>0</v>
      </c>
      <c r="F40" s="603">
        <v>2.7020584604253292E-3</v>
      </c>
      <c r="G40" s="214"/>
      <c r="H40" s="219"/>
      <c r="L40" s="244"/>
    </row>
    <row r="41" spans="1:28">
      <c r="A41" s="604" t="s">
        <v>790</v>
      </c>
      <c r="B41" s="602">
        <v>7.1830985915493084E-2</v>
      </c>
      <c r="C41" s="605">
        <v>0.12121882164310911</v>
      </c>
      <c r="D41" s="603">
        <v>1.8087749660863905E-4</v>
      </c>
      <c r="E41" s="603">
        <v>0</v>
      </c>
      <c r="F41" s="603">
        <v>1.8087749660863905E-4</v>
      </c>
      <c r="G41" s="214"/>
      <c r="H41" s="219"/>
      <c r="I41" s="213"/>
      <c r="L41" s="244"/>
      <c r="S41" s="232"/>
      <c r="T41" s="232"/>
      <c r="U41" s="232"/>
      <c r="V41" s="246"/>
      <c r="W41" s="246"/>
      <c r="X41" s="246"/>
      <c r="Y41" s="246"/>
      <c r="Z41" s="246"/>
    </row>
    <row r="42" spans="1:28">
      <c r="A42" s="604" t="s">
        <v>974</v>
      </c>
      <c r="B42" s="602">
        <v>1.6167580486433408E-2</v>
      </c>
      <c r="C42" s="605">
        <v>0.24281397622922876</v>
      </c>
      <c r="D42" s="603">
        <v>1.5261386262477015E-3</v>
      </c>
      <c r="E42" s="603">
        <v>0</v>
      </c>
      <c r="F42" s="603">
        <v>1.5261386262477015E-3</v>
      </c>
      <c r="G42" s="214"/>
      <c r="H42" s="219"/>
      <c r="I42" s="213"/>
      <c r="L42" s="244"/>
      <c r="S42" s="232"/>
      <c r="T42" s="232"/>
      <c r="U42" s="232"/>
      <c r="V42" s="233"/>
      <c r="W42" s="233"/>
      <c r="X42" s="233"/>
      <c r="Y42" s="233"/>
      <c r="Z42" s="233"/>
    </row>
    <row r="43" spans="1:28">
      <c r="A43" s="604" t="s">
        <v>1036</v>
      </c>
      <c r="B43" s="602">
        <v>-4.4723800314275253E-3</v>
      </c>
      <c r="C43" s="605">
        <v>-3.957438000701486E-2</v>
      </c>
      <c r="D43" s="603">
        <v>5.3591197574364476E-4</v>
      </c>
      <c r="E43" s="603">
        <v>0</v>
      </c>
      <c r="F43" s="603">
        <v>5.3591197574364476E-4</v>
      </c>
      <c r="G43" s="214"/>
      <c r="H43" s="219"/>
      <c r="I43" s="213">
        <v>610</v>
      </c>
      <c r="J43" s="598">
        <f>+I43/I44-1</f>
        <v>7.3943661971830998E-2</v>
      </c>
      <c r="L43" s="244"/>
    </row>
    <row r="44" spans="1:28">
      <c r="A44" s="604" t="s">
        <v>1037</v>
      </c>
      <c r="B44" s="602">
        <v>-1.7671695894973971E-2</v>
      </c>
      <c r="C44" s="605">
        <v>-5.5162288576444583E-2</v>
      </c>
      <c r="D44" s="603">
        <v>3.0663427952753737E-4</v>
      </c>
      <c r="E44" s="603">
        <v>0</v>
      </c>
      <c r="F44" s="603">
        <v>3.0663427952753737E-4</v>
      </c>
      <c r="G44" s="214"/>
      <c r="H44" s="219"/>
      <c r="I44" s="213">
        <v>568</v>
      </c>
      <c r="L44" s="244"/>
      <c r="S44" s="245"/>
      <c r="T44" s="245"/>
      <c r="U44" s="245"/>
    </row>
    <row r="45" spans="1:28">
      <c r="A45" s="604" t="s">
        <v>1047</v>
      </c>
      <c r="B45" s="602">
        <v>4.3370508054523249E-3</v>
      </c>
      <c r="C45" s="605">
        <v>6.5852719067527885E-3</v>
      </c>
      <c r="D45" s="603">
        <v>1.524960822978063E-4</v>
      </c>
      <c r="E45" s="603">
        <v>0</v>
      </c>
      <c r="F45" s="603">
        <v>1.524960822978063E-4</v>
      </c>
      <c r="G45" s="214"/>
      <c r="H45" s="219"/>
      <c r="I45" s="213"/>
      <c r="J45" s="214">
        <v>15</v>
      </c>
      <c r="L45" s="244"/>
    </row>
    <row r="46" spans="1:28">
      <c r="A46" s="601" t="s">
        <v>830</v>
      </c>
      <c r="B46" s="602">
        <v>-4.2558111973293733E-3</v>
      </c>
      <c r="C46" s="605">
        <v>-0.54954117037969341</v>
      </c>
      <c r="D46" s="603">
        <v>2.2953049291882487E-3</v>
      </c>
      <c r="E46" s="603">
        <v>1.1629293140691429E-3</v>
      </c>
      <c r="F46" s="603">
        <v>3.4582342432573918E-3</v>
      </c>
      <c r="G46" s="214"/>
      <c r="H46" s="219"/>
      <c r="I46" s="213"/>
      <c r="J46" s="598">
        <f>+J45/I44</f>
        <v>2.6408450704225352E-2</v>
      </c>
    </row>
    <row r="47" spans="1:28">
      <c r="A47" s="604" t="s">
        <v>29</v>
      </c>
      <c r="B47" s="602">
        <v>-1.5450670195903404E-2</v>
      </c>
      <c r="C47" s="605">
        <v>-0.57132886708025188</v>
      </c>
      <c r="D47" s="603">
        <v>2.0528514403044301E-3</v>
      </c>
      <c r="E47" s="603">
        <v>1.2672919398661966E-3</v>
      </c>
      <c r="F47" s="603">
        <v>3.320143380170627E-3</v>
      </c>
      <c r="G47" s="214"/>
      <c r="H47" s="219"/>
      <c r="I47" s="213"/>
    </row>
    <row r="48" spans="1:28">
      <c r="A48" s="604" t="s">
        <v>316</v>
      </c>
      <c r="B48" s="602">
        <v>-4.0581162324649922E-3</v>
      </c>
      <c r="C48" s="605">
        <v>3.505838469089894E-2</v>
      </c>
      <c r="D48" s="603">
        <v>0</v>
      </c>
      <c r="E48" s="603">
        <v>5.1843545056383753E-5</v>
      </c>
      <c r="F48" s="603">
        <v>5.1843545056383753E-5</v>
      </c>
      <c r="G48" s="214"/>
      <c r="H48" s="219"/>
      <c r="I48" s="213"/>
    </row>
    <row r="49" spans="1:35">
      <c r="A49" s="604" t="s">
        <v>982</v>
      </c>
      <c r="B49" s="602">
        <v>1.3313999472712945E-2</v>
      </c>
      <c r="C49" s="605">
        <v>1.3270687990340377E-2</v>
      </c>
      <c r="D49" s="603">
        <v>0</v>
      </c>
      <c r="E49" s="603">
        <v>-1.5620617085343748E-4</v>
      </c>
      <c r="F49" s="603">
        <v>-1.5620617085343748E-4</v>
      </c>
      <c r="G49" s="214"/>
      <c r="H49" s="219"/>
      <c r="I49" s="213"/>
    </row>
    <row r="50" spans="1:35">
      <c r="A50" s="604" t="s">
        <v>807</v>
      </c>
      <c r="B50" s="602">
        <v>-1.0828457833662042E-2</v>
      </c>
      <c r="C50" s="605">
        <v>-2.65413759806809E-2</v>
      </c>
      <c r="D50" s="603">
        <v>2.4245348888381831E-4</v>
      </c>
      <c r="E50" s="603">
        <v>0</v>
      </c>
      <c r="F50" s="603">
        <v>2.4245348888381831E-4</v>
      </c>
      <c r="G50" s="214" t="s">
        <v>1126</v>
      </c>
      <c r="H50" s="219"/>
      <c r="I50" s="213"/>
    </row>
    <row r="51" spans="1:35">
      <c r="A51" s="601" t="s">
        <v>831</v>
      </c>
      <c r="B51" s="602">
        <v>5.7947292234461307E-3</v>
      </c>
      <c r="C51" s="605">
        <v>-2.3669995239511802E-2</v>
      </c>
      <c r="D51" s="603">
        <v>8.9263333758519509E-5</v>
      </c>
      <c r="E51" s="603">
        <v>0</v>
      </c>
      <c r="F51" s="603">
        <v>8.9263333758519509E-5</v>
      </c>
      <c r="G51" s="214"/>
      <c r="H51" s="219"/>
      <c r="I51" s="214"/>
    </row>
    <row r="52" spans="1:35">
      <c r="A52" s="604" t="s">
        <v>36</v>
      </c>
      <c r="B52" s="602">
        <v>1.5567125614858734E-3</v>
      </c>
      <c r="C52" s="605">
        <v>-2.2202059077808953E-2</v>
      </c>
      <c r="D52" s="603">
        <v>3.621531138569905E-6</v>
      </c>
      <c r="E52" s="603">
        <v>0</v>
      </c>
      <c r="F52" s="603">
        <v>3.621531138569905E-6</v>
      </c>
      <c r="G52" s="214"/>
      <c r="H52" s="219"/>
      <c r="I52" s="213"/>
    </row>
    <row r="53" spans="1:35">
      <c r="A53" s="604" t="s">
        <v>4</v>
      </c>
      <c r="B53" s="602">
        <v>4.377146392757103E-3</v>
      </c>
      <c r="C53" s="605">
        <v>2.453849244397989E-3</v>
      </c>
      <c r="D53" s="603">
        <v>-3.1990646096545158E-4</v>
      </c>
      <c r="E53" s="603">
        <v>0</v>
      </c>
      <c r="F53" s="603">
        <v>-3.1990646096545158E-4</v>
      </c>
      <c r="G53" s="214"/>
      <c r="H53" s="219"/>
      <c r="I53" s="213"/>
    </row>
    <row r="54" spans="1:35">
      <c r="A54" s="604" t="s">
        <v>6</v>
      </c>
      <c r="B54" s="602">
        <v>3.1638153269275548E-3</v>
      </c>
      <c r="C54" s="605">
        <v>1.6043667570411244E-2</v>
      </c>
      <c r="D54" s="603">
        <v>5.087031039640469E-4</v>
      </c>
      <c r="E54" s="603">
        <v>0</v>
      </c>
      <c r="F54" s="603">
        <v>5.087031039640469E-4</v>
      </c>
      <c r="G54" s="214"/>
      <c r="H54" s="219"/>
      <c r="I54" s="213"/>
    </row>
    <row r="55" spans="1:35">
      <c r="A55" s="604" t="s">
        <v>839</v>
      </c>
      <c r="B55" s="602">
        <v>1.9736842105263275E-2</v>
      </c>
      <c r="C55" s="605">
        <v>-1.9965452976512081E-2</v>
      </c>
      <c r="D55" s="603">
        <v>-1.0315484037864566E-4</v>
      </c>
      <c r="E55" s="603">
        <v>0</v>
      </c>
      <c r="F55" s="603">
        <v>-1.0315484037864566E-4</v>
      </c>
      <c r="G55" s="214"/>
      <c r="H55" s="219"/>
      <c r="I55" s="214"/>
    </row>
    <row r="56" spans="1:35">
      <c r="A56" s="601" t="s">
        <v>45</v>
      </c>
      <c r="B56" s="602">
        <v>5.1516319657955974E-3</v>
      </c>
      <c r="C56" s="605">
        <v>-1.7818706941231208</v>
      </c>
      <c r="D56" s="603">
        <v>5.0328022303757032E-3</v>
      </c>
      <c r="E56" s="603">
        <v>5.7564123811673527E-3</v>
      </c>
      <c r="F56" s="603">
        <v>1.0789214611543049E-2</v>
      </c>
      <c r="G56" s="214"/>
      <c r="H56" s="219"/>
      <c r="I56" s="214"/>
    </row>
    <row r="57" spans="1:35">
      <c r="A57"/>
      <c r="B57"/>
      <c r="C57"/>
      <c r="D57"/>
      <c r="E57"/>
      <c r="F57"/>
      <c r="G57" s="214"/>
      <c r="H57" s="219"/>
      <c r="I57" s="214"/>
    </row>
    <row r="58" spans="1:35">
      <c r="A58"/>
      <c r="B58"/>
      <c r="C58"/>
      <c r="D58"/>
      <c r="E58"/>
      <c r="F58"/>
      <c r="G58" s="214"/>
      <c r="H58" s="219"/>
      <c r="I58" s="214"/>
    </row>
    <row r="59" spans="1:35">
      <c r="A59"/>
      <c r="B59"/>
      <c r="C59"/>
      <c r="D59"/>
      <c r="E59"/>
      <c r="F59"/>
      <c r="G59" s="214"/>
      <c r="H59" s="219"/>
      <c r="I59" s="214"/>
    </row>
    <row r="60" spans="1:35">
      <c r="A60"/>
      <c r="B60"/>
      <c r="C60"/>
      <c r="D60"/>
      <c r="E60"/>
      <c r="F60"/>
      <c r="G60" s="214"/>
      <c r="H60" s="219"/>
      <c r="I60" s="214"/>
    </row>
    <row r="61" spans="1:35">
      <c r="A61"/>
      <c r="B61"/>
      <c r="C61"/>
      <c r="D61"/>
      <c r="E61"/>
      <c r="F61"/>
      <c r="G61" s="214"/>
      <c r="H61" s="219"/>
      <c r="I61" s="214"/>
      <c r="AI61" s="248"/>
    </row>
    <row r="62" spans="1:35">
      <c r="A62"/>
      <c r="B62"/>
      <c r="C62"/>
      <c r="D62"/>
      <c r="E62"/>
      <c r="F62"/>
      <c r="G62" s="214"/>
      <c r="H62" s="219"/>
      <c r="I62" s="214"/>
      <c r="AI62" s="248"/>
    </row>
    <row r="63" spans="1:35">
      <c r="A63"/>
      <c r="B63"/>
      <c r="C63"/>
      <c r="D63"/>
      <c r="E63"/>
      <c r="F63"/>
      <c r="G63" s="214"/>
      <c r="H63" s="219"/>
      <c r="I63" s="214"/>
      <c r="AI63" s="248"/>
    </row>
    <row r="64" spans="1:35">
      <c r="A64"/>
      <c r="B64"/>
      <c r="C64"/>
      <c r="D64"/>
      <c r="E64"/>
      <c r="F64"/>
      <c r="G64" s="214"/>
      <c r="H64" s="219"/>
      <c r="I64" s="214"/>
      <c r="AI64" s="248"/>
    </row>
    <row r="65" spans="1:9">
      <c r="A65"/>
      <c r="B65"/>
      <c r="C65"/>
      <c r="D65"/>
      <c r="E65"/>
      <c r="F65"/>
      <c r="G65" s="214"/>
      <c r="H65" s="219"/>
      <c r="I65" s="214"/>
    </row>
    <row r="66" spans="1:9">
      <c r="A66"/>
      <c r="B66"/>
      <c r="C66"/>
      <c r="D66"/>
      <c r="E66"/>
      <c r="F66"/>
      <c r="G66" s="214"/>
      <c r="H66" s="219"/>
      <c r="I66" s="214"/>
    </row>
    <row r="67" spans="1:9">
      <c r="A67"/>
      <c r="B67"/>
      <c r="C67"/>
      <c r="D67"/>
      <c r="E67"/>
      <c r="F67"/>
      <c r="G67" s="214"/>
      <c r="H67" s="219"/>
      <c r="I67" s="214"/>
    </row>
    <row r="68" spans="1:9">
      <c r="A68"/>
      <c r="B68"/>
      <c r="C68"/>
      <c r="D68"/>
      <c r="E68"/>
      <c r="F68"/>
      <c r="G68" s="214"/>
      <c r="H68" s="219"/>
      <c r="I68" s="214"/>
    </row>
    <row r="69" spans="1:9">
      <c r="A69"/>
      <c r="B69"/>
      <c r="C69"/>
      <c r="D69"/>
      <c r="E69"/>
      <c r="F69"/>
      <c r="G69" s="214"/>
      <c r="H69" s="219"/>
      <c r="I69" s="214"/>
    </row>
    <row r="70" spans="1:9">
      <c r="A70"/>
      <c r="B70"/>
      <c r="C70"/>
      <c r="D70"/>
      <c r="E70"/>
      <c r="F70"/>
      <c r="G70" s="214"/>
      <c r="H70" s="219"/>
      <c r="I70" s="214"/>
    </row>
    <row r="71" spans="1:9">
      <c r="A71"/>
      <c r="B71"/>
      <c r="C71"/>
      <c r="D71"/>
      <c r="E71"/>
      <c r="F71"/>
      <c r="G71" s="214"/>
      <c r="H71" s="219"/>
      <c r="I71" s="214"/>
    </row>
    <row r="72" spans="1:9">
      <c r="A72"/>
      <c r="B72"/>
      <c r="C72"/>
      <c r="D72"/>
      <c r="E72"/>
      <c r="F72"/>
      <c r="G72" s="214"/>
      <c r="H72" s="219"/>
      <c r="I72" s="214"/>
    </row>
    <row r="73" spans="1:9">
      <c r="A73"/>
      <c r="B73"/>
      <c r="C73"/>
      <c r="D73"/>
      <c r="E73"/>
      <c r="F73"/>
      <c r="G73" s="214"/>
      <c r="H73" s="219"/>
    </row>
    <row r="74" spans="1:9">
      <c r="A74"/>
      <c r="B74"/>
      <c r="C74"/>
      <c r="D74"/>
      <c r="E74"/>
      <c r="F74"/>
      <c r="G74" s="214"/>
      <c r="H74" s="219"/>
    </row>
    <row r="75" spans="1:9">
      <c r="A75"/>
      <c r="B75"/>
      <c r="C75"/>
      <c r="D75"/>
      <c r="E75"/>
      <c r="F75"/>
      <c r="G75" s="214"/>
      <c r="H75" s="219"/>
    </row>
    <row r="76" spans="1:9">
      <c r="A76"/>
      <c r="B76"/>
      <c r="C76"/>
      <c r="D76"/>
      <c r="E76"/>
      <c r="F76"/>
      <c r="G76" s="214"/>
      <c r="H76" s="219"/>
    </row>
    <row r="77" spans="1:9">
      <c r="A77"/>
      <c r="B77"/>
      <c r="C77"/>
      <c r="D77"/>
      <c r="E77"/>
      <c r="F77"/>
      <c r="G77" s="214"/>
      <c r="H77" s="219"/>
    </row>
    <row r="78" spans="1:9">
      <c r="A78"/>
      <c r="B78"/>
      <c r="C78"/>
      <c r="D78"/>
      <c r="E78"/>
      <c r="F78"/>
      <c r="G78" s="214"/>
      <c r="H78" s="219"/>
    </row>
    <row r="79" spans="1:9">
      <c r="A79"/>
      <c r="B79"/>
      <c r="C79"/>
      <c r="D79"/>
      <c r="E79"/>
      <c r="F79"/>
      <c r="G79" s="214"/>
      <c r="H79" s="219"/>
    </row>
    <row r="80" spans="1:9">
      <c r="A80"/>
      <c r="B80"/>
      <c r="C80"/>
      <c r="D80"/>
      <c r="E80"/>
      <c r="F80"/>
      <c r="G80" s="214"/>
      <c r="H80" s="219"/>
    </row>
    <row r="81" spans="1:8">
      <c r="A81"/>
      <c r="B81"/>
      <c r="C81"/>
      <c r="D81"/>
      <c r="E81"/>
      <c r="F81"/>
      <c r="G81" s="214"/>
      <c r="H81" s="219"/>
    </row>
    <row r="82" spans="1:8">
      <c r="A82"/>
      <c r="B82"/>
      <c r="C82"/>
      <c r="D82"/>
      <c r="E82"/>
      <c r="F82"/>
      <c r="G82" s="214"/>
      <c r="H82" s="219"/>
    </row>
    <row r="83" spans="1:8">
      <c r="A83"/>
      <c r="B83"/>
      <c r="C83"/>
      <c r="D83"/>
      <c r="E83"/>
      <c r="F83"/>
      <c r="G83" s="214"/>
      <c r="H83" s="219"/>
    </row>
    <row r="84" spans="1:8">
      <c r="A84"/>
      <c r="B84"/>
      <c r="C84"/>
      <c r="D84"/>
      <c r="E84"/>
      <c r="F84"/>
      <c r="G84" s="214"/>
      <c r="H84" s="219"/>
    </row>
    <row r="85" spans="1:8">
      <c r="A85"/>
      <c r="B85"/>
      <c r="C85"/>
      <c r="D85"/>
      <c r="E85"/>
      <c r="F85"/>
      <c r="G85" s="214"/>
      <c r="H85" s="219"/>
    </row>
    <row r="86" spans="1:8">
      <c r="A86"/>
      <c r="B86"/>
      <c r="C86"/>
      <c r="D86"/>
      <c r="E86"/>
      <c r="F86"/>
    </row>
    <row r="87" spans="1:8">
      <c r="A87"/>
      <c r="B87"/>
      <c r="C87"/>
      <c r="D87"/>
      <c r="E87"/>
      <c r="F87"/>
    </row>
    <row r="88" spans="1:8">
      <c r="A88"/>
      <c r="B88"/>
      <c r="C88"/>
      <c r="D88"/>
      <c r="E88"/>
      <c r="F88"/>
    </row>
    <row r="89" spans="1:8">
      <c r="A89"/>
      <c r="B89"/>
      <c r="C89"/>
      <c r="D89"/>
      <c r="E89"/>
      <c r="F89"/>
    </row>
    <row r="90" spans="1:8">
      <c r="A90"/>
      <c r="B90"/>
      <c r="C90"/>
      <c r="D90"/>
      <c r="E90"/>
      <c r="F90"/>
    </row>
    <row r="91" spans="1:8">
      <c r="A91"/>
      <c r="B91"/>
      <c r="C91"/>
      <c r="D91"/>
      <c r="E91"/>
      <c r="F91"/>
    </row>
    <row r="92" spans="1:8">
      <c r="A92"/>
      <c r="B92"/>
      <c r="C92"/>
      <c r="D92"/>
      <c r="E92"/>
      <c r="F92"/>
    </row>
    <row r="93" spans="1:8">
      <c r="A93"/>
      <c r="B93"/>
      <c r="C93"/>
      <c r="D93"/>
      <c r="E93"/>
      <c r="F93"/>
    </row>
    <row r="94" spans="1:8">
      <c r="A94"/>
      <c r="B94"/>
      <c r="C94"/>
      <c r="D94"/>
      <c r="E94"/>
      <c r="F94"/>
    </row>
    <row r="95" spans="1:8">
      <c r="A95"/>
      <c r="B95"/>
      <c r="C95"/>
      <c r="D95"/>
      <c r="E95"/>
      <c r="F95"/>
    </row>
    <row r="96" spans="1:8">
      <c r="A96"/>
      <c r="B96"/>
      <c r="C96"/>
      <c r="D96"/>
      <c r="E96"/>
      <c r="F96"/>
    </row>
    <row r="97" spans="1:6">
      <c r="A97"/>
      <c r="B97"/>
      <c r="C97"/>
      <c r="D97"/>
      <c r="E97"/>
      <c r="F97"/>
    </row>
    <row r="98" spans="1:6">
      <c r="A98"/>
      <c r="B98"/>
      <c r="C98"/>
      <c r="D98"/>
      <c r="E98"/>
      <c r="F98"/>
    </row>
    <row r="99" spans="1:6">
      <c r="A99"/>
      <c r="B99"/>
      <c r="C99"/>
      <c r="D99"/>
      <c r="E99"/>
      <c r="F99"/>
    </row>
    <row r="100" spans="1:6">
      <c r="A100"/>
      <c r="B100"/>
      <c r="C100"/>
      <c r="D100"/>
      <c r="E100"/>
      <c r="F100"/>
    </row>
    <row r="101" spans="1:6">
      <c r="A101"/>
      <c r="B101"/>
      <c r="C101"/>
      <c r="D101"/>
      <c r="E101"/>
      <c r="F101"/>
    </row>
    <row r="102" spans="1:6">
      <c r="A102"/>
      <c r="B102"/>
      <c r="C102"/>
      <c r="D102"/>
      <c r="E102"/>
      <c r="F102"/>
    </row>
    <row r="103" spans="1:6">
      <c r="A103"/>
      <c r="B103"/>
      <c r="C103"/>
      <c r="D103"/>
      <c r="E103"/>
      <c r="F103"/>
    </row>
    <row r="104" spans="1:6">
      <c r="A104"/>
      <c r="B104"/>
      <c r="C104"/>
      <c r="D104"/>
      <c r="E104"/>
      <c r="F104"/>
    </row>
    <row r="105" spans="1:6">
      <c r="A105"/>
      <c r="B105"/>
      <c r="C105"/>
      <c r="D105"/>
      <c r="E105"/>
      <c r="F105"/>
    </row>
    <row r="106" spans="1:6">
      <c r="A106"/>
      <c r="B106"/>
      <c r="C106"/>
      <c r="D106"/>
      <c r="E106"/>
      <c r="F106"/>
    </row>
    <row r="107" spans="1:6">
      <c r="A107"/>
      <c r="B107"/>
      <c r="C107"/>
      <c r="D107"/>
      <c r="E107"/>
      <c r="F107"/>
    </row>
    <row r="108" spans="1:6">
      <c r="A108"/>
      <c r="B108"/>
      <c r="C108"/>
      <c r="D108"/>
      <c r="E108"/>
      <c r="F108"/>
    </row>
    <row r="109" spans="1:6">
      <c r="A109"/>
      <c r="B109"/>
      <c r="C109"/>
      <c r="D109"/>
      <c r="E109"/>
      <c r="F109"/>
    </row>
    <row r="110" spans="1:6">
      <c r="A110"/>
      <c r="B110"/>
      <c r="C110"/>
      <c r="D110"/>
      <c r="E110"/>
      <c r="F110"/>
    </row>
    <row r="111" spans="1:6">
      <c r="A111"/>
      <c r="B111"/>
      <c r="C111"/>
      <c r="D111"/>
      <c r="E111"/>
      <c r="F111"/>
    </row>
    <row r="112" spans="1:6">
      <c r="A112"/>
      <c r="B112"/>
      <c r="C112"/>
      <c r="D112"/>
      <c r="E112"/>
      <c r="F112"/>
    </row>
    <row r="113" spans="1:6">
      <c r="A113"/>
      <c r="B113"/>
      <c r="C113"/>
      <c r="D113"/>
      <c r="E113"/>
      <c r="F113"/>
    </row>
    <row r="114" spans="1:6">
      <c r="A114"/>
      <c r="B114"/>
      <c r="C114"/>
      <c r="D114"/>
      <c r="E114"/>
      <c r="F114"/>
    </row>
    <row r="115" spans="1:6">
      <c r="A115"/>
      <c r="B115"/>
      <c r="C115"/>
      <c r="D115"/>
      <c r="E115"/>
      <c r="F115"/>
    </row>
    <row r="116" spans="1:6">
      <c r="A116"/>
      <c r="B116"/>
      <c r="C116"/>
      <c r="D116"/>
      <c r="E116"/>
      <c r="F116"/>
    </row>
    <row r="117" spans="1:6">
      <c r="A117"/>
      <c r="B117"/>
      <c r="C117"/>
      <c r="D117"/>
      <c r="E117"/>
      <c r="F117"/>
    </row>
    <row r="118" spans="1:6">
      <c r="A118"/>
      <c r="B118"/>
      <c r="C118"/>
      <c r="D118"/>
      <c r="E118"/>
      <c r="F118"/>
    </row>
    <row r="119" spans="1:6">
      <c r="A119"/>
      <c r="B119"/>
      <c r="C119"/>
      <c r="D119"/>
      <c r="E119"/>
      <c r="F119"/>
    </row>
    <row r="120" spans="1:6">
      <c r="A120"/>
      <c r="B120"/>
      <c r="C120"/>
      <c r="D120"/>
      <c r="E120"/>
      <c r="F120"/>
    </row>
    <row r="121" spans="1:6">
      <c r="A121"/>
      <c r="B121"/>
      <c r="C121"/>
      <c r="D121"/>
      <c r="E121"/>
      <c r="F121"/>
    </row>
    <row r="122" spans="1:6">
      <c r="A122"/>
      <c r="B122"/>
      <c r="C122"/>
      <c r="D122"/>
      <c r="E122"/>
      <c r="F122"/>
    </row>
    <row r="123" spans="1:6">
      <c r="A123"/>
      <c r="B123"/>
      <c r="C123"/>
      <c r="D123"/>
      <c r="E123"/>
      <c r="F123"/>
    </row>
    <row r="124" spans="1:6">
      <c r="A124"/>
      <c r="B124"/>
      <c r="C124"/>
      <c r="D124"/>
      <c r="E124"/>
      <c r="F124"/>
    </row>
    <row r="125" spans="1:6">
      <c r="A125"/>
      <c r="B125"/>
      <c r="C125"/>
      <c r="D125"/>
      <c r="E125"/>
      <c r="F125"/>
    </row>
    <row r="126" spans="1:6">
      <c r="A126"/>
      <c r="B126"/>
      <c r="C126"/>
      <c r="D126"/>
      <c r="E126"/>
      <c r="F126"/>
    </row>
    <row r="127" spans="1:6">
      <c r="A127"/>
      <c r="B127"/>
      <c r="C127"/>
      <c r="D127"/>
      <c r="E127"/>
      <c r="F127"/>
    </row>
    <row r="128" spans="1:6">
      <c r="A128"/>
      <c r="B128"/>
      <c r="C128"/>
      <c r="D128"/>
      <c r="E128"/>
      <c r="F128"/>
    </row>
    <row r="129" spans="1:6">
      <c r="A129"/>
      <c r="B129"/>
      <c r="C129"/>
      <c r="D129"/>
      <c r="E129"/>
      <c r="F129"/>
    </row>
    <row r="130" spans="1:6">
      <c r="A130"/>
      <c r="B130"/>
      <c r="C130"/>
      <c r="D130"/>
      <c r="E130"/>
      <c r="F130"/>
    </row>
    <row r="131" spans="1:6">
      <c r="A131"/>
      <c r="B131"/>
      <c r="C131"/>
      <c r="D131"/>
      <c r="E131"/>
      <c r="F131"/>
    </row>
    <row r="132" spans="1:6">
      <c r="A132"/>
      <c r="B132"/>
      <c r="C132"/>
      <c r="D132"/>
      <c r="E132"/>
      <c r="F132"/>
    </row>
    <row r="133" spans="1:6">
      <c r="A133"/>
      <c r="B133"/>
      <c r="C133"/>
      <c r="D133"/>
      <c r="E133"/>
      <c r="F133"/>
    </row>
    <row r="134" spans="1:6">
      <c r="A134"/>
      <c r="B134"/>
      <c r="C134"/>
      <c r="D134"/>
      <c r="E134"/>
      <c r="F134"/>
    </row>
    <row r="135" spans="1:6">
      <c r="A135"/>
      <c r="B135"/>
      <c r="C135"/>
      <c r="D135"/>
      <c r="E135"/>
      <c r="F135"/>
    </row>
  </sheetData>
  <conditionalFormatting sqref="G11 F12:G12 H11:H1048576 F1:H9 G10:H10">
    <cfRule type="cellIs" dxfId="3560" priority="12228" operator="lessThan">
      <formula>0</formula>
    </cfRule>
  </conditionalFormatting>
  <conditionalFormatting sqref="H86:H1048576 F1:H9 F12:G12 G10:G11">
    <cfRule type="cellIs" dxfId="3559" priority="12225" operator="lessThan">
      <formula>0</formula>
    </cfRule>
    <cfRule type="cellIs" dxfId="3558" priority="12226" operator="lessThan">
      <formula>0</formula>
    </cfRule>
  </conditionalFormatting>
  <conditionalFormatting sqref="F136:G1048576 G86:G135">
    <cfRule type="cellIs" dxfId="3557" priority="7861" operator="lessThan">
      <formula>0</formula>
    </cfRule>
  </conditionalFormatting>
  <conditionalFormatting sqref="F136:G1048576 G86:G135">
    <cfRule type="cellIs" dxfId="3556" priority="7860" operator="lessThan">
      <formula>0</formula>
    </cfRule>
  </conditionalFormatting>
  <conditionalFormatting sqref="F136:G1048576 G86:G135">
    <cfRule type="cellIs" dxfId="3555" priority="7858" operator="lessThan">
      <formula>0</formula>
    </cfRule>
    <cfRule type="cellIs" dxfId="3554" priority="7859" operator="lessThan">
      <formula>0</formula>
    </cfRule>
  </conditionalFormatting>
  <conditionalFormatting sqref="F136:G1048576 G86:G135">
    <cfRule type="cellIs" dxfId="3553" priority="7857" operator="lessThan">
      <formula>0</formula>
    </cfRule>
  </conditionalFormatting>
  <conditionalFormatting sqref="F136:G1048576 G86:G135">
    <cfRule type="cellIs" dxfId="3552" priority="7856" operator="lessThan">
      <formula>0</formula>
    </cfRule>
  </conditionalFormatting>
  <conditionalFormatting sqref="F136:G1048576 G86:G135">
    <cfRule type="cellIs" dxfId="3551" priority="7855" operator="lessThan">
      <formula>0</formula>
    </cfRule>
  </conditionalFormatting>
  <conditionalFormatting sqref="F136:G1048576 G86:G135">
    <cfRule type="cellIs" dxfId="3550" priority="7854" operator="lessThan">
      <formula>0</formula>
    </cfRule>
  </conditionalFormatting>
  <conditionalFormatting sqref="F136:G1048576 G86:G135">
    <cfRule type="cellIs" dxfId="3549" priority="7853" operator="lessThan">
      <formula>0</formula>
    </cfRule>
  </conditionalFormatting>
  <conditionalFormatting sqref="F136:G1048576 G86:G135">
    <cfRule type="cellIs" dxfId="3548" priority="7852" operator="lessThan">
      <formula>0</formula>
    </cfRule>
  </conditionalFormatting>
  <conditionalFormatting sqref="F136:G1048576 G86:G135">
    <cfRule type="cellIs" dxfId="3547" priority="7851" operator="lessThan">
      <formula>0</formula>
    </cfRule>
  </conditionalFormatting>
  <conditionalFormatting sqref="F136:G1048576 G86:G135">
    <cfRule type="cellIs" dxfId="3546" priority="7850" operator="lessThan">
      <formula>0</formula>
    </cfRule>
  </conditionalFormatting>
  <conditionalFormatting sqref="F136:G1048576 G86:G135">
    <cfRule type="cellIs" dxfId="3545" priority="7849" operator="lessThan">
      <formula>0</formula>
    </cfRule>
  </conditionalFormatting>
  <conditionalFormatting sqref="F136:G1048576 G86:G135">
    <cfRule type="cellIs" dxfId="3544" priority="7848" operator="lessThan">
      <formula>0</formula>
    </cfRule>
  </conditionalFormatting>
  <conditionalFormatting sqref="F136:G1048576 G86:G135">
    <cfRule type="cellIs" dxfId="3543" priority="7847" operator="lessThan">
      <formula>0</formula>
    </cfRule>
  </conditionalFormatting>
  <conditionalFormatting sqref="F136:G1048576 G86:G135">
    <cfRule type="cellIs" dxfId="3542" priority="7846" operator="lessThan">
      <formula>0</formula>
    </cfRule>
  </conditionalFormatting>
  <conditionalFormatting sqref="F136:G1048576 G86:G135">
    <cfRule type="cellIs" dxfId="3541" priority="7845" operator="lessThan">
      <formula>0</formula>
    </cfRule>
  </conditionalFormatting>
  <conditionalFormatting sqref="F136:G1048576 G86:G135">
    <cfRule type="cellIs" dxfId="3540" priority="7844" operator="lessThan">
      <formula>0</formula>
    </cfRule>
  </conditionalFormatting>
  <conditionalFormatting sqref="F136:G1048576 G86:G135">
    <cfRule type="cellIs" dxfId="3539" priority="7843" operator="lessThan">
      <formula>0</formula>
    </cfRule>
  </conditionalFormatting>
  <conditionalFormatting sqref="F136:G1048576 G86:G135">
    <cfRule type="cellIs" dxfId="3538" priority="7842" operator="lessThan">
      <formula>0</formula>
    </cfRule>
  </conditionalFormatting>
  <conditionalFormatting sqref="F136:G1048576 G86:G135">
    <cfRule type="cellIs" dxfId="3537" priority="7841" operator="lessThan">
      <formula>0</formula>
    </cfRule>
  </conditionalFormatting>
  <conditionalFormatting sqref="F136:G1048576 G86:G135">
    <cfRule type="cellIs" dxfId="3536" priority="7840" operator="lessThan">
      <formula>0</formula>
    </cfRule>
  </conditionalFormatting>
  <conditionalFormatting sqref="F136:G1048576 G86:G135">
    <cfRule type="cellIs" dxfId="3535" priority="7839" operator="lessThan">
      <formula>0</formula>
    </cfRule>
  </conditionalFormatting>
  <conditionalFormatting sqref="F136:G1048576 G86:G135">
    <cfRule type="cellIs" dxfId="3534" priority="7838" operator="lessThan">
      <formula>0</formula>
    </cfRule>
  </conditionalFormatting>
  <conditionalFormatting sqref="F136:G1048576 G86:G135">
    <cfRule type="cellIs" dxfId="3533" priority="7837" operator="lessThan">
      <formula>0</formula>
    </cfRule>
  </conditionalFormatting>
  <conditionalFormatting sqref="F136:G1048576 G86:G135">
    <cfRule type="cellIs" dxfId="3532" priority="7836" operator="lessThan">
      <formula>0</formula>
    </cfRule>
  </conditionalFormatting>
  <conditionalFormatting sqref="F136:G1048576 G86:G135">
    <cfRule type="cellIs" dxfId="3531" priority="7835" operator="lessThan">
      <formula>0</formula>
    </cfRule>
  </conditionalFormatting>
  <conditionalFormatting sqref="F136:G1048576 G86:G135">
    <cfRule type="cellIs" dxfId="3530" priority="7834" operator="lessThan">
      <formula>0</formula>
    </cfRule>
  </conditionalFormatting>
  <conditionalFormatting sqref="F136:G1048576 G86:G135">
    <cfRule type="cellIs" dxfId="3529" priority="7833" operator="lessThan">
      <formula>0</formula>
    </cfRule>
  </conditionalFormatting>
  <conditionalFormatting sqref="F136:G1048576 G86:G135">
    <cfRule type="cellIs" dxfId="3528" priority="7832" operator="lessThan">
      <formula>0</formula>
    </cfRule>
  </conditionalFormatting>
  <conditionalFormatting sqref="F136:G1048576 G86:G135">
    <cfRule type="cellIs" dxfId="3527" priority="7831" operator="lessThan">
      <formula>0</formula>
    </cfRule>
  </conditionalFormatting>
  <conditionalFormatting sqref="F136:G1048576 G86:G135">
    <cfRule type="cellIs" dxfId="3526" priority="7830" operator="lessThan">
      <formula>0</formula>
    </cfRule>
  </conditionalFormatting>
  <conditionalFormatting sqref="F136:G1048576 G86:G135">
    <cfRule type="cellIs" dxfId="3525" priority="7829" operator="lessThan">
      <formula>0</formula>
    </cfRule>
  </conditionalFormatting>
  <conditionalFormatting sqref="F136:G1048576 G86:G135">
    <cfRule type="cellIs" dxfId="3524" priority="7828" operator="lessThan">
      <formula>0</formula>
    </cfRule>
  </conditionalFormatting>
  <conditionalFormatting sqref="F136:G1048576 G86:G135">
    <cfRule type="cellIs" dxfId="3523" priority="7827" operator="lessThan">
      <formula>0</formula>
    </cfRule>
  </conditionalFormatting>
  <conditionalFormatting sqref="F136:G1048576 G86:G135">
    <cfRule type="cellIs" dxfId="3522" priority="7826" operator="lessThan">
      <formula>0</formula>
    </cfRule>
  </conditionalFormatting>
  <conditionalFormatting sqref="F136:G1048576 G86:G135">
    <cfRule type="cellIs" dxfId="3521" priority="7825" operator="lessThan">
      <formula>0</formula>
    </cfRule>
  </conditionalFormatting>
  <conditionalFormatting sqref="F136:G1048576 G86:G135">
    <cfRule type="cellIs" dxfId="3520" priority="7824" operator="lessThan">
      <formula>0</formula>
    </cfRule>
  </conditionalFormatting>
  <conditionalFormatting sqref="F136:G1048576 G86:G135">
    <cfRule type="cellIs" dxfId="3519" priority="7823" operator="lessThan">
      <formula>0</formula>
    </cfRule>
  </conditionalFormatting>
  <conditionalFormatting sqref="F136:G1048576 G86:G135">
    <cfRule type="cellIs" dxfId="3518" priority="7822" operator="lessThan">
      <formula>0</formula>
    </cfRule>
  </conditionalFormatting>
  <conditionalFormatting sqref="F136:G1048576 G86:G135">
    <cfRule type="cellIs" dxfId="3517" priority="7821" operator="lessThan">
      <formula>0</formula>
    </cfRule>
  </conditionalFormatting>
  <conditionalFormatting sqref="F136:G1048576 G86:G135">
    <cfRule type="cellIs" dxfId="3516" priority="7820" operator="lessThan">
      <formula>0</formula>
    </cfRule>
  </conditionalFormatting>
  <conditionalFormatting sqref="F136:G1048576 G86:G135">
    <cfRule type="cellIs" dxfId="3515" priority="7819" operator="lessThan">
      <formula>0</formula>
    </cfRule>
  </conditionalFormatting>
  <conditionalFormatting sqref="F136:G1048576 G86:G135">
    <cfRule type="cellIs" dxfId="3514" priority="7818" operator="lessThan">
      <formula>0</formula>
    </cfRule>
  </conditionalFormatting>
  <conditionalFormatting sqref="F136:G1048576 G86:G135">
    <cfRule type="cellIs" dxfId="3513" priority="7817" operator="lessThan">
      <formula>0</formula>
    </cfRule>
  </conditionalFormatting>
  <conditionalFormatting sqref="F136:G1048576 G86:G135">
    <cfRule type="cellIs" dxfId="3512" priority="7816" operator="lessThan">
      <formula>0</formula>
    </cfRule>
  </conditionalFormatting>
  <conditionalFormatting sqref="F136:G1048576 G86:G135">
    <cfRule type="cellIs" dxfId="3511" priority="7815" operator="lessThan">
      <formula>0</formula>
    </cfRule>
  </conditionalFormatting>
  <conditionalFormatting sqref="F136:G1048576 G86:G135">
    <cfRule type="cellIs" dxfId="3510" priority="7814" operator="lessThan">
      <formula>0</formula>
    </cfRule>
  </conditionalFormatting>
  <conditionalFormatting sqref="F136:G1048576 G86:G135">
    <cfRule type="cellIs" dxfId="3509" priority="7813" operator="lessThan">
      <formula>0</formula>
    </cfRule>
  </conditionalFormatting>
  <conditionalFormatting sqref="F136:G1048576 G86:G135">
    <cfRule type="cellIs" dxfId="3508" priority="7812" operator="lessThan">
      <formula>0</formula>
    </cfRule>
  </conditionalFormatting>
  <conditionalFormatting sqref="F136:G1048576 G86:G135">
    <cfRule type="cellIs" dxfId="3507" priority="7811" operator="lessThan">
      <formula>0</formula>
    </cfRule>
  </conditionalFormatting>
  <conditionalFormatting sqref="F136:G1048576 G86:G135">
    <cfRule type="cellIs" dxfId="3506" priority="7810" operator="lessThan">
      <formula>0</formula>
    </cfRule>
  </conditionalFormatting>
  <conditionalFormatting sqref="F136:G1048576 G86:G135">
    <cfRule type="cellIs" dxfId="3505" priority="7809" operator="lessThan">
      <formula>0</formula>
    </cfRule>
  </conditionalFormatting>
  <conditionalFormatting sqref="F136:G1048576 G86:G135">
    <cfRule type="cellIs" dxfId="3504" priority="7808" operator="lessThan">
      <formula>0</formula>
    </cfRule>
  </conditionalFormatting>
  <conditionalFormatting sqref="F136:G1048576 G86:G135">
    <cfRule type="cellIs" dxfId="3503" priority="7807" operator="lessThan">
      <formula>0</formula>
    </cfRule>
  </conditionalFormatting>
  <conditionalFormatting sqref="F136:G1048576 G86:G135">
    <cfRule type="cellIs" dxfId="3502" priority="7806" operator="lessThan">
      <formula>0</formula>
    </cfRule>
  </conditionalFormatting>
  <conditionalFormatting sqref="F136:G1048576 G86:G135">
    <cfRule type="cellIs" dxfId="3501" priority="7805" operator="lessThan">
      <formula>0</formula>
    </cfRule>
  </conditionalFormatting>
  <conditionalFormatting sqref="F136:G1048576 G86:G135">
    <cfRule type="cellIs" dxfId="3500" priority="7804" operator="lessThan">
      <formula>0</formula>
    </cfRule>
  </conditionalFormatting>
  <conditionalFormatting sqref="F136:G1048576 G86:G135">
    <cfRule type="cellIs" dxfId="3499" priority="7803" operator="lessThan">
      <formula>0</formula>
    </cfRule>
  </conditionalFormatting>
  <conditionalFormatting sqref="F136:G1048576 G86:G135">
    <cfRule type="cellIs" dxfId="3498" priority="7802" operator="lessThan">
      <formula>0</formula>
    </cfRule>
  </conditionalFormatting>
  <conditionalFormatting sqref="F136:G1048576 G86:G135">
    <cfRule type="cellIs" dxfId="3497" priority="7801" operator="lessThan">
      <formula>0</formula>
    </cfRule>
  </conditionalFormatting>
  <conditionalFormatting sqref="F136:G1048576 G86:G135">
    <cfRule type="cellIs" dxfId="3496" priority="7800" operator="lessThan">
      <formula>0</formula>
    </cfRule>
  </conditionalFormatting>
  <conditionalFormatting sqref="F136:G1048576 G86:G135">
    <cfRule type="cellIs" dxfId="3495" priority="7799" operator="lessThan">
      <formula>0</formula>
    </cfRule>
  </conditionalFormatting>
  <conditionalFormatting sqref="F136:G1048576 G86:G135">
    <cfRule type="cellIs" dxfId="3494" priority="7798" operator="lessThan">
      <formula>0</formula>
    </cfRule>
  </conditionalFormatting>
  <conditionalFormatting sqref="F136:G1048576 G86:G135">
    <cfRule type="cellIs" dxfId="3493" priority="7797" operator="lessThan">
      <formula>0</formula>
    </cfRule>
  </conditionalFormatting>
  <conditionalFormatting sqref="F136:G1048576 G86:G135">
    <cfRule type="cellIs" dxfId="3492" priority="7796" operator="lessThan">
      <formula>0</formula>
    </cfRule>
  </conditionalFormatting>
  <conditionalFormatting sqref="F136:G1048576 G86:G135">
    <cfRule type="cellIs" dxfId="3491" priority="7795" operator="lessThan">
      <formula>0</formula>
    </cfRule>
  </conditionalFormatting>
  <conditionalFormatting sqref="F136:G1048576 G86:G135">
    <cfRule type="cellIs" dxfId="3490" priority="7794" operator="lessThan">
      <formula>0</formula>
    </cfRule>
  </conditionalFormatting>
  <conditionalFormatting sqref="F136:G1048576 G86:G135">
    <cfRule type="cellIs" dxfId="3489" priority="7793" operator="lessThan">
      <formula>0</formula>
    </cfRule>
  </conditionalFormatting>
  <conditionalFormatting sqref="F136:G1048576 G86:G135">
    <cfRule type="cellIs" dxfId="3488" priority="7792" operator="lessThan">
      <formula>0</formula>
    </cfRule>
  </conditionalFormatting>
  <conditionalFormatting sqref="F136:G1048576 G86:G135">
    <cfRule type="cellIs" dxfId="3487" priority="7791" operator="lessThan">
      <formula>0</formula>
    </cfRule>
  </conditionalFormatting>
  <conditionalFormatting sqref="F136:G1048576 G86:G135">
    <cfRule type="cellIs" dxfId="3486" priority="7790" operator="lessThan">
      <formula>0</formula>
    </cfRule>
  </conditionalFormatting>
  <conditionalFormatting sqref="F136:G1048576 G86:G135">
    <cfRule type="cellIs" dxfId="3485" priority="7789" operator="lessThan">
      <formula>0</formula>
    </cfRule>
  </conditionalFormatting>
  <conditionalFormatting sqref="F136:G1048576 G86:G135">
    <cfRule type="cellIs" dxfId="3484" priority="7788" operator="lessThan">
      <formula>0</formula>
    </cfRule>
  </conditionalFormatting>
  <conditionalFormatting sqref="F136:G1048576 G86:G135">
    <cfRule type="cellIs" dxfId="3483" priority="7787" operator="lessThan">
      <formula>0</formula>
    </cfRule>
  </conditionalFormatting>
  <conditionalFormatting sqref="F136:G1048576 G86:G135">
    <cfRule type="cellIs" dxfId="3482" priority="7786" operator="lessThan">
      <formula>0</formula>
    </cfRule>
  </conditionalFormatting>
  <conditionalFormatting sqref="F136:G1048576 G86:G135">
    <cfRule type="cellIs" dxfId="3481" priority="7785" operator="lessThan">
      <formula>0</formula>
    </cfRule>
  </conditionalFormatting>
  <conditionalFormatting sqref="F136:G1048576 G86:G135">
    <cfRule type="cellIs" dxfId="3480" priority="7784" operator="lessThan">
      <formula>0</formula>
    </cfRule>
  </conditionalFormatting>
  <conditionalFormatting sqref="F136:G1048576 G86:G135">
    <cfRule type="cellIs" dxfId="3479" priority="7783" operator="lessThan">
      <formula>0</formula>
    </cfRule>
  </conditionalFormatting>
  <conditionalFormatting sqref="F136:G1048576 G86:G135">
    <cfRule type="cellIs" dxfId="3478" priority="7782" operator="lessThan">
      <formula>0</formula>
    </cfRule>
  </conditionalFormatting>
  <conditionalFormatting sqref="F136:G1048576 G86:G135">
    <cfRule type="cellIs" dxfId="3477" priority="7781" operator="lessThan">
      <formula>0</formula>
    </cfRule>
  </conditionalFormatting>
  <conditionalFormatting sqref="F136:G1048576 G86:G135">
    <cfRule type="cellIs" dxfId="3476" priority="7780" operator="lessThan">
      <formula>0</formula>
    </cfRule>
  </conditionalFormatting>
  <conditionalFormatting sqref="F136:G1048576 G86:G135">
    <cfRule type="cellIs" dxfId="3475" priority="7779" operator="lessThan">
      <formula>0</formula>
    </cfRule>
  </conditionalFormatting>
  <conditionalFormatting sqref="F136:G1048576 G86:G135">
    <cfRule type="cellIs" dxfId="3474" priority="7778" operator="lessThan">
      <formula>0</formula>
    </cfRule>
  </conditionalFormatting>
  <conditionalFormatting sqref="F136:G1048576 G86:G135">
    <cfRule type="cellIs" dxfId="3473" priority="7777" operator="lessThan">
      <formula>0</formula>
    </cfRule>
  </conditionalFormatting>
  <conditionalFormatting sqref="F136:G1048576 G86:G135">
    <cfRule type="cellIs" dxfId="3472" priority="7776" operator="lessThan">
      <formula>0</formula>
    </cfRule>
  </conditionalFormatting>
  <conditionalFormatting sqref="F136:G1048576 G86:G135">
    <cfRule type="cellIs" dxfId="3471" priority="7775" operator="lessThan">
      <formula>0</formula>
    </cfRule>
  </conditionalFormatting>
  <conditionalFormatting sqref="F136:G1048576 G86:G135">
    <cfRule type="cellIs" dxfId="3470" priority="7774" operator="lessThan">
      <formula>0</formula>
    </cfRule>
  </conditionalFormatting>
  <conditionalFormatting sqref="F136:G1048576 G86:G135">
    <cfRule type="cellIs" dxfId="3469" priority="7773" operator="lessThan">
      <formula>0</formula>
    </cfRule>
  </conditionalFormatting>
  <conditionalFormatting sqref="F136:G1048576 G86:G135">
    <cfRule type="cellIs" dxfId="3468" priority="7772" operator="lessThan">
      <formula>0</formula>
    </cfRule>
  </conditionalFormatting>
  <conditionalFormatting sqref="F136:G1048576 G86:G135">
    <cfRule type="cellIs" dxfId="3467" priority="7771" operator="lessThan">
      <formula>0</formula>
    </cfRule>
  </conditionalFormatting>
  <conditionalFormatting sqref="F136:G1048576 G86:G135">
    <cfRule type="cellIs" dxfId="3466" priority="7770" operator="lessThan">
      <formula>0</formula>
    </cfRule>
  </conditionalFormatting>
  <conditionalFormatting sqref="F136:G1048576 G86:G135">
    <cfRule type="cellIs" dxfId="3465" priority="7769" operator="lessThan">
      <formula>0</formula>
    </cfRule>
  </conditionalFormatting>
  <conditionalFormatting sqref="F136:G1048576 G86:G135">
    <cfRule type="cellIs" dxfId="3464" priority="7768" operator="lessThan">
      <formula>0</formula>
    </cfRule>
  </conditionalFormatting>
  <conditionalFormatting sqref="F136:G1048576 G86:G135">
    <cfRule type="cellIs" dxfId="3463" priority="7767" operator="lessThan">
      <formula>0</formula>
    </cfRule>
  </conditionalFormatting>
  <conditionalFormatting sqref="F136:G1048576 G86:G135">
    <cfRule type="cellIs" dxfId="3462" priority="7766" operator="lessThan">
      <formula>0</formula>
    </cfRule>
  </conditionalFormatting>
  <conditionalFormatting sqref="F136:G1048576 G86:G135">
    <cfRule type="cellIs" dxfId="3461" priority="7765" operator="lessThan">
      <formula>0</formula>
    </cfRule>
  </conditionalFormatting>
  <conditionalFormatting sqref="F136:G1048576 G86:G135">
    <cfRule type="cellIs" dxfId="3460" priority="7764" operator="lessThan">
      <formula>0</formula>
    </cfRule>
  </conditionalFormatting>
  <conditionalFormatting sqref="F136:G1048576 G86:G135">
    <cfRule type="cellIs" dxfId="3459" priority="7763" operator="lessThan">
      <formula>0</formula>
    </cfRule>
  </conditionalFormatting>
  <conditionalFormatting sqref="F136:G1048576 G86:G135">
    <cfRule type="cellIs" dxfId="3458" priority="7762" operator="lessThan">
      <formula>0</formula>
    </cfRule>
  </conditionalFormatting>
  <conditionalFormatting sqref="F136:G1048576 G86:G135">
    <cfRule type="cellIs" dxfId="3457" priority="7761" operator="lessThan">
      <formula>0</formula>
    </cfRule>
  </conditionalFormatting>
  <conditionalFormatting sqref="F136:G1048576 G86:G135">
    <cfRule type="cellIs" dxfId="3456" priority="7760" operator="lessThan">
      <formula>0</formula>
    </cfRule>
  </conditionalFormatting>
  <conditionalFormatting sqref="F136:G1048576 G86:G135">
    <cfRule type="cellIs" dxfId="3455" priority="7759" operator="lessThan">
      <formula>0</formula>
    </cfRule>
  </conditionalFormatting>
  <conditionalFormatting sqref="F136:G1048576 G86:G135">
    <cfRule type="cellIs" dxfId="3454" priority="7758" operator="lessThan">
      <formula>0</formula>
    </cfRule>
  </conditionalFormatting>
  <conditionalFormatting sqref="F136:G1048576 G86:G135">
    <cfRule type="cellIs" dxfId="3453" priority="7757" operator="lessThan">
      <formula>0</formula>
    </cfRule>
  </conditionalFormatting>
  <conditionalFormatting sqref="F136:G1048576 G86:G135">
    <cfRule type="cellIs" dxfId="3452" priority="7756" operator="lessThan">
      <formula>0</formula>
    </cfRule>
  </conditionalFormatting>
  <conditionalFormatting sqref="F136:G1048576 G86:G135">
    <cfRule type="cellIs" dxfId="3451" priority="7755" operator="lessThan">
      <formula>0</formula>
    </cfRule>
  </conditionalFormatting>
  <conditionalFormatting sqref="F136:G1048576 G86:G135">
    <cfRule type="cellIs" dxfId="3450" priority="7754" operator="lessThan">
      <formula>0</formula>
    </cfRule>
  </conditionalFormatting>
  <conditionalFormatting sqref="F136:G1048576 G86:G135">
    <cfRule type="cellIs" dxfId="3449" priority="7753" operator="lessThan">
      <formula>0</formula>
    </cfRule>
  </conditionalFormatting>
  <conditionalFormatting sqref="F136:G1048576 G86:G135">
    <cfRule type="cellIs" dxfId="3448" priority="7752" operator="lessThan">
      <formula>0</formula>
    </cfRule>
  </conditionalFormatting>
  <conditionalFormatting sqref="F136:G1048576 G86:G135">
    <cfRule type="cellIs" dxfId="3447" priority="7751" operator="lessThan">
      <formula>0</formula>
    </cfRule>
  </conditionalFormatting>
  <conditionalFormatting sqref="F136:G1048576 G86:G135">
    <cfRule type="cellIs" dxfId="3446" priority="7750" operator="lessThan">
      <formula>0</formula>
    </cfRule>
  </conditionalFormatting>
  <conditionalFormatting sqref="F136:G1048576 G86:G135">
    <cfRule type="cellIs" dxfId="3445" priority="7749" operator="lessThan">
      <formula>0</formula>
    </cfRule>
  </conditionalFormatting>
  <conditionalFormatting sqref="F136:G1048576 G86:G135">
    <cfRule type="cellIs" dxfId="3444" priority="7748" operator="lessThan">
      <formula>0</formula>
    </cfRule>
  </conditionalFormatting>
  <conditionalFormatting sqref="F136:G1048576 G86:G135">
    <cfRule type="cellIs" dxfId="3443" priority="7747" operator="lessThan">
      <formula>0</formula>
    </cfRule>
  </conditionalFormatting>
  <conditionalFormatting sqref="F136:G1048576 G86:G135">
    <cfRule type="cellIs" dxfId="3442" priority="7746" operator="lessThan">
      <formula>0</formula>
    </cfRule>
  </conditionalFormatting>
  <conditionalFormatting sqref="F136:G1048576 G86:G135">
    <cfRule type="cellIs" dxfId="3441" priority="7745" operator="lessThan">
      <formula>0</formula>
    </cfRule>
  </conditionalFormatting>
  <conditionalFormatting sqref="F136:G1048576 G86:G135">
    <cfRule type="cellIs" dxfId="3440" priority="7744" operator="lessThan">
      <formula>0</formula>
    </cfRule>
  </conditionalFormatting>
  <conditionalFormatting sqref="F136:G1048576 G86:G135">
    <cfRule type="cellIs" dxfId="3439" priority="7743" operator="lessThan">
      <formula>0</formula>
    </cfRule>
  </conditionalFormatting>
  <conditionalFormatting sqref="F136:G1048576 G86:G135">
    <cfRule type="cellIs" dxfId="3438" priority="7742" operator="lessThan">
      <formula>0</formula>
    </cfRule>
  </conditionalFormatting>
  <conditionalFormatting sqref="F136:G1048576 G86:G135">
    <cfRule type="cellIs" dxfId="3437" priority="7741" operator="lessThan">
      <formula>0</formula>
    </cfRule>
  </conditionalFormatting>
  <conditionalFormatting sqref="F136:G1048576 G86:G135">
    <cfRule type="cellIs" dxfId="3436" priority="7740" operator="lessThan">
      <formula>0</formula>
    </cfRule>
  </conditionalFormatting>
  <conditionalFormatting sqref="F136:G1048576 G86:G135">
    <cfRule type="cellIs" dxfId="3435" priority="7739" operator="lessThan">
      <formula>0</formula>
    </cfRule>
  </conditionalFormatting>
  <conditionalFormatting sqref="F136:G1048576 G86:G135">
    <cfRule type="cellIs" dxfId="3434" priority="7738" operator="lessThan">
      <formula>0</formula>
    </cfRule>
  </conditionalFormatting>
  <conditionalFormatting sqref="F136:G1048576 G86:G135">
    <cfRule type="cellIs" dxfId="3433" priority="7737" operator="lessThan">
      <formula>0</formula>
    </cfRule>
  </conditionalFormatting>
  <conditionalFormatting sqref="F136:G1048576 G86:G135">
    <cfRule type="cellIs" dxfId="3432" priority="7736" operator="lessThan">
      <formula>0</formula>
    </cfRule>
  </conditionalFormatting>
  <conditionalFormatting sqref="F136:G1048576 G86:G135">
    <cfRule type="cellIs" dxfId="3431" priority="7735" operator="lessThan">
      <formula>0</formula>
    </cfRule>
  </conditionalFormatting>
  <conditionalFormatting sqref="F136:G1048576 G86:G135">
    <cfRule type="cellIs" dxfId="3430" priority="7734" operator="lessThan">
      <formula>0</formula>
    </cfRule>
  </conditionalFormatting>
  <conditionalFormatting sqref="F136:G1048576 G86:G135">
    <cfRule type="cellIs" dxfId="3429" priority="7733" operator="lessThan">
      <formula>0</formula>
    </cfRule>
  </conditionalFormatting>
  <conditionalFormatting sqref="F136:G1048576 G86:G135">
    <cfRule type="cellIs" dxfId="3428" priority="7732" operator="lessThan">
      <formula>0</formula>
    </cfRule>
  </conditionalFormatting>
  <conditionalFormatting sqref="F136:G1048576 G86:G135">
    <cfRule type="cellIs" dxfId="3427" priority="7731" operator="lessThan">
      <formula>0</formula>
    </cfRule>
  </conditionalFormatting>
  <conditionalFormatting sqref="F136:G1048576 G86:G135">
    <cfRule type="cellIs" dxfId="3426" priority="7730" operator="lessThan">
      <formula>0</formula>
    </cfRule>
  </conditionalFormatting>
  <conditionalFormatting sqref="F136:G1048576 G86:G135">
    <cfRule type="cellIs" dxfId="3425" priority="7729" operator="lessThan">
      <formula>0</formula>
    </cfRule>
  </conditionalFormatting>
  <conditionalFormatting sqref="F136:G1048576 G86:G135">
    <cfRule type="cellIs" dxfId="3424" priority="7728" operator="lessThan">
      <formula>0</formula>
    </cfRule>
  </conditionalFormatting>
  <conditionalFormatting sqref="F136:G1048576 G86:G135">
    <cfRule type="cellIs" dxfId="3423" priority="7727" operator="lessThan">
      <formula>0</formula>
    </cfRule>
  </conditionalFormatting>
  <conditionalFormatting sqref="F136:G1048576 G86:G135">
    <cfRule type="cellIs" dxfId="3422" priority="7726" operator="lessThan">
      <formula>0</formula>
    </cfRule>
  </conditionalFormatting>
  <conditionalFormatting sqref="F136:G1048576 G86:G135">
    <cfRule type="cellIs" dxfId="3421" priority="7725" operator="lessThan">
      <formula>0</formula>
    </cfRule>
  </conditionalFormatting>
  <conditionalFormatting sqref="F136:G1048576 G86:G135">
    <cfRule type="cellIs" dxfId="3420" priority="7724" operator="lessThan">
      <formula>0</formula>
    </cfRule>
  </conditionalFormatting>
  <conditionalFormatting sqref="F136:G1048576 G86:G135">
    <cfRule type="cellIs" dxfId="3419" priority="7723" operator="lessThan">
      <formula>0</formula>
    </cfRule>
  </conditionalFormatting>
  <conditionalFormatting sqref="F136:G1048576 G86:G135">
    <cfRule type="cellIs" dxfId="3418" priority="7722" operator="lessThan">
      <formula>0</formula>
    </cfRule>
  </conditionalFormatting>
  <conditionalFormatting sqref="F136:G1048576 G86:G135">
    <cfRule type="cellIs" dxfId="3417" priority="7721" operator="lessThan">
      <formula>0</formula>
    </cfRule>
  </conditionalFormatting>
  <conditionalFormatting sqref="F136:G1048576 G86:G135">
    <cfRule type="cellIs" dxfId="3416" priority="7720" operator="lessThan">
      <formula>0</formula>
    </cfRule>
  </conditionalFormatting>
  <conditionalFormatting sqref="F136:G1048576 G86:G135">
    <cfRule type="cellIs" dxfId="3415" priority="7719" operator="lessThan">
      <formula>0</formula>
    </cfRule>
  </conditionalFormatting>
  <conditionalFormatting sqref="F136:G1048576 G86:G135">
    <cfRule type="cellIs" dxfId="3414" priority="7718" operator="lessThan">
      <formula>0</formula>
    </cfRule>
  </conditionalFormatting>
  <conditionalFormatting sqref="F136:G1048576 G86:G135">
    <cfRule type="cellIs" dxfId="3413" priority="7717" operator="lessThan">
      <formula>0</formula>
    </cfRule>
  </conditionalFormatting>
  <conditionalFormatting sqref="F136:G1048576 G86:G135">
    <cfRule type="cellIs" dxfId="3412" priority="7716" operator="lessThan">
      <formula>0</formula>
    </cfRule>
  </conditionalFormatting>
  <conditionalFormatting sqref="F136:G1048576 G86:G135">
    <cfRule type="cellIs" dxfId="3411" priority="7715" operator="lessThan">
      <formula>0</formula>
    </cfRule>
  </conditionalFormatting>
  <conditionalFormatting sqref="F136:G1048576 G86:G135">
    <cfRule type="cellIs" dxfId="3410" priority="7714" operator="lessThan">
      <formula>0</formula>
    </cfRule>
  </conditionalFormatting>
  <conditionalFormatting sqref="F136:G1048576 G86:G135">
    <cfRule type="cellIs" dxfId="3409" priority="7713" operator="lessThan">
      <formula>0</formula>
    </cfRule>
  </conditionalFormatting>
  <conditionalFormatting sqref="F136:G1048576 G86:G135">
    <cfRule type="cellIs" dxfId="3408" priority="7712" operator="lessThan">
      <formula>0</formula>
    </cfRule>
  </conditionalFormatting>
  <conditionalFormatting sqref="F136:G1048576 G86:G135">
    <cfRule type="cellIs" dxfId="3407" priority="7711" operator="lessThan">
      <formula>0</formula>
    </cfRule>
  </conditionalFormatting>
  <conditionalFormatting sqref="F136:G1048576 G86:G135">
    <cfRule type="cellIs" dxfId="3406" priority="7710" operator="lessThan">
      <formula>0</formula>
    </cfRule>
  </conditionalFormatting>
  <conditionalFormatting sqref="F136:G1048576 G86:G135">
    <cfRule type="cellIs" dxfId="3405" priority="7709" operator="lessThan">
      <formula>0</formula>
    </cfRule>
  </conditionalFormatting>
  <conditionalFormatting sqref="F136:G1048576 G86:G135">
    <cfRule type="cellIs" dxfId="3404" priority="7708" operator="lessThan">
      <formula>0</formula>
    </cfRule>
  </conditionalFormatting>
  <conditionalFormatting sqref="F136:G1048576 G86:G135">
    <cfRule type="cellIs" dxfId="3403" priority="7707" operator="lessThan">
      <formula>0</formula>
    </cfRule>
  </conditionalFormatting>
  <conditionalFormatting sqref="F136:G1048576 G86:G135">
    <cfRule type="cellIs" dxfId="3402" priority="7706" operator="lessThan">
      <formula>0</formula>
    </cfRule>
  </conditionalFormatting>
  <conditionalFormatting sqref="F136:G1048576 G86:G135">
    <cfRule type="cellIs" dxfId="3401" priority="7705" operator="lessThan">
      <formula>0</formula>
    </cfRule>
  </conditionalFormatting>
  <conditionalFormatting sqref="F136:G1048576 G86:G135">
    <cfRule type="cellIs" dxfId="3400" priority="7704" operator="lessThan">
      <formula>0</formula>
    </cfRule>
  </conditionalFormatting>
  <conditionalFormatting sqref="F136:G1048576 G86:G135">
    <cfRule type="cellIs" dxfId="3399" priority="7703" operator="lessThan">
      <formula>0</formula>
    </cfRule>
  </conditionalFormatting>
  <conditionalFormatting sqref="F136:G1048576 G86:G135">
    <cfRule type="cellIs" dxfId="3398" priority="7702" operator="lessThan">
      <formula>0</formula>
    </cfRule>
  </conditionalFormatting>
  <conditionalFormatting sqref="F136:G1048576 G86:G135">
    <cfRule type="cellIs" dxfId="3397" priority="7701" operator="lessThan">
      <formula>0</formula>
    </cfRule>
  </conditionalFormatting>
  <conditionalFormatting sqref="F136:G1048576 G86:G135">
    <cfRule type="cellIs" dxfId="3396" priority="7700" operator="lessThan">
      <formula>0</formula>
    </cfRule>
  </conditionalFormatting>
  <conditionalFormatting sqref="F136:G1048576 G86:G135">
    <cfRule type="cellIs" dxfId="3395" priority="7699" operator="lessThan">
      <formula>0</formula>
    </cfRule>
  </conditionalFormatting>
  <conditionalFormatting sqref="F136:G1048576 G86:G135">
    <cfRule type="cellIs" dxfId="3394" priority="7698" operator="lessThan">
      <formula>0</formula>
    </cfRule>
  </conditionalFormatting>
  <conditionalFormatting sqref="F136:G1048576 G86:G135">
    <cfRule type="cellIs" dxfId="3393" priority="7697" operator="lessThan">
      <formula>0</formula>
    </cfRule>
  </conditionalFormatting>
  <conditionalFormatting sqref="F136:G1048576 G86:G135">
    <cfRule type="cellIs" dxfId="3392" priority="7696" operator="lessThan">
      <formula>0</formula>
    </cfRule>
  </conditionalFormatting>
  <conditionalFormatting sqref="F136:G1048576 G86:G135">
    <cfRule type="cellIs" dxfId="3391" priority="7695" operator="lessThan">
      <formula>0</formula>
    </cfRule>
  </conditionalFormatting>
  <conditionalFormatting sqref="F136:G1048576 G86:G135">
    <cfRule type="cellIs" dxfId="3390" priority="7694" operator="lessThan">
      <formula>0</formula>
    </cfRule>
  </conditionalFormatting>
  <conditionalFormatting sqref="F136:G1048576 G86:G135">
    <cfRule type="cellIs" dxfId="3389" priority="7693" operator="lessThan">
      <formula>0</formula>
    </cfRule>
  </conditionalFormatting>
  <conditionalFormatting sqref="F136:G1048576 G86:G135">
    <cfRule type="cellIs" dxfId="3388" priority="7692" operator="lessThan">
      <formula>0</formula>
    </cfRule>
  </conditionalFormatting>
  <conditionalFormatting sqref="F136:G1048576 G86:G135">
    <cfRule type="cellIs" dxfId="3387" priority="7691" operator="lessThan">
      <formula>0</formula>
    </cfRule>
  </conditionalFormatting>
  <conditionalFormatting sqref="F136:G1048576 G86:G135">
    <cfRule type="cellIs" dxfId="3386" priority="7690" operator="lessThan">
      <formula>0</formula>
    </cfRule>
  </conditionalFormatting>
  <conditionalFormatting sqref="F136:G1048576 G86:G135">
    <cfRule type="cellIs" dxfId="3385" priority="7689" operator="lessThan">
      <formula>0</formula>
    </cfRule>
  </conditionalFormatting>
  <conditionalFormatting sqref="F136:G1048576 G86:G135">
    <cfRule type="cellIs" dxfId="3384" priority="7688" operator="lessThan">
      <formula>0</formula>
    </cfRule>
  </conditionalFormatting>
  <conditionalFormatting sqref="F136:G1048576 G86:G135">
    <cfRule type="cellIs" dxfId="3383" priority="7687" operator="lessThan">
      <formula>0</formula>
    </cfRule>
  </conditionalFormatting>
  <conditionalFormatting sqref="F136:G1048576 G86:G135">
    <cfRule type="cellIs" dxfId="3382" priority="7686" operator="lessThan">
      <formula>0</formula>
    </cfRule>
  </conditionalFormatting>
  <conditionalFormatting sqref="F136:G1048576 G86:G135">
    <cfRule type="cellIs" dxfId="3381" priority="7685" operator="lessThan">
      <formula>0</formula>
    </cfRule>
  </conditionalFormatting>
  <conditionalFormatting sqref="F136:G1048576 G86:G135">
    <cfRule type="cellIs" dxfId="3380" priority="7684" operator="lessThan">
      <formula>0</formula>
    </cfRule>
  </conditionalFormatting>
  <conditionalFormatting sqref="F136:G1048576 G86:G135">
    <cfRule type="cellIs" dxfId="3379" priority="7683" operator="lessThan">
      <formula>0</formula>
    </cfRule>
  </conditionalFormatting>
  <conditionalFormatting sqref="F136:G1048576 G86:G135">
    <cfRule type="cellIs" dxfId="3378" priority="7682" operator="lessThan">
      <formula>0</formula>
    </cfRule>
  </conditionalFormatting>
  <conditionalFormatting sqref="F136:G1048576 G86:G135">
    <cfRule type="cellIs" dxfId="3377" priority="7681" operator="lessThan">
      <formula>0</formula>
    </cfRule>
  </conditionalFormatting>
  <conditionalFormatting sqref="F136:G1048576 G86:G135">
    <cfRule type="cellIs" dxfId="3376" priority="7680" operator="lessThan">
      <formula>0</formula>
    </cfRule>
  </conditionalFormatting>
  <conditionalFormatting sqref="F136:G1048576 G86:G135">
    <cfRule type="cellIs" dxfId="3375" priority="7679" operator="lessThan">
      <formula>0</formula>
    </cfRule>
  </conditionalFormatting>
  <conditionalFormatting sqref="F136:G1048576 G86:G135">
    <cfRule type="cellIs" dxfId="3374" priority="7678" operator="lessThan">
      <formula>0</formula>
    </cfRule>
  </conditionalFormatting>
  <conditionalFormatting sqref="F136:G1048576 G86:G135">
    <cfRule type="cellIs" dxfId="3373" priority="7677" operator="lessThan">
      <formula>0</formula>
    </cfRule>
  </conditionalFormatting>
  <conditionalFormatting sqref="F136:G1048576 G86:G135">
    <cfRule type="cellIs" dxfId="3372" priority="7676" operator="lessThan">
      <formula>0</formula>
    </cfRule>
  </conditionalFormatting>
  <conditionalFormatting sqref="F136:G1048576 G86:G135">
    <cfRule type="cellIs" dxfId="3371" priority="7675" operator="lessThan">
      <formula>0</formula>
    </cfRule>
  </conditionalFormatting>
  <conditionalFormatting sqref="F136:G1048576 G86:G135">
    <cfRule type="cellIs" dxfId="3370" priority="7674" operator="lessThan">
      <formula>0</formula>
    </cfRule>
  </conditionalFormatting>
  <conditionalFormatting sqref="F136:G1048576 G86:G135">
    <cfRule type="cellIs" dxfId="3369" priority="7673" operator="lessThan">
      <formula>0</formula>
    </cfRule>
  </conditionalFormatting>
  <conditionalFormatting sqref="F136:G1048576 G86:G135">
    <cfRule type="cellIs" dxfId="3368" priority="7672" operator="lessThan">
      <formula>0</formula>
    </cfRule>
  </conditionalFormatting>
  <conditionalFormatting sqref="F136:G1048576 G86:G135">
    <cfRule type="cellIs" dxfId="3367" priority="7671" operator="lessThan">
      <formula>0</formula>
    </cfRule>
  </conditionalFormatting>
  <conditionalFormatting sqref="F136:G1048576 G86:G135">
    <cfRule type="cellIs" dxfId="3366" priority="7670" operator="lessThan">
      <formula>0</formula>
    </cfRule>
  </conditionalFormatting>
  <conditionalFormatting sqref="F136:G1048576 G86:G135">
    <cfRule type="cellIs" dxfId="3365" priority="7669" operator="lessThan">
      <formula>0</formula>
    </cfRule>
  </conditionalFormatting>
  <conditionalFormatting sqref="F136:G1048576 G86:G135">
    <cfRule type="cellIs" dxfId="3364" priority="7668" operator="lessThan">
      <formula>0</formula>
    </cfRule>
  </conditionalFormatting>
  <conditionalFormatting sqref="F136:G1048576 G86:G135">
    <cfRule type="cellIs" dxfId="3363" priority="7667" operator="lessThan">
      <formula>0</formula>
    </cfRule>
  </conditionalFormatting>
  <conditionalFormatting sqref="F136:G1048576 G86:G135">
    <cfRule type="cellIs" dxfId="3362" priority="7666" operator="lessThan">
      <formula>0</formula>
    </cfRule>
  </conditionalFormatting>
  <conditionalFormatting sqref="F136:G1048576 G86:G135">
    <cfRule type="cellIs" dxfId="3361" priority="7665" operator="lessThan">
      <formula>0</formula>
    </cfRule>
  </conditionalFormatting>
  <conditionalFormatting sqref="F136:G1048576 G86:G135">
    <cfRule type="cellIs" dxfId="3360" priority="7664" operator="lessThan">
      <formula>0</formula>
    </cfRule>
  </conditionalFormatting>
  <conditionalFormatting sqref="F136:G1048576 G86:G135">
    <cfRule type="cellIs" dxfId="3359" priority="7663" operator="lessThan">
      <formula>0</formula>
    </cfRule>
  </conditionalFormatting>
  <conditionalFormatting sqref="F136:G1048576 G86:G135">
    <cfRule type="cellIs" dxfId="3358" priority="7662" operator="lessThan">
      <formula>0</formula>
    </cfRule>
  </conditionalFormatting>
  <conditionalFormatting sqref="F136:G1048576 G86:G135">
    <cfRule type="cellIs" dxfId="3357" priority="7661" operator="lessThan">
      <formula>0</formula>
    </cfRule>
  </conditionalFormatting>
  <conditionalFormatting sqref="F136:G1048576 G86:G135">
    <cfRule type="cellIs" dxfId="3356" priority="7660" operator="lessThan">
      <formula>0</formula>
    </cfRule>
  </conditionalFormatting>
  <conditionalFormatting sqref="F136:G1048576 G86:G135">
    <cfRule type="cellIs" dxfId="3355" priority="7659" operator="lessThan">
      <formula>0</formula>
    </cfRule>
  </conditionalFormatting>
  <conditionalFormatting sqref="F136:G1048576 G86:G135">
    <cfRule type="cellIs" dxfId="3354" priority="7658" operator="lessThan">
      <formula>0</formula>
    </cfRule>
  </conditionalFormatting>
  <conditionalFormatting sqref="F136:G1048576 G86:G135">
    <cfRule type="cellIs" dxfId="3353" priority="7657" operator="lessThan">
      <formula>0</formula>
    </cfRule>
  </conditionalFormatting>
  <conditionalFormatting sqref="F136:G1048576 G86:G135">
    <cfRule type="cellIs" dxfId="3352" priority="7656" operator="lessThan">
      <formula>0</formula>
    </cfRule>
  </conditionalFormatting>
  <conditionalFormatting sqref="F136:G1048576 G86:G135">
    <cfRule type="cellIs" dxfId="3351" priority="7655" operator="lessThan">
      <formula>0</formula>
    </cfRule>
  </conditionalFormatting>
  <conditionalFormatting sqref="F136:G1048576 G86:G135">
    <cfRule type="cellIs" dxfId="3350" priority="7654" operator="lessThan">
      <formula>0</formula>
    </cfRule>
  </conditionalFormatting>
  <conditionalFormatting sqref="F136:G1048576 G86:G135">
    <cfRule type="cellIs" dxfId="3349" priority="7653" operator="lessThan">
      <formula>0</formula>
    </cfRule>
  </conditionalFormatting>
  <conditionalFormatting sqref="F136:G1048576 G86:G135">
    <cfRule type="cellIs" dxfId="3348" priority="7652" operator="lessThan">
      <formula>0</formula>
    </cfRule>
  </conditionalFormatting>
  <conditionalFormatting sqref="F136:G1048576 G86:G135">
    <cfRule type="cellIs" dxfId="3347" priority="7651" operator="lessThan">
      <formula>0</formula>
    </cfRule>
  </conditionalFormatting>
  <conditionalFormatting sqref="F136:G1048576 G86:G135">
    <cfRule type="cellIs" dxfId="3346" priority="7650" operator="lessThan">
      <formula>0</formula>
    </cfRule>
  </conditionalFormatting>
  <conditionalFormatting sqref="F136:G1048576 G86:G135">
    <cfRule type="cellIs" dxfId="3345" priority="7649" operator="lessThan">
      <formula>0</formula>
    </cfRule>
  </conditionalFormatting>
  <conditionalFormatting sqref="F136:G1048576 G86:G135">
    <cfRule type="cellIs" dxfId="3344" priority="7648" operator="lessThan">
      <formula>0</formula>
    </cfRule>
  </conditionalFormatting>
  <conditionalFormatting sqref="F136:G1048576 G86:G135">
    <cfRule type="cellIs" dxfId="3343" priority="7647" operator="lessThan">
      <formula>0</formula>
    </cfRule>
  </conditionalFormatting>
  <conditionalFormatting sqref="F136:G1048576 G86:G135">
    <cfRule type="cellIs" dxfId="3342" priority="7646" operator="lessThan">
      <formula>0</formula>
    </cfRule>
  </conditionalFormatting>
  <conditionalFormatting sqref="F136:G1048576 G86:G135">
    <cfRule type="cellIs" dxfId="3341" priority="7645" operator="lessThan">
      <formula>0</formula>
    </cfRule>
  </conditionalFormatting>
  <conditionalFormatting sqref="F136:G1048576 G86:G135">
    <cfRule type="cellIs" dxfId="3340" priority="7644" operator="lessThan">
      <formula>0</formula>
    </cfRule>
  </conditionalFormatting>
  <conditionalFormatting sqref="F136:G1048576 G86:G135">
    <cfRule type="cellIs" dxfId="3339" priority="7643" operator="lessThan">
      <formula>0</formula>
    </cfRule>
  </conditionalFormatting>
  <conditionalFormatting sqref="F136:G1048576 G86:G135">
    <cfRule type="cellIs" dxfId="3338" priority="7642" operator="lessThan">
      <formula>0</formula>
    </cfRule>
  </conditionalFormatting>
  <conditionalFormatting sqref="F136:G1048576 G86:G135">
    <cfRule type="cellIs" dxfId="3337" priority="7641" operator="lessThan">
      <formula>0</formula>
    </cfRule>
  </conditionalFormatting>
  <conditionalFormatting sqref="F136:G1048576 G86:G135">
    <cfRule type="cellIs" dxfId="3336" priority="7640" operator="lessThan">
      <formula>0</formula>
    </cfRule>
  </conditionalFormatting>
  <conditionalFormatting sqref="F136:G1048576 G86:G135">
    <cfRule type="cellIs" dxfId="3335" priority="7639" operator="lessThan">
      <formula>0</formula>
    </cfRule>
  </conditionalFormatting>
  <conditionalFormatting sqref="F136:G1048576 G86:G135">
    <cfRule type="cellIs" dxfId="3334" priority="7638" operator="lessThan">
      <formula>0</formula>
    </cfRule>
  </conditionalFormatting>
  <conditionalFormatting sqref="F136:G1048576 G86:G135">
    <cfRule type="cellIs" dxfId="3333" priority="7637" operator="lessThan">
      <formula>0</formula>
    </cfRule>
  </conditionalFormatting>
  <conditionalFormatting sqref="F136:G1048576 G86:G135">
    <cfRule type="cellIs" dxfId="3332" priority="7636" operator="lessThan">
      <formula>0</formula>
    </cfRule>
  </conditionalFormatting>
  <conditionalFormatting sqref="F136:G1048576 G86:G135">
    <cfRule type="cellIs" dxfId="3331" priority="7635" operator="lessThan">
      <formula>0</formula>
    </cfRule>
  </conditionalFormatting>
  <conditionalFormatting sqref="F136:G1048576 G86:G135">
    <cfRule type="cellIs" dxfId="3330" priority="7634" operator="lessThan">
      <formula>0</formula>
    </cfRule>
  </conditionalFormatting>
  <conditionalFormatting sqref="F136:G1048576 G86:G135">
    <cfRule type="cellIs" dxfId="3329" priority="7633" operator="lessThan">
      <formula>0</formula>
    </cfRule>
  </conditionalFormatting>
  <conditionalFormatting sqref="F136:G1048576 G86:G135">
    <cfRule type="cellIs" dxfId="3328" priority="7632" operator="lessThan">
      <formula>0</formula>
    </cfRule>
  </conditionalFormatting>
  <conditionalFormatting sqref="F136:G1048576 G86:G135">
    <cfRule type="cellIs" dxfId="3327" priority="7631" operator="lessThan">
      <formula>0</formula>
    </cfRule>
  </conditionalFormatting>
  <conditionalFormatting sqref="F136:G1048576 G86:G135">
    <cfRule type="cellIs" dxfId="3326" priority="7630" operator="lessThan">
      <formula>0</formula>
    </cfRule>
  </conditionalFormatting>
  <conditionalFormatting sqref="F136:G1048576 G86:G135">
    <cfRule type="cellIs" dxfId="3325" priority="7629" operator="lessThan">
      <formula>0</formula>
    </cfRule>
  </conditionalFormatting>
  <conditionalFormatting sqref="F136:G1048576 G86:G135">
    <cfRule type="cellIs" dxfId="3324" priority="7628" operator="lessThan">
      <formula>0</formula>
    </cfRule>
  </conditionalFormatting>
  <conditionalFormatting sqref="F136:G1048576 G86:G135">
    <cfRule type="cellIs" dxfId="3323" priority="7627" operator="lessThan">
      <formula>0</formula>
    </cfRule>
  </conditionalFormatting>
  <conditionalFormatting sqref="F136:G1048576 G86:G135">
    <cfRule type="cellIs" dxfId="3322" priority="7626" operator="lessThan">
      <formula>0</formula>
    </cfRule>
  </conditionalFormatting>
  <conditionalFormatting sqref="F136:G1048576 G86:G135">
    <cfRule type="cellIs" dxfId="3321" priority="7625" operator="lessThan">
      <formula>0</formula>
    </cfRule>
  </conditionalFormatting>
  <conditionalFormatting sqref="F136:G1048576 G86:G135">
    <cfRule type="cellIs" dxfId="3320" priority="7624" operator="lessThan">
      <formula>0</formula>
    </cfRule>
  </conditionalFormatting>
  <conditionalFormatting sqref="F136:G1048576 G86:G135">
    <cfRule type="cellIs" dxfId="3319" priority="7623" operator="lessThan">
      <formula>0</formula>
    </cfRule>
  </conditionalFormatting>
  <conditionalFormatting sqref="F136:G1048576 G86:G135">
    <cfRule type="cellIs" dxfId="3318" priority="7622" operator="lessThan">
      <formula>0</formula>
    </cfRule>
  </conditionalFormatting>
  <conditionalFormatting sqref="F136:G1048576 G86:G135">
    <cfRule type="cellIs" dxfId="3317" priority="7621" operator="lessThan">
      <formula>0</formula>
    </cfRule>
  </conditionalFormatting>
  <conditionalFormatting sqref="F136:G1048576 G86:G135">
    <cfRule type="cellIs" dxfId="3316" priority="7620" operator="lessThan">
      <formula>0</formula>
    </cfRule>
  </conditionalFormatting>
  <conditionalFormatting sqref="F136:G1048576 G86:G135">
    <cfRule type="cellIs" dxfId="3315" priority="7619" operator="lessThan">
      <formula>0</formula>
    </cfRule>
  </conditionalFormatting>
  <conditionalFormatting sqref="F136:G1048576 G86:G135">
    <cfRule type="cellIs" dxfId="3314" priority="7618" operator="lessThan">
      <formula>0</formula>
    </cfRule>
  </conditionalFormatting>
  <conditionalFormatting sqref="F136:G1048576 G86:G135">
    <cfRule type="cellIs" dxfId="3313" priority="7617" operator="lessThan">
      <formula>0</formula>
    </cfRule>
  </conditionalFormatting>
  <conditionalFormatting sqref="F136:G1048576 G86:G135">
    <cfRule type="cellIs" dxfId="3312" priority="7616" operator="lessThan">
      <formula>0</formula>
    </cfRule>
  </conditionalFormatting>
  <conditionalFormatting sqref="F136:G1048576 G86:G135">
    <cfRule type="cellIs" dxfId="3311" priority="7615" operator="lessThan">
      <formula>0</formula>
    </cfRule>
  </conditionalFormatting>
  <conditionalFormatting sqref="F136:G1048576 G86:G135">
    <cfRule type="cellIs" dxfId="3310" priority="7614" operator="lessThan">
      <formula>0</formula>
    </cfRule>
  </conditionalFormatting>
  <conditionalFormatting sqref="F136:G1048576 G86:G135">
    <cfRule type="cellIs" dxfId="3309" priority="7613" operator="lessThan">
      <formula>0</formula>
    </cfRule>
  </conditionalFormatting>
  <conditionalFormatting sqref="F136:G1048576 G86:G135">
    <cfRule type="cellIs" dxfId="3308" priority="7612" operator="lessThan">
      <formula>0</formula>
    </cfRule>
  </conditionalFormatting>
  <conditionalFormatting sqref="F136:G1048576 G86:G135">
    <cfRule type="cellIs" dxfId="3307" priority="7611" operator="lessThan">
      <formula>0</formula>
    </cfRule>
  </conditionalFormatting>
  <conditionalFormatting sqref="F136:G1048576 G86:G135">
    <cfRule type="cellIs" dxfId="3306" priority="7610" operator="lessThan">
      <formula>0</formula>
    </cfRule>
  </conditionalFormatting>
  <conditionalFormatting sqref="F136:G1048576 G86:G135">
    <cfRule type="cellIs" dxfId="3305" priority="7609" operator="lessThan">
      <formula>0</formula>
    </cfRule>
  </conditionalFormatting>
  <conditionalFormatting sqref="F136:G1048576 G86:G135">
    <cfRule type="cellIs" dxfId="3304" priority="7608" operator="lessThan">
      <formula>0</formula>
    </cfRule>
  </conditionalFormatting>
  <conditionalFormatting sqref="F136:G1048576 G86:G135">
    <cfRule type="cellIs" dxfId="3303" priority="7607" operator="lessThan">
      <formula>0</formula>
    </cfRule>
  </conditionalFormatting>
  <conditionalFormatting sqref="F136:G1048576 G86:G135">
    <cfRule type="cellIs" dxfId="3302" priority="7606" operator="lessThan">
      <formula>0</formula>
    </cfRule>
  </conditionalFormatting>
  <conditionalFormatting sqref="F136:G1048576 G61:G135">
    <cfRule type="cellIs" dxfId="3301" priority="7605" operator="lessThan">
      <formula>0</formula>
    </cfRule>
  </conditionalFormatting>
  <conditionalFormatting sqref="F136:G1048576 G61:G135">
    <cfRule type="cellIs" dxfId="3300" priority="7604" operator="lessThan">
      <formula>0</formula>
    </cfRule>
  </conditionalFormatting>
  <conditionalFormatting sqref="F136:G1048576 G61:G135">
    <cfRule type="cellIs" dxfId="3299" priority="7603" operator="lessThan">
      <formula>0</formula>
    </cfRule>
  </conditionalFormatting>
  <conditionalFormatting sqref="F136:G1048576 G61:G135">
    <cfRule type="cellIs" dxfId="3298" priority="7602" operator="lessThan">
      <formula>0</formula>
    </cfRule>
  </conditionalFormatting>
  <conditionalFormatting sqref="F136:G1048576 G61:G135">
    <cfRule type="cellIs" dxfId="3297" priority="7601" operator="lessThan">
      <formula>0</formula>
    </cfRule>
  </conditionalFormatting>
  <conditionalFormatting sqref="F136:G1048576 G61:G135">
    <cfRule type="cellIs" dxfId="3296" priority="7600" operator="lessThan">
      <formula>0</formula>
    </cfRule>
  </conditionalFormatting>
  <conditionalFormatting sqref="F136:G1048576 G61:G135">
    <cfRule type="cellIs" dxfId="3295" priority="7599" operator="lessThan">
      <formula>0</formula>
    </cfRule>
  </conditionalFormatting>
  <conditionalFormatting sqref="F136:G1048576 G61:G135">
    <cfRule type="cellIs" dxfId="3294" priority="7598" operator="lessThan">
      <formula>0</formula>
    </cfRule>
  </conditionalFormatting>
  <conditionalFormatting sqref="F136:G1048576 G61:G135">
    <cfRule type="cellIs" dxfId="3293" priority="7597" operator="lessThan">
      <formula>0</formula>
    </cfRule>
  </conditionalFormatting>
  <conditionalFormatting sqref="F136:G1048576 G61:G135">
    <cfRule type="cellIs" dxfId="3292" priority="7596" operator="lessThan">
      <formula>0</formula>
    </cfRule>
  </conditionalFormatting>
  <conditionalFormatting sqref="F136:G1048576 G61:G135">
    <cfRule type="cellIs" dxfId="3291" priority="7595" operator="lessThan">
      <formula>0</formula>
    </cfRule>
  </conditionalFormatting>
  <conditionalFormatting sqref="F136:G1048576 G61:G135">
    <cfRule type="cellIs" dxfId="3290" priority="7594" operator="lessThan">
      <formula>0</formula>
    </cfRule>
  </conditionalFormatting>
  <conditionalFormatting sqref="F136:G1048576 G61:G135">
    <cfRule type="cellIs" dxfId="3289" priority="7593" operator="lessThan">
      <formula>0</formula>
    </cfRule>
  </conditionalFormatting>
  <conditionalFormatting sqref="F136:G1048576 G61:G135">
    <cfRule type="cellIs" dxfId="3288" priority="7592" operator="lessThan">
      <formula>0</formula>
    </cfRule>
  </conditionalFormatting>
  <conditionalFormatting sqref="F136:G1048576 G61:G135">
    <cfRule type="cellIs" dxfId="3287" priority="7591" operator="lessThan">
      <formula>0</formula>
    </cfRule>
  </conditionalFormatting>
  <conditionalFormatting sqref="F136:G1048576 G61:G135">
    <cfRule type="cellIs" dxfId="3286" priority="7590" operator="lessThan">
      <formula>0</formula>
    </cfRule>
  </conditionalFormatting>
  <conditionalFormatting sqref="F136:G1048576 G61:G135">
    <cfRule type="cellIs" dxfId="3285" priority="7589" operator="lessThan">
      <formula>0</formula>
    </cfRule>
  </conditionalFormatting>
  <conditionalFormatting sqref="F136:G1048576 G61:G135">
    <cfRule type="cellIs" dxfId="3284" priority="7588" operator="lessThan">
      <formula>0</formula>
    </cfRule>
  </conditionalFormatting>
  <conditionalFormatting sqref="F136:G1048576 G61:G135">
    <cfRule type="cellIs" dxfId="3283" priority="7587" operator="lessThan">
      <formula>0</formula>
    </cfRule>
  </conditionalFormatting>
  <conditionalFormatting sqref="F136:G1048576 G61:G135">
    <cfRule type="cellIs" dxfId="3282" priority="7586" operator="lessThan">
      <formula>0</formula>
    </cfRule>
  </conditionalFormatting>
  <conditionalFormatting sqref="F136:G1048576 G61:G135">
    <cfRule type="cellIs" dxfId="3281" priority="7585" operator="lessThan">
      <formula>0</formula>
    </cfRule>
  </conditionalFormatting>
  <conditionalFormatting sqref="F136:G1048576 G61:G135">
    <cfRule type="cellIs" dxfId="3280" priority="7584" operator="lessThan">
      <formula>0</formula>
    </cfRule>
  </conditionalFormatting>
  <conditionalFormatting sqref="F136:G1048576 G61:G135">
    <cfRule type="cellIs" dxfId="3279" priority="7583" operator="lessThan">
      <formula>0</formula>
    </cfRule>
  </conditionalFormatting>
  <conditionalFormatting sqref="F136:G1048576 G61:G135">
    <cfRule type="cellIs" dxfId="3278" priority="7582" operator="lessThan">
      <formula>0</formula>
    </cfRule>
  </conditionalFormatting>
  <conditionalFormatting sqref="F136:G1048576 G61:G135">
    <cfRule type="cellIs" dxfId="3277" priority="7581" operator="lessThan">
      <formula>0</formula>
    </cfRule>
  </conditionalFormatting>
  <conditionalFormatting sqref="F136:G1048576 G61:G135">
    <cfRule type="cellIs" dxfId="3276" priority="7580" operator="lessThan">
      <formula>0</formula>
    </cfRule>
  </conditionalFormatting>
  <conditionalFormatting sqref="F136:G1048576 G61:G135">
    <cfRule type="cellIs" dxfId="3275" priority="7579" operator="lessThan">
      <formula>0</formula>
    </cfRule>
  </conditionalFormatting>
  <conditionalFormatting sqref="F136:G1048576 G61:G135">
    <cfRule type="cellIs" dxfId="3274" priority="7578" operator="lessThan">
      <formula>0</formula>
    </cfRule>
  </conditionalFormatting>
  <conditionalFormatting sqref="F136:G1048576 G61:G135">
    <cfRule type="cellIs" dxfId="3273" priority="7577" operator="lessThan">
      <formula>0</formula>
    </cfRule>
  </conditionalFormatting>
  <conditionalFormatting sqref="F136:G1048576 G61:G135">
    <cfRule type="cellIs" dxfId="3272" priority="7576" operator="lessThan">
      <formula>0</formula>
    </cfRule>
  </conditionalFormatting>
  <conditionalFormatting sqref="F136:G1048576 G61:G135">
    <cfRule type="cellIs" dxfId="3271" priority="7575" operator="lessThan">
      <formula>0</formula>
    </cfRule>
  </conditionalFormatting>
  <conditionalFormatting sqref="F136:G1048576 G61:G135">
    <cfRule type="cellIs" dxfId="3270" priority="7574" operator="lessThan">
      <formula>0</formula>
    </cfRule>
  </conditionalFormatting>
  <conditionalFormatting sqref="F136:G1048576 G61:G135">
    <cfRule type="cellIs" dxfId="3269" priority="7573" operator="lessThan">
      <formula>0</formula>
    </cfRule>
  </conditionalFormatting>
  <conditionalFormatting sqref="F136:G1048576 G61:G135">
    <cfRule type="cellIs" dxfId="3268" priority="7572" operator="lessThan">
      <formula>0</formula>
    </cfRule>
  </conditionalFormatting>
  <conditionalFormatting sqref="F136:G1048576 G61:G135">
    <cfRule type="cellIs" dxfId="3267" priority="7571" operator="lessThan">
      <formula>0</formula>
    </cfRule>
  </conditionalFormatting>
  <conditionalFormatting sqref="F136:G1048576 G61:G135">
    <cfRule type="cellIs" dxfId="3266" priority="7570" operator="lessThan">
      <formula>0</formula>
    </cfRule>
  </conditionalFormatting>
  <conditionalFormatting sqref="F136:G1048576 G61:G135">
    <cfRule type="cellIs" dxfId="3265" priority="7569" operator="lessThan">
      <formula>0</formula>
    </cfRule>
  </conditionalFormatting>
  <conditionalFormatting sqref="F136:G1048576 G61:G135">
    <cfRule type="cellIs" dxfId="3264" priority="7568" operator="lessThan">
      <formula>0</formula>
    </cfRule>
  </conditionalFormatting>
  <conditionalFormatting sqref="F136:G1048576 G61:G135">
    <cfRule type="cellIs" dxfId="3263" priority="7567" operator="lessThan">
      <formula>0</formula>
    </cfRule>
  </conditionalFormatting>
  <conditionalFormatting sqref="F136:G1048576 G61:G135">
    <cfRule type="cellIs" dxfId="3262" priority="7566" operator="lessThan">
      <formula>0</formula>
    </cfRule>
  </conditionalFormatting>
  <conditionalFormatting sqref="F136:G1048576 G61:G135">
    <cfRule type="cellIs" dxfId="3261" priority="7565" operator="lessThan">
      <formula>0</formula>
    </cfRule>
  </conditionalFormatting>
  <conditionalFormatting sqref="F136:G1048576 G61:G135">
    <cfRule type="cellIs" dxfId="3260" priority="7564" operator="lessThan">
      <formula>0</formula>
    </cfRule>
  </conditionalFormatting>
  <conditionalFormatting sqref="F136:G1048576 G61:G135">
    <cfRule type="cellIs" dxfId="3259" priority="7563" operator="lessThan">
      <formula>0</formula>
    </cfRule>
  </conditionalFormatting>
  <conditionalFormatting sqref="F136:G1048576 G61:G135">
    <cfRule type="cellIs" dxfId="3258" priority="7562" operator="lessThan">
      <formula>0</formula>
    </cfRule>
  </conditionalFormatting>
  <conditionalFormatting sqref="F136:G1048576 G61:G135">
    <cfRule type="cellIs" dxfId="3257" priority="7561" operator="lessThan">
      <formula>0</formula>
    </cfRule>
  </conditionalFormatting>
  <conditionalFormatting sqref="F136:G1048576 G61:G135">
    <cfRule type="cellIs" dxfId="3256" priority="7560" operator="lessThan">
      <formula>0</formula>
    </cfRule>
  </conditionalFormatting>
  <conditionalFormatting sqref="F136:G1048576 G61:G135">
    <cfRule type="cellIs" dxfId="3255" priority="7559" operator="lessThan">
      <formula>0</formula>
    </cfRule>
  </conditionalFormatting>
  <conditionalFormatting sqref="F136:G1048576 G61:G135">
    <cfRule type="cellIs" dxfId="3254" priority="7558" operator="lessThan">
      <formula>0</formula>
    </cfRule>
  </conditionalFormatting>
  <conditionalFormatting sqref="F136:G1048576 G61:G135">
    <cfRule type="cellIs" dxfId="3253" priority="7557" operator="lessThan">
      <formula>0</formula>
    </cfRule>
  </conditionalFormatting>
  <conditionalFormatting sqref="F136:G1048576 G61:G135">
    <cfRule type="cellIs" dxfId="3252" priority="7556" operator="lessThan">
      <formula>0</formula>
    </cfRule>
  </conditionalFormatting>
  <conditionalFormatting sqref="F136:G1048576 G61:G135">
    <cfRule type="cellIs" dxfId="3251" priority="7555" operator="lessThan">
      <formula>0</formula>
    </cfRule>
  </conditionalFormatting>
  <conditionalFormatting sqref="F136:G1048576 G61:G135">
    <cfRule type="cellIs" dxfId="3250" priority="7554" operator="lessThan">
      <formula>0</formula>
    </cfRule>
  </conditionalFormatting>
  <conditionalFormatting sqref="F136:G1048576 G61:G135">
    <cfRule type="cellIs" dxfId="3249" priority="7553" operator="lessThan">
      <formula>0</formula>
    </cfRule>
  </conditionalFormatting>
  <conditionalFormatting sqref="F136:G1048576 G61:G135">
    <cfRule type="cellIs" dxfId="3248" priority="7552" operator="lessThan">
      <formula>0</formula>
    </cfRule>
  </conditionalFormatting>
  <conditionalFormatting sqref="F136:G1048576 G61:G135">
    <cfRule type="cellIs" dxfId="3247" priority="7551" operator="lessThan">
      <formula>0</formula>
    </cfRule>
  </conditionalFormatting>
  <conditionalFormatting sqref="F136:G1048576 G61:G135">
    <cfRule type="cellIs" dxfId="3246" priority="7550" operator="lessThan">
      <formula>0</formula>
    </cfRule>
  </conditionalFormatting>
  <conditionalFormatting sqref="F136:G1048576 G61:G135">
    <cfRule type="cellIs" dxfId="3245" priority="7549" operator="lessThan">
      <formula>0</formula>
    </cfRule>
  </conditionalFormatting>
  <conditionalFormatting sqref="F136:G1048576 G61:G135">
    <cfRule type="cellIs" dxfId="3244" priority="7548" operator="lessThan">
      <formula>0</formula>
    </cfRule>
  </conditionalFormatting>
  <conditionalFormatting sqref="F136:G1048576 G61:G135">
    <cfRule type="cellIs" dxfId="3243" priority="7547" operator="lessThan">
      <formula>0</formula>
    </cfRule>
  </conditionalFormatting>
  <conditionalFormatting sqref="F136:G1048576 G61:G135">
    <cfRule type="cellIs" dxfId="3242" priority="7546" operator="lessThan">
      <formula>0</formula>
    </cfRule>
  </conditionalFormatting>
  <conditionalFormatting sqref="F136:G1048576 G61:G135">
    <cfRule type="cellIs" dxfId="3241" priority="7545" operator="lessThan">
      <formula>0</formula>
    </cfRule>
  </conditionalFormatting>
  <conditionalFormatting sqref="F136:G1048576 G61:G135">
    <cfRule type="cellIs" dxfId="3240" priority="7544" operator="lessThan">
      <formula>0</formula>
    </cfRule>
  </conditionalFormatting>
  <conditionalFormatting sqref="F136:G1048576 G61:G135">
    <cfRule type="cellIs" dxfId="3239" priority="7543" operator="lessThan">
      <formula>0</formula>
    </cfRule>
  </conditionalFormatting>
  <conditionalFormatting sqref="F136:G1048576 G61:G135">
    <cfRule type="cellIs" dxfId="3238" priority="7542" operator="lessThan">
      <formula>0</formula>
    </cfRule>
  </conditionalFormatting>
  <conditionalFormatting sqref="F136:G1048576 G61:G135">
    <cfRule type="cellIs" dxfId="3237" priority="7541" operator="lessThan">
      <formula>0</formula>
    </cfRule>
  </conditionalFormatting>
  <conditionalFormatting sqref="F136:G1048576 G61:G135">
    <cfRule type="cellIs" dxfId="3236" priority="7540" operator="lessThan">
      <formula>0</formula>
    </cfRule>
  </conditionalFormatting>
  <conditionalFormatting sqref="F136:G1048576 G61:G135">
    <cfRule type="cellIs" dxfId="3235" priority="7539" operator="lessThan">
      <formula>0</formula>
    </cfRule>
  </conditionalFormatting>
  <conditionalFormatting sqref="F136:G1048576 G61:G135">
    <cfRule type="cellIs" dxfId="3234" priority="7538" operator="lessThan">
      <formula>0</formula>
    </cfRule>
  </conditionalFormatting>
  <conditionalFormatting sqref="F136:G1048576 G61:G135">
    <cfRule type="cellIs" dxfId="3233" priority="7537" operator="lessThan">
      <formula>0</formula>
    </cfRule>
  </conditionalFormatting>
  <conditionalFormatting sqref="F136:G1048576 G61:G135">
    <cfRule type="cellIs" dxfId="3232" priority="7536" operator="lessThan">
      <formula>0</formula>
    </cfRule>
  </conditionalFormatting>
  <conditionalFormatting sqref="F136:G1048576 G61:G135">
    <cfRule type="cellIs" dxfId="3231" priority="7535" operator="lessThan">
      <formula>0</formula>
    </cfRule>
  </conditionalFormatting>
  <conditionalFormatting sqref="F136:G1048576 G61:G135">
    <cfRule type="cellIs" dxfId="3230" priority="7534" operator="lessThan">
      <formula>0</formula>
    </cfRule>
  </conditionalFormatting>
  <conditionalFormatting sqref="F136:G1048576 G61:G135">
    <cfRule type="cellIs" dxfId="3229" priority="7533" operator="lessThan">
      <formula>0</formula>
    </cfRule>
  </conditionalFormatting>
  <conditionalFormatting sqref="F136:G1048576 G61:G135">
    <cfRule type="cellIs" dxfId="3228" priority="7532" operator="lessThan">
      <formula>0</formula>
    </cfRule>
  </conditionalFormatting>
  <conditionalFormatting sqref="F136:G1048576 G61:G135">
    <cfRule type="cellIs" dxfId="3227" priority="7531" operator="lessThan">
      <formula>0</formula>
    </cfRule>
  </conditionalFormatting>
  <conditionalFormatting sqref="F136:G1048576 G61:G135">
    <cfRule type="cellIs" dxfId="3226" priority="7530" operator="lessThan">
      <formula>0</formula>
    </cfRule>
  </conditionalFormatting>
  <conditionalFormatting sqref="F136:G1048576 G61:G135">
    <cfRule type="cellIs" dxfId="3225" priority="7529" operator="lessThan">
      <formula>0</formula>
    </cfRule>
  </conditionalFormatting>
  <conditionalFormatting sqref="F136:G1048576 G61:G135">
    <cfRule type="cellIs" dxfId="3224" priority="7528" operator="lessThan">
      <formula>0</formula>
    </cfRule>
  </conditionalFormatting>
  <conditionalFormatting sqref="F136:G1048576 G61:G135">
    <cfRule type="cellIs" dxfId="3223" priority="7527" operator="lessThan">
      <formula>0</formula>
    </cfRule>
  </conditionalFormatting>
  <conditionalFormatting sqref="F136:G1048576 G61:G135">
    <cfRule type="cellIs" dxfId="3222" priority="7526" operator="lessThan">
      <formula>0</formula>
    </cfRule>
  </conditionalFormatting>
  <conditionalFormatting sqref="F136:G1048576 G61:G135">
    <cfRule type="cellIs" dxfId="3221" priority="7525" operator="lessThan">
      <formula>0</formula>
    </cfRule>
  </conditionalFormatting>
  <conditionalFormatting sqref="F136:G1048576 G61:G135">
    <cfRule type="cellIs" dxfId="3220" priority="7524" operator="lessThan">
      <formula>0</formula>
    </cfRule>
  </conditionalFormatting>
  <conditionalFormatting sqref="F136:G1048576 G61:G135">
    <cfRule type="cellIs" dxfId="3219" priority="7523" operator="lessThan">
      <formula>0</formula>
    </cfRule>
  </conditionalFormatting>
  <conditionalFormatting sqref="F136:G1048576 G61:G135">
    <cfRule type="cellIs" dxfId="3218" priority="7522" operator="lessThan">
      <formula>0</formula>
    </cfRule>
  </conditionalFormatting>
  <conditionalFormatting sqref="F136:G1048576 G61:G135">
    <cfRule type="cellIs" dxfId="3217" priority="7521" operator="lessThan">
      <formula>0</formula>
    </cfRule>
  </conditionalFormatting>
  <conditionalFormatting sqref="F136:G1048576 G61:G135">
    <cfRule type="cellIs" dxfId="3216" priority="7520" operator="lessThan">
      <formula>0</formula>
    </cfRule>
  </conditionalFormatting>
  <conditionalFormatting sqref="F136:G1048576 G61:G135">
    <cfRule type="cellIs" dxfId="3215" priority="7519" operator="lessThan">
      <formula>0</formula>
    </cfRule>
  </conditionalFormatting>
  <conditionalFormatting sqref="F136:G1048576 G61:G135">
    <cfRule type="cellIs" dxfId="3214" priority="7518" operator="lessThan">
      <formula>0</formula>
    </cfRule>
  </conditionalFormatting>
  <conditionalFormatting sqref="F136:G1048576 G61:G135">
    <cfRule type="cellIs" dxfId="3213" priority="7517" operator="lessThan">
      <formula>0</formula>
    </cfRule>
  </conditionalFormatting>
  <conditionalFormatting sqref="F136:G1048576 G61:G135">
    <cfRule type="cellIs" dxfId="3212" priority="7516" operator="lessThan">
      <formula>0</formula>
    </cfRule>
  </conditionalFormatting>
  <conditionalFormatting sqref="F136:G1048576 G61:G135">
    <cfRule type="cellIs" dxfId="3211" priority="7515" operator="lessThan">
      <formula>0</formula>
    </cfRule>
  </conditionalFormatting>
  <conditionalFormatting sqref="F136:G1048576 G61:G135">
    <cfRule type="cellIs" dxfId="3210" priority="7514" operator="lessThan">
      <formula>0</formula>
    </cfRule>
  </conditionalFormatting>
  <conditionalFormatting sqref="F136:G1048576 G61:G135">
    <cfRule type="cellIs" dxfId="3209" priority="7513" operator="lessThan">
      <formula>0</formula>
    </cfRule>
  </conditionalFormatting>
  <conditionalFormatting sqref="F136:G1048576 G61:G135">
    <cfRule type="cellIs" dxfId="3208" priority="7512" operator="lessThan">
      <formula>0</formula>
    </cfRule>
  </conditionalFormatting>
  <conditionalFormatting sqref="F136:G1048576 G61:G135">
    <cfRule type="cellIs" dxfId="3207" priority="7511" operator="lessThan">
      <formula>0</formula>
    </cfRule>
  </conditionalFormatting>
  <conditionalFormatting sqref="F136:G1048576 G61:G135">
    <cfRule type="cellIs" dxfId="3206" priority="7510" operator="lessThan">
      <formula>0</formula>
    </cfRule>
  </conditionalFormatting>
  <conditionalFormatting sqref="F136:G1048576 G61:G135">
    <cfRule type="cellIs" dxfId="3205" priority="7509" operator="lessThan">
      <formula>0</formula>
    </cfRule>
  </conditionalFormatting>
  <conditionalFormatting sqref="F136:G1048576 G61:G135">
    <cfRule type="cellIs" dxfId="3204" priority="7508" operator="lessThan">
      <formula>0</formula>
    </cfRule>
  </conditionalFormatting>
  <conditionalFormatting sqref="F136:G1048576 G61:G135">
    <cfRule type="cellIs" dxfId="3203" priority="7507" operator="lessThan">
      <formula>0</formula>
    </cfRule>
  </conditionalFormatting>
  <conditionalFormatting sqref="F136:G1048576 G61:G135">
    <cfRule type="cellIs" dxfId="3202" priority="7506" operator="lessThan">
      <formula>0</formula>
    </cfRule>
  </conditionalFormatting>
  <conditionalFormatting sqref="F136:G1048576 G61:G135">
    <cfRule type="cellIs" dxfId="3201" priority="7505" operator="lessThan">
      <formula>0</formula>
    </cfRule>
  </conditionalFormatting>
  <conditionalFormatting sqref="F136:G1048576 G61:G135">
    <cfRule type="cellIs" dxfId="3200" priority="7504" operator="lessThan">
      <formula>0</formula>
    </cfRule>
  </conditionalFormatting>
  <conditionalFormatting sqref="F136:G1048576 G61:G135">
    <cfRule type="cellIs" dxfId="3199" priority="7503" operator="lessThan">
      <formula>0</formula>
    </cfRule>
  </conditionalFormatting>
  <conditionalFormatting sqref="F136:G1048576 G61:G135">
    <cfRule type="cellIs" dxfId="3198" priority="7502" operator="lessThan">
      <formula>0</formula>
    </cfRule>
  </conditionalFormatting>
  <conditionalFormatting sqref="F136:G1048576 G61:G135">
    <cfRule type="cellIs" dxfId="3197" priority="7501" operator="lessThan">
      <formula>0</formula>
    </cfRule>
  </conditionalFormatting>
  <conditionalFormatting sqref="F136:G1048576 G61:G135">
    <cfRule type="cellIs" dxfId="3196" priority="7500" operator="lessThan">
      <formula>0</formula>
    </cfRule>
  </conditionalFormatting>
  <conditionalFormatting sqref="F136:G1048576 G61:G135">
    <cfRule type="cellIs" dxfId="3195" priority="7499" operator="lessThan">
      <formula>0</formula>
    </cfRule>
  </conditionalFormatting>
  <conditionalFormatting sqref="F136:G1048576 G61:G135">
    <cfRule type="cellIs" dxfId="3194" priority="7498" operator="lessThan">
      <formula>0</formula>
    </cfRule>
  </conditionalFormatting>
  <conditionalFormatting sqref="F136:G1048576 G61:G135">
    <cfRule type="cellIs" dxfId="3193" priority="7497" operator="lessThan">
      <formula>0</formula>
    </cfRule>
  </conditionalFormatting>
  <conditionalFormatting sqref="F136:G1048576 G61:G135">
    <cfRule type="cellIs" dxfId="3192" priority="7496" operator="lessThan">
      <formula>0</formula>
    </cfRule>
  </conditionalFormatting>
  <conditionalFormatting sqref="F136:G1048576 G61:G135">
    <cfRule type="cellIs" dxfId="3191" priority="7495" operator="lessThan">
      <formula>0</formula>
    </cfRule>
  </conditionalFormatting>
  <conditionalFormatting sqref="F136:G1048576 G61:G135">
    <cfRule type="cellIs" dxfId="3190" priority="7494" operator="lessThan">
      <formula>0</formula>
    </cfRule>
  </conditionalFormatting>
  <conditionalFormatting sqref="F136:G1048576 G61:G135">
    <cfRule type="cellIs" dxfId="3189" priority="7493" operator="lessThan">
      <formula>0</formula>
    </cfRule>
  </conditionalFormatting>
  <conditionalFormatting sqref="F136:G1048576 G61:G135">
    <cfRule type="cellIs" dxfId="3188" priority="7492" operator="lessThan">
      <formula>0</formula>
    </cfRule>
  </conditionalFormatting>
  <conditionalFormatting sqref="F136:G1048576 G61:G135">
    <cfRule type="cellIs" dxfId="3187" priority="7491" operator="lessThan">
      <formula>0</formula>
    </cfRule>
  </conditionalFormatting>
  <conditionalFormatting sqref="F136:G1048576 G61:G135">
    <cfRule type="cellIs" dxfId="3186" priority="7490" operator="lessThan">
      <formula>0</formula>
    </cfRule>
  </conditionalFormatting>
  <conditionalFormatting sqref="F136:G1048576 G61:G135">
    <cfRule type="cellIs" dxfId="3185" priority="7489" operator="lessThan">
      <formula>0</formula>
    </cfRule>
  </conditionalFormatting>
  <conditionalFormatting sqref="F136:G1048576 G61:G135">
    <cfRule type="cellIs" dxfId="3184" priority="7488" operator="lessThan">
      <formula>0</formula>
    </cfRule>
  </conditionalFormatting>
  <conditionalFormatting sqref="F136:G1048576 G61:G135">
    <cfRule type="cellIs" dxfId="3183" priority="7487" operator="lessThan">
      <formula>0</formula>
    </cfRule>
  </conditionalFormatting>
  <conditionalFormatting sqref="F136:G1048576 G61:G135">
    <cfRule type="cellIs" dxfId="3182" priority="7486" operator="lessThan">
      <formula>0</formula>
    </cfRule>
  </conditionalFormatting>
  <conditionalFormatting sqref="F136:G1048576 G61:G135">
    <cfRule type="cellIs" dxfId="3181" priority="7485" operator="lessThan">
      <formula>0</formula>
    </cfRule>
  </conditionalFormatting>
  <conditionalFormatting sqref="F136:G1048576 G61:G135">
    <cfRule type="cellIs" dxfId="3180" priority="7484" operator="lessThan">
      <formula>0</formula>
    </cfRule>
  </conditionalFormatting>
  <conditionalFormatting sqref="F136:G1048576 G61:G135">
    <cfRule type="cellIs" dxfId="3179" priority="7483" operator="lessThan">
      <formula>0</formula>
    </cfRule>
  </conditionalFormatting>
  <conditionalFormatting sqref="F136:G1048576 G61:G135">
    <cfRule type="cellIs" dxfId="3178" priority="7482" operator="lessThan">
      <formula>0</formula>
    </cfRule>
  </conditionalFormatting>
  <conditionalFormatting sqref="F136:G1048576 G61:G135">
    <cfRule type="cellIs" dxfId="3177" priority="7481" operator="lessThan">
      <formula>0</formula>
    </cfRule>
  </conditionalFormatting>
  <conditionalFormatting sqref="F136:G1048576 G61:G135">
    <cfRule type="cellIs" dxfId="3176" priority="7480" operator="lessThan">
      <formula>0</formula>
    </cfRule>
  </conditionalFormatting>
  <conditionalFormatting sqref="F136:G1048576 G61:G135">
    <cfRule type="cellIs" dxfId="3175" priority="7479" operator="lessThan">
      <formula>0</formula>
    </cfRule>
  </conditionalFormatting>
  <conditionalFormatting sqref="F136:G1048576 G61:G135">
    <cfRule type="cellIs" dxfId="3174" priority="7478" operator="lessThan">
      <formula>0</formula>
    </cfRule>
  </conditionalFormatting>
  <conditionalFormatting sqref="F136:G1048576 G61:G135">
    <cfRule type="cellIs" dxfId="3173" priority="7477" operator="lessThan">
      <formula>0</formula>
    </cfRule>
  </conditionalFormatting>
  <conditionalFormatting sqref="F136:G1048576 G61:G135">
    <cfRule type="cellIs" dxfId="3172" priority="7476" operator="lessThan">
      <formula>0</formula>
    </cfRule>
  </conditionalFormatting>
  <conditionalFormatting sqref="F136:G1048576 G61:G135">
    <cfRule type="cellIs" dxfId="3171" priority="7475" operator="lessThan">
      <formula>0</formula>
    </cfRule>
  </conditionalFormatting>
  <conditionalFormatting sqref="F136:G1048576 G61:G135">
    <cfRule type="cellIs" dxfId="3170" priority="7474" operator="lessThan">
      <formula>0</formula>
    </cfRule>
  </conditionalFormatting>
  <conditionalFormatting sqref="F136:G1048576 G61:G135">
    <cfRule type="cellIs" dxfId="3169" priority="7473" operator="lessThan">
      <formula>0</formula>
    </cfRule>
  </conditionalFormatting>
  <conditionalFormatting sqref="F136:G1048576 G61:G135">
    <cfRule type="cellIs" dxfId="3168" priority="7472" operator="lessThan">
      <formula>0</formula>
    </cfRule>
  </conditionalFormatting>
  <conditionalFormatting sqref="F136:G1048576 G61:G135">
    <cfRule type="cellIs" dxfId="3167" priority="7471" operator="lessThan">
      <formula>0</formula>
    </cfRule>
  </conditionalFormatting>
  <conditionalFormatting sqref="F136:G1048576 G61:G135">
    <cfRule type="cellIs" dxfId="3166" priority="7470" operator="lessThan">
      <formula>0</formula>
    </cfRule>
  </conditionalFormatting>
  <conditionalFormatting sqref="F136:G1048576 G61:G135">
    <cfRule type="cellIs" dxfId="3165" priority="7469" operator="lessThan">
      <formula>0</formula>
    </cfRule>
  </conditionalFormatting>
  <conditionalFormatting sqref="F136:G1048576 G61:G135">
    <cfRule type="cellIs" dxfId="3164" priority="7468" operator="lessThan">
      <formula>0</formula>
    </cfRule>
  </conditionalFormatting>
  <conditionalFormatting sqref="F136:G1048576 G61:G135">
    <cfRule type="cellIs" dxfId="3163" priority="7467" operator="lessThan">
      <formula>0</formula>
    </cfRule>
  </conditionalFormatting>
  <conditionalFormatting sqref="F136:G1048576 G61:G135">
    <cfRule type="cellIs" dxfId="3162" priority="7466" operator="lessThan">
      <formula>0</formula>
    </cfRule>
  </conditionalFormatting>
  <conditionalFormatting sqref="F136:G1048576 G61:G135">
    <cfRule type="cellIs" dxfId="3161" priority="7465" operator="lessThan">
      <formula>0</formula>
    </cfRule>
  </conditionalFormatting>
  <conditionalFormatting sqref="F136:G1048576 G61:G135">
    <cfRule type="cellIs" dxfId="3160" priority="7464" operator="lessThan">
      <formula>0</formula>
    </cfRule>
  </conditionalFormatting>
  <conditionalFormatting sqref="F136:G1048576 G61:G135">
    <cfRule type="cellIs" dxfId="3159" priority="7463" operator="lessThan">
      <formula>0</formula>
    </cfRule>
  </conditionalFormatting>
  <conditionalFormatting sqref="F136:G1048576 G61:G135">
    <cfRule type="cellIs" dxfId="3158" priority="7462" operator="lessThan">
      <formula>0</formula>
    </cfRule>
  </conditionalFormatting>
  <conditionalFormatting sqref="F136:G1048576 G61:G135">
    <cfRule type="cellIs" dxfId="3157" priority="7461" operator="lessThan">
      <formula>0</formula>
    </cfRule>
  </conditionalFormatting>
  <conditionalFormatting sqref="F136:G1048576 G61:G135">
    <cfRule type="cellIs" dxfId="3156" priority="7460" operator="lessThan">
      <formula>0</formula>
    </cfRule>
  </conditionalFormatting>
  <conditionalFormatting sqref="F136:G1048576 G61:G135">
    <cfRule type="cellIs" dxfId="3155" priority="7459" operator="lessThan">
      <formula>0</formula>
    </cfRule>
  </conditionalFormatting>
  <conditionalFormatting sqref="F136:G1048576 G61:G135">
    <cfRule type="cellIs" dxfId="3154" priority="7458" operator="lessThan">
      <formula>0</formula>
    </cfRule>
  </conditionalFormatting>
  <conditionalFormatting sqref="F136:G1048576 G61:G135">
    <cfRule type="cellIs" dxfId="3153" priority="7457" operator="lessThan">
      <formula>0</formula>
    </cfRule>
  </conditionalFormatting>
  <conditionalFormatting sqref="F136:G1048576 G61:G135">
    <cfRule type="cellIs" dxfId="3152" priority="7456" operator="lessThan">
      <formula>0</formula>
    </cfRule>
  </conditionalFormatting>
  <conditionalFormatting sqref="F136:G1048576 G61:G135">
    <cfRule type="cellIs" dxfId="3151" priority="7455" operator="lessThan">
      <formula>0</formula>
    </cfRule>
  </conditionalFormatting>
  <conditionalFormatting sqref="F136:G1048576 G61:G135">
    <cfRule type="cellIs" dxfId="3150" priority="7454" operator="lessThan">
      <formula>0</formula>
    </cfRule>
  </conditionalFormatting>
  <conditionalFormatting sqref="F136:G1048576 G61:G135">
    <cfRule type="cellIs" dxfId="3149" priority="7453" operator="lessThan">
      <formula>0</formula>
    </cfRule>
  </conditionalFormatting>
  <conditionalFormatting sqref="F136:G1048576 G61:G135">
    <cfRule type="cellIs" dxfId="3148" priority="7452" operator="lessThan">
      <formula>0</formula>
    </cfRule>
  </conditionalFormatting>
  <conditionalFormatting sqref="F136:G1048576 G61:G135">
    <cfRule type="cellIs" dxfId="3147" priority="7451" operator="lessThan">
      <formula>0</formula>
    </cfRule>
  </conditionalFormatting>
  <conditionalFormatting sqref="F136:G1048576 G61:G135">
    <cfRule type="cellIs" dxfId="3146" priority="7450" operator="lessThan">
      <formula>0</formula>
    </cfRule>
  </conditionalFormatting>
  <conditionalFormatting sqref="F136:G1048576 G61:G135">
    <cfRule type="cellIs" dxfId="3145" priority="7449" operator="lessThan">
      <formula>0</formula>
    </cfRule>
  </conditionalFormatting>
  <conditionalFormatting sqref="F136:G1048576 G61:G135">
    <cfRule type="cellIs" dxfId="3144" priority="7448" operator="lessThan">
      <formula>0</formula>
    </cfRule>
  </conditionalFormatting>
  <conditionalFormatting sqref="F136:G1048576 G61:G135">
    <cfRule type="cellIs" dxfId="3143" priority="7447" operator="lessThan">
      <formula>0</formula>
    </cfRule>
  </conditionalFormatting>
  <conditionalFormatting sqref="F136:G1048576 G61:G135">
    <cfRule type="cellIs" dxfId="3142" priority="7446" operator="lessThan">
      <formula>0</formula>
    </cfRule>
  </conditionalFormatting>
  <conditionalFormatting sqref="F136:G1048576 G61:G135">
    <cfRule type="cellIs" dxfId="3141" priority="7445" operator="lessThan">
      <formula>0</formula>
    </cfRule>
  </conditionalFormatting>
  <conditionalFormatting sqref="G42">
    <cfRule type="cellIs" dxfId="3140" priority="6742" operator="lessThan">
      <formula>0</formula>
    </cfRule>
  </conditionalFormatting>
  <conditionalFormatting sqref="G42">
    <cfRule type="cellIs" dxfId="3139" priority="6741" operator="lessThan">
      <formula>0</formula>
    </cfRule>
  </conditionalFormatting>
  <conditionalFormatting sqref="G42">
    <cfRule type="cellIs" dxfId="3138" priority="6740" operator="lessThan">
      <formula>0</formula>
    </cfRule>
  </conditionalFormatting>
  <conditionalFormatting sqref="G42">
    <cfRule type="cellIs" dxfId="3137" priority="6739" operator="lessThan">
      <formula>0</formula>
    </cfRule>
  </conditionalFormatting>
  <conditionalFormatting sqref="G42">
    <cfRule type="cellIs" dxfId="3136" priority="6738" operator="lessThan">
      <formula>0</formula>
    </cfRule>
  </conditionalFormatting>
  <conditionalFormatting sqref="G42">
    <cfRule type="cellIs" dxfId="3135" priority="6737" operator="lessThan">
      <formula>0</formula>
    </cfRule>
  </conditionalFormatting>
  <conditionalFormatting sqref="G42">
    <cfRule type="cellIs" dxfId="3134" priority="6736" operator="lessThan">
      <formula>0</formula>
    </cfRule>
  </conditionalFormatting>
  <conditionalFormatting sqref="G42">
    <cfRule type="cellIs" dxfId="3133" priority="6735" operator="lessThan">
      <formula>0</formula>
    </cfRule>
  </conditionalFormatting>
  <conditionalFormatting sqref="G42">
    <cfRule type="cellIs" dxfId="3132" priority="6734" operator="lessThan">
      <formula>0</formula>
    </cfRule>
  </conditionalFormatting>
  <conditionalFormatting sqref="G42">
    <cfRule type="cellIs" dxfId="3131" priority="6733" operator="lessThan">
      <formula>0</formula>
    </cfRule>
  </conditionalFormatting>
  <conditionalFormatting sqref="G42">
    <cfRule type="cellIs" dxfId="3130" priority="6732" operator="lessThan">
      <formula>0</formula>
    </cfRule>
  </conditionalFormatting>
  <conditionalFormatting sqref="G42">
    <cfRule type="cellIs" dxfId="3129" priority="6731" operator="lessThan">
      <formula>0</formula>
    </cfRule>
  </conditionalFormatting>
  <conditionalFormatting sqref="G42">
    <cfRule type="cellIs" dxfId="3128" priority="6730" operator="lessThan">
      <formula>0</formula>
    </cfRule>
  </conditionalFormatting>
  <conditionalFormatting sqref="G42">
    <cfRule type="cellIs" dxfId="3127" priority="6729" operator="lessThan">
      <formula>0</formula>
    </cfRule>
  </conditionalFormatting>
  <conditionalFormatting sqref="G42">
    <cfRule type="cellIs" dxfId="3126" priority="6728" operator="lessThan">
      <formula>0</formula>
    </cfRule>
  </conditionalFormatting>
  <conditionalFormatting sqref="G42">
    <cfRule type="cellIs" dxfId="3125" priority="6727" operator="lessThan">
      <formula>0</formula>
    </cfRule>
  </conditionalFormatting>
  <conditionalFormatting sqref="G42">
    <cfRule type="cellIs" dxfId="3124" priority="6726" operator="lessThan">
      <formula>0</formula>
    </cfRule>
  </conditionalFormatting>
  <conditionalFormatting sqref="G42">
    <cfRule type="cellIs" dxfId="3123" priority="6725" operator="lessThan">
      <formula>0</formula>
    </cfRule>
  </conditionalFormatting>
  <conditionalFormatting sqref="G42">
    <cfRule type="cellIs" dxfId="3122" priority="6724" operator="lessThan">
      <formula>0</formula>
    </cfRule>
  </conditionalFormatting>
  <conditionalFormatting pivot="1" sqref="F13:F56">
    <cfRule type="cellIs" dxfId="3121" priority="5669" operator="lessThan">
      <formula>0</formula>
    </cfRule>
  </conditionalFormatting>
  <conditionalFormatting sqref="H86:H1048576">
    <cfRule type="cellIs" dxfId="3120" priority="5465" operator="lessThan">
      <formula>0</formula>
    </cfRule>
  </conditionalFormatting>
  <conditionalFormatting sqref="H86:H1048576">
    <cfRule type="cellIs" dxfId="3119" priority="5464" operator="lessThan">
      <formula>0</formula>
    </cfRule>
  </conditionalFormatting>
  <conditionalFormatting sqref="H86:H1048576">
    <cfRule type="cellIs" dxfId="3118" priority="5463" operator="lessThan">
      <formula>0</formula>
    </cfRule>
  </conditionalFormatting>
  <conditionalFormatting sqref="H86:H1048576">
    <cfRule type="cellIs" dxfId="3117" priority="5462" operator="lessThan">
      <formula>0</formula>
    </cfRule>
  </conditionalFormatting>
  <conditionalFormatting sqref="H86:H1048576">
    <cfRule type="cellIs" dxfId="3116" priority="5461" operator="lessThan">
      <formula>0</formula>
    </cfRule>
  </conditionalFormatting>
  <conditionalFormatting sqref="H86:H1048576">
    <cfRule type="cellIs" dxfId="3115" priority="5460" operator="lessThan">
      <formula>0</formula>
    </cfRule>
  </conditionalFormatting>
  <conditionalFormatting sqref="H86:H1048576">
    <cfRule type="cellIs" dxfId="3114" priority="5459" operator="lessThan">
      <formula>0</formula>
    </cfRule>
  </conditionalFormatting>
  <conditionalFormatting sqref="H86:H1048576">
    <cfRule type="cellIs" dxfId="3113" priority="5458" operator="lessThan">
      <formula>0</formula>
    </cfRule>
  </conditionalFormatting>
  <conditionalFormatting sqref="H86:H1048576">
    <cfRule type="cellIs" dxfId="3112" priority="5457" operator="lessThan">
      <formula>0</formula>
    </cfRule>
  </conditionalFormatting>
  <conditionalFormatting sqref="H86:H1048576">
    <cfRule type="cellIs" dxfId="3111" priority="5456" operator="lessThan">
      <formula>0</formula>
    </cfRule>
  </conditionalFormatting>
  <conditionalFormatting sqref="H86:H1048576">
    <cfRule type="cellIs" dxfId="3110" priority="5455" operator="lessThan">
      <formula>0</formula>
    </cfRule>
  </conditionalFormatting>
  <conditionalFormatting sqref="H86:H1048576">
    <cfRule type="cellIs" dxfId="3109" priority="5454" operator="lessThan">
      <formula>0</formula>
    </cfRule>
  </conditionalFormatting>
  <conditionalFormatting sqref="H86:H1048576">
    <cfRule type="cellIs" dxfId="3108" priority="5453" operator="lessThan">
      <formula>0</formula>
    </cfRule>
  </conditionalFormatting>
  <conditionalFormatting sqref="H86:H1048576">
    <cfRule type="cellIs" dxfId="3107" priority="5452" operator="lessThan">
      <formula>0</formula>
    </cfRule>
  </conditionalFormatting>
  <conditionalFormatting sqref="H86:H1048576">
    <cfRule type="cellIs" dxfId="3106" priority="5451" operator="lessThan">
      <formula>0</formula>
    </cfRule>
  </conditionalFormatting>
  <conditionalFormatting sqref="H86:H1048576">
    <cfRule type="cellIs" dxfId="3105" priority="5450" operator="lessThan">
      <formula>0</formula>
    </cfRule>
  </conditionalFormatting>
  <conditionalFormatting sqref="H86:H1048576">
    <cfRule type="cellIs" dxfId="3104" priority="5449" operator="lessThan">
      <formula>0</formula>
    </cfRule>
  </conditionalFormatting>
  <conditionalFormatting sqref="H86:H1048576">
    <cfRule type="cellIs" dxfId="3103" priority="5448" operator="lessThan">
      <formula>0</formula>
    </cfRule>
  </conditionalFormatting>
  <conditionalFormatting sqref="H86:H1048576">
    <cfRule type="cellIs" dxfId="3102" priority="5447" operator="lessThan">
      <formula>0</formula>
    </cfRule>
  </conditionalFormatting>
  <conditionalFormatting sqref="H86:H1048576">
    <cfRule type="cellIs" dxfId="3101" priority="5446" operator="lessThan">
      <formula>0</formula>
    </cfRule>
  </conditionalFormatting>
  <conditionalFormatting sqref="H86:H1048576">
    <cfRule type="cellIs" dxfId="3100" priority="5445" operator="lessThan">
      <formula>0</formula>
    </cfRule>
  </conditionalFormatting>
  <conditionalFormatting sqref="H86:H1048576">
    <cfRule type="cellIs" dxfId="3099" priority="5444" operator="lessThan">
      <formula>0</formula>
    </cfRule>
  </conditionalFormatting>
  <conditionalFormatting sqref="H86:H1048576">
    <cfRule type="cellIs" dxfId="3098" priority="5443" operator="lessThan">
      <formula>0</formula>
    </cfRule>
  </conditionalFormatting>
  <conditionalFormatting sqref="H86:H1048576">
    <cfRule type="cellIs" dxfId="3097" priority="5442" operator="lessThan">
      <formula>0</formula>
    </cfRule>
  </conditionalFormatting>
  <conditionalFormatting sqref="H86:H1048576">
    <cfRule type="cellIs" dxfId="3096" priority="5441" operator="lessThan">
      <formula>0</formula>
    </cfRule>
  </conditionalFormatting>
  <conditionalFormatting sqref="H86:H1048576">
    <cfRule type="cellIs" dxfId="3095" priority="5440" operator="lessThan">
      <formula>0</formula>
    </cfRule>
  </conditionalFormatting>
  <conditionalFormatting sqref="H86:H1048576">
    <cfRule type="cellIs" dxfId="3094" priority="5439" operator="lessThan">
      <formula>0</formula>
    </cfRule>
  </conditionalFormatting>
  <conditionalFormatting sqref="H86:H1048576">
    <cfRule type="cellIs" dxfId="3093" priority="5438" operator="lessThan">
      <formula>0</formula>
    </cfRule>
  </conditionalFormatting>
  <conditionalFormatting sqref="H86:H1048576">
    <cfRule type="cellIs" dxfId="3092" priority="5437" operator="lessThan">
      <formula>0</formula>
    </cfRule>
  </conditionalFormatting>
  <conditionalFormatting sqref="H86:H1048576">
    <cfRule type="cellIs" dxfId="3091" priority="5436" operator="lessThan">
      <formula>0</formula>
    </cfRule>
  </conditionalFormatting>
  <conditionalFormatting sqref="H86:H1048576">
    <cfRule type="cellIs" dxfId="3090" priority="5435" operator="lessThan">
      <formula>0</formula>
    </cfRule>
  </conditionalFormatting>
  <conditionalFormatting sqref="H86:H1048576">
    <cfRule type="cellIs" dxfId="3089" priority="5434" operator="lessThan">
      <formula>0</formula>
    </cfRule>
  </conditionalFormatting>
  <conditionalFormatting sqref="H86:H1048576">
    <cfRule type="cellIs" dxfId="3088" priority="5433" operator="lessThan">
      <formula>0</formula>
    </cfRule>
  </conditionalFormatting>
  <conditionalFormatting sqref="H86:H1048576">
    <cfRule type="cellIs" dxfId="3087" priority="5432" operator="lessThan">
      <formula>0</formula>
    </cfRule>
  </conditionalFormatting>
  <conditionalFormatting sqref="H86:H1048576">
    <cfRule type="cellIs" dxfId="3086" priority="5431" operator="lessThan">
      <formula>0</formula>
    </cfRule>
  </conditionalFormatting>
  <conditionalFormatting sqref="H86:H1048576">
    <cfRule type="cellIs" dxfId="3085" priority="5430" operator="lessThan">
      <formula>0</formula>
    </cfRule>
  </conditionalFormatting>
  <conditionalFormatting sqref="H86:H1048576">
    <cfRule type="cellIs" dxfId="3084" priority="5429" operator="lessThan">
      <formula>0</formula>
    </cfRule>
  </conditionalFormatting>
  <conditionalFormatting sqref="H86:H1048576">
    <cfRule type="cellIs" dxfId="3083" priority="5428" operator="lessThan">
      <formula>0</formula>
    </cfRule>
  </conditionalFormatting>
  <conditionalFormatting sqref="H86:H1048576">
    <cfRule type="cellIs" dxfId="3082" priority="5427" operator="lessThan">
      <formula>0</formula>
    </cfRule>
  </conditionalFormatting>
  <conditionalFormatting sqref="H86:H1048576">
    <cfRule type="cellIs" dxfId="3081" priority="5426" operator="lessThan">
      <formula>0</formula>
    </cfRule>
  </conditionalFormatting>
  <conditionalFormatting sqref="H86:H1048576">
    <cfRule type="cellIs" dxfId="3080" priority="5425" operator="lessThan">
      <formula>0</formula>
    </cfRule>
  </conditionalFormatting>
  <conditionalFormatting sqref="H86:H1048576">
    <cfRule type="cellIs" dxfId="3079" priority="5424" operator="lessThan">
      <formula>0</formula>
    </cfRule>
  </conditionalFormatting>
  <conditionalFormatting sqref="H86:H1048576">
    <cfRule type="cellIs" dxfId="3078" priority="5423" operator="lessThan">
      <formula>0</formula>
    </cfRule>
  </conditionalFormatting>
  <conditionalFormatting sqref="H86:H1048576">
    <cfRule type="cellIs" dxfId="3077" priority="5422" operator="lessThan">
      <formula>0</formula>
    </cfRule>
  </conditionalFormatting>
  <conditionalFormatting sqref="H86:H1048576">
    <cfRule type="cellIs" dxfId="3076" priority="5421" operator="lessThan">
      <formula>0</formula>
    </cfRule>
  </conditionalFormatting>
  <conditionalFormatting sqref="H86:H1048576">
    <cfRule type="cellIs" dxfId="3075" priority="5420" operator="lessThan">
      <formula>0</formula>
    </cfRule>
  </conditionalFormatting>
  <conditionalFormatting sqref="H86:H1048576">
    <cfRule type="cellIs" dxfId="3074" priority="5419" operator="lessThan">
      <formula>0</formula>
    </cfRule>
  </conditionalFormatting>
  <conditionalFormatting sqref="H86:H1048576">
    <cfRule type="cellIs" dxfId="3073" priority="5418" operator="lessThan">
      <formula>0</formula>
    </cfRule>
  </conditionalFormatting>
  <conditionalFormatting sqref="H86:H1048576">
    <cfRule type="cellIs" dxfId="3072" priority="5417" operator="lessThan">
      <formula>0</formula>
    </cfRule>
  </conditionalFormatting>
  <conditionalFormatting sqref="H86:H1048576">
    <cfRule type="cellIs" dxfId="3071" priority="5416" operator="lessThan">
      <formula>0</formula>
    </cfRule>
  </conditionalFormatting>
  <conditionalFormatting sqref="H86:H1048576">
    <cfRule type="cellIs" dxfId="3070" priority="5415" operator="lessThan">
      <formula>0</formula>
    </cfRule>
  </conditionalFormatting>
  <conditionalFormatting sqref="H86:H1048576">
    <cfRule type="cellIs" dxfId="3069" priority="5414" operator="lessThan">
      <formula>0</formula>
    </cfRule>
  </conditionalFormatting>
  <conditionalFormatting sqref="H86:H1048576">
    <cfRule type="cellIs" dxfId="3068" priority="5413" operator="lessThan">
      <formula>0</formula>
    </cfRule>
  </conditionalFormatting>
  <conditionalFormatting sqref="H86:H1048576">
    <cfRule type="cellIs" dxfId="3067" priority="5412" operator="lessThan">
      <formula>0</formula>
    </cfRule>
  </conditionalFormatting>
  <conditionalFormatting sqref="H86:H1048576">
    <cfRule type="cellIs" dxfId="3066" priority="5411" operator="lessThan">
      <formula>0</formula>
    </cfRule>
  </conditionalFormatting>
  <conditionalFormatting sqref="H86:H1048576">
    <cfRule type="cellIs" dxfId="3065" priority="5410" operator="lessThan">
      <formula>0</formula>
    </cfRule>
  </conditionalFormatting>
  <conditionalFormatting sqref="H86:H1048576">
    <cfRule type="cellIs" dxfId="3064" priority="5409" operator="lessThan">
      <formula>0</formula>
    </cfRule>
  </conditionalFormatting>
  <conditionalFormatting sqref="H86:H1048576">
    <cfRule type="cellIs" dxfId="3063" priority="5408" operator="lessThan">
      <formula>0</formula>
    </cfRule>
  </conditionalFormatting>
  <conditionalFormatting sqref="H86:H1048576">
    <cfRule type="cellIs" dxfId="3062" priority="5407" operator="lessThan">
      <formula>0</formula>
    </cfRule>
  </conditionalFormatting>
  <conditionalFormatting sqref="H86:H1048576">
    <cfRule type="cellIs" dxfId="3061" priority="5406" operator="lessThan">
      <formula>0</formula>
    </cfRule>
  </conditionalFormatting>
  <conditionalFormatting sqref="H86:H1048576">
    <cfRule type="cellIs" dxfId="3060" priority="5405" operator="lessThan">
      <formula>0</formula>
    </cfRule>
  </conditionalFormatting>
  <conditionalFormatting sqref="H86:H1048576">
    <cfRule type="cellIs" dxfId="3059" priority="5404" operator="lessThan">
      <formula>0</formula>
    </cfRule>
  </conditionalFormatting>
  <conditionalFormatting sqref="H86:H1048576">
    <cfRule type="cellIs" dxfId="3058" priority="5403" operator="lessThan">
      <formula>0</formula>
    </cfRule>
  </conditionalFormatting>
  <conditionalFormatting sqref="H86:H1048576">
    <cfRule type="cellIs" dxfId="3057" priority="5402" operator="lessThan">
      <formula>0</formula>
    </cfRule>
  </conditionalFormatting>
  <conditionalFormatting sqref="H86:H1048576">
    <cfRule type="cellIs" dxfId="3056" priority="5401" operator="lessThan">
      <formula>0</formula>
    </cfRule>
  </conditionalFormatting>
  <conditionalFormatting sqref="H86:H1048576">
    <cfRule type="cellIs" dxfId="3055" priority="5400" operator="lessThan">
      <formula>0</formula>
    </cfRule>
  </conditionalFormatting>
  <conditionalFormatting sqref="H86:H1048576">
    <cfRule type="cellIs" dxfId="3054" priority="5399" operator="lessThan">
      <formula>0</formula>
    </cfRule>
  </conditionalFormatting>
  <conditionalFormatting sqref="H86:H1048576">
    <cfRule type="cellIs" dxfId="3053" priority="5398" operator="lessThan">
      <formula>0</formula>
    </cfRule>
  </conditionalFormatting>
  <conditionalFormatting sqref="H86:H1048576">
    <cfRule type="cellIs" dxfId="3052" priority="5397" operator="lessThan">
      <formula>0</formula>
    </cfRule>
  </conditionalFormatting>
  <conditionalFormatting sqref="H86:H1048576">
    <cfRule type="cellIs" dxfId="3051" priority="5396" operator="lessThan">
      <formula>0</formula>
    </cfRule>
  </conditionalFormatting>
  <conditionalFormatting sqref="H86:H1048576">
    <cfRule type="cellIs" dxfId="3050" priority="5395" operator="lessThan">
      <formula>0</formula>
    </cfRule>
  </conditionalFormatting>
  <conditionalFormatting sqref="H86:H1048576">
    <cfRule type="cellIs" dxfId="3049" priority="5394" operator="lessThan">
      <formula>0</formula>
    </cfRule>
  </conditionalFormatting>
  <conditionalFormatting sqref="H86:H1048576">
    <cfRule type="cellIs" dxfId="3048" priority="5393" operator="lessThan">
      <formula>0</formula>
    </cfRule>
  </conditionalFormatting>
  <conditionalFormatting sqref="H86:H1048576">
    <cfRule type="cellIs" dxfId="3047" priority="5392" operator="lessThan">
      <formula>0</formula>
    </cfRule>
  </conditionalFormatting>
  <conditionalFormatting sqref="H86:H1048576">
    <cfRule type="cellIs" dxfId="3046" priority="5391" operator="lessThan">
      <formula>0</formula>
    </cfRule>
  </conditionalFormatting>
  <conditionalFormatting sqref="H86:H1048576">
    <cfRule type="cellIs" dxfId="3045" priority="5390" operator="lessThan">
      <formula>0</formula>
    </cfRule>
  </conditionalFormatting>
  <conditionalFormatting sqref="H86:H1048576">
    <cfRule type="cellIs" dxfId="3044" priority="5389" operator="lessThan">
      <formula>0</formula>
    </cfRule>
  </conditionalFormatting>
  <conditionalFormatting sqref="H86:H1048576">
    <cfRule type="cellIs" dxfId="3043" priority="5388" operator="lessThan">
      <formula>0</formula>
    </cfRule>
  </conditionalFormatting>
  <conditionalFormatting sqref="H86:H1048576">
    <cfRule type="cellIs" dxfId="3042" priority="5387" operator="lessThan">
      <formula>0</formula>
    </cfRule>
  </conditionalFormatting>
  <conditionalFormatting sqref="H86:H1048576">
    <cfRule type="cellIs" dxfId="3041" priority="5386" operator="lessThan">
      <formula>0</formula>
    </cfRule>
  </conditionalFormatting>
  <conditionalFormatting sqref="H86:H1048576">
    <cfRule type="cellIs" dxfId="3040" priority="5385" operator="lessThan">
      <formula>0</formula>
    </cfRule>
  </conditionalFormatting>
  <conditionalFormatting sqref="H86:H1048576">
    <cfRule type="cellIs" dxfId="3039" priority="5384" operator="lessThan">
      <formula>0</formula>
    </cfRule>
  </conditionalFormatting>
  <conditionalFormatting sqref="H86:H1048576">
    <cfRule type="cellIs" dxfId="3038" priority="5383" operator="lessThan">
      <formula>0</formula>
    </cfRule>
  </conditionalFormatting>
  <conditionalFormatting sqref="H86:H1048576">
    <cfRule type="cellIs" dxfId="3037" priority="5382" operator="lessThan">
      <formula>0</formula>
    </cfRule>
  </conditionalFormatting>
  <conditionalFormatting sqref="H86:H1048576">
    <cfRule type="cellIs" dxfId="3036" priority="5381" operator="lessThan">
      <formula>0</formula>
    </cfRule>
  </conditionalFormatting>
  <conditionalFormatting sqref="H86:H1048576">
    <cfRule type="cellIs" dxfId="3035" priority="5380" operator="lessThan">
      <formula>0</formula>
    </cfRule>
  </conditionalFormatting>
  <conditionalFormatting sqref="H86:H1048576">
    <cfRule type="cellIs" dxfId="3034" priority="5379" operator="lessThan">
      <formula>0</formula>
    </cfRule>
  </conditionalFormatting>
  <conditionalFormatting sqref="H86:H1048576">
    <cfRule type="cellIs" dxfId="3033" priority="5378" operator="lessThan">
      <formula>0</formula>
    </cfRule>
  </conditionalFormatting>
  <conditionalFormatting sqref="H86:H1048576">
    <cfRule type="cellIs" dxfId="3032" priority="5377" operator="lessThan">
      <formula>0</formula>
    </cfRule>
  </conditionalFormatting>
  <conditionalFormatting sqref="H86:H1048576">
    <cfRule type="cellIs" dxfId="3031" priority="5376" operator="lessThan">
      <formula>0</formula>
    </cfRule>
  </conditionalFormatting>
  <conditionalFormatting sqref="H86:H1048576">
    <cfRule type="cellIs" dxfId="3030" priority="5375" operator="lessThan">
      <formula>0</formula>
    </cfRule>
  </conditionalFormatting>
  <conditionalFormatting sqref="H86:H1048576">
    <cfRule type="cellIs" dxfId="3029" priority="5374" operator="lessThan">
      <formula>0</formula>
    </cfRule>
  </conditionalFormatting>
  <conditionalFormatting sqref="H86:H1048576">
    <cfRule type="cellIs" dxfId="3028" priority="5373" operator="lessThan">
      <formula>0</formula>
    </cfRule>
  </conditionalFormatting>
  <conditionalFormatting sqref="H86:H1048576">
    <cfRule type="cellIs" dxfId="3027" priority="5372" operator="lessThan">
      <formula>0</formula>
    </cfRule>
  </conditionalFormatting>
  <conditionalFormatting sqref="H86:H1048576">
    <cfRule type="cellIs" dxfId="3026" priority="5371" operator="lessThan">
      <formula>0</formula>
    </cfRule>
  </conditionalFormatting>
  <conditionalFormatting sqref="H86:H1048576">
    <cfRule type="cellIs" dxfId="3025" priority="5370" operator="lessThan">
      <formula>0</formula>
    </cfRule>
  </conditionalFormatting>
  <conditionalFormatting sqref="H86:H1048576">
    <cfRule type="cellIs" dxfId="3024" priority="5369" operator="lessThan">
      <formula>0</formula>
    </cfRule>
  </conditionalFormatting>
  <conditionalFormatting sqref="H86:H1048576">
    <cfRule type="cellIs" dxfId="3023" priority="5368" operator="lessThan">
      <formula>0</formula>
    </cfRule>
  </conditionalFormatting>
  <conditionalFormatting sqref="H86:H1048576">
    <cfRule type="cellIs" dxfId="3022" priority="5367" operator="lessThan">
      <formula>0</formula>
    </cfRule>
  </conditionalFormatting>
  <conditionalFormatting sqref="H86:H1048576">
    <cfRule type="cellIs" dxfId="3021" priority="5366" operator="lessThan">
      <formula>0</formula>
    </cfRule>
  </conditionalFormatting>
  <conditionalFormatting sqref="H86:H1048576">
    <cfRule type="cellIs" dxfId="3020" priority="5365" operator="lessThan">
      <formula>0</formula>
    </cfRule>
  </conditionalFormatting>
  <conditionalFormatting sqref="H86:H1048576">
    <cfRule type="cellIs" dxfId="3019" priority="5364" operator="lessThan">
      <formula>0</formula>
    </cfRule>
  </conditionalFormatting>
  <conditionalFormatting sqref="H86:H1048576">
    <cfRule type="cellIs" dxfId="3018" priority="5363" operator="lessThan">
      <formula>0</formula>
    </cfRule>
  </conditionalFormatting>
  <conditionalFormatting sqref="H86:H1048576">
    <cfRule type="cellIs" dxfId="3017" priority="5362" operator="lessThan">
      <formula>0</formula>
    </cfRule>
  </conditionalFormatting>
  <conditionalFormatting sqref="H86:H1048576">
    <cfRule type="cellIs" dxfId="3016" priority="5361" operator="lessThan">
      <formula>0</formula>
    </cfRule>
  </conditionalFormatting>
  <conditionalFormatting sqref="H86:H1048576">
    <cfRule type="cellIs" dxfId="3015" priority="5360" operator="lessThan">
      <formula>0</formula>
    </cfRule>
  </conditionalFormatting>
  <conditionalFormatting sqref="H86:H1048576">
    <cfRule type="cellIs" dxfId="3014" priority="5359" operator="lessThan">
      <formula>0</formula>
    </cfRule>
  </conditionalFormatting>
  <conditionalFormatting sqref="H86:H1048576">
    <cfRule type="cellIs" dxfId="3013" priority="5358" operator="lessThan">
      <formula>0</formula>
    </cfRule>
  </conditionalFormatting>
  <conditionalFormatting sqref="H86:H1048576">
    <cfRule type="cellIs" dxfId="3012" priority="5357" operator="lessThan">
      <formula>0</formula>
    </cfRule>
  </conditionalFormatting>
  <conditionalFormatting sqref="H86:H1048576">
    <cfRule type="cellIs" dxfId="3011" priority="5356" operator="lessThan">
      <formula>0</formula>
    </cfRule>
  </conditionalFormatting>
  <conditionalFormatting sqref="H86:H1048576">
    <cfRule type="cellIs" dxfId="3010" priority="5355" operator="lessThan">
      <formula>0</formula>
    </cfRule>
  </conditionalFormatting>
  <conditionalFormatting sqref="H86:H1048576">
    <cfRule type="cellIs" dxfId="3009" priority="5354" operator="lessThan">
      <formula>0</formula>
    </cfRule>
  </conditionalFormatting>
  <conditionalFormatting sqref="H86:H1048576">
    <cfRule type="cellIs" dxfId="3008" priority="5353" operator="lessThan">
      <formula>0</formula>
    </cfRule>
  </conditionalFormatting>
  <conditionalFormatting sqref="H86:H1048576">
    <cfRule type="cellIs" dxfId="3007" priority="5352" operator="lessThan">
      <formula>0</formula>
    </cfRule>
  </conditionalFormatting>
  <conditionalFormatting sqref="H86:H1048576">
    <cfRule type="cellIs" dxfId="3006" priority="5351" operator="lessThan">
      <formula>0</formula>
    </cfRule>
  </conditionalFormatting>
  <conditionalFormatting sqref="H86:H1048576">
    <cfRule type="cellIs" dxfId="3005" priority="5350" operator="lessThan">
      <formula>0</formula>
    </cfRule>
  </conditionalFormatting>
  <conditionalFormatting sqref="H86:H1048576">
    <cfRule type="cellIs" dxfId="3004" priority="5349" operator="lessThan">
      <formula>0</formula>
    </cfRule>
  </conditionalFormatting>
  <conditionalFormatting sqref="H86:H1048576">
    <cfRule type="cellIs" dxfId="3003" priority="5348" operator="lessThan">
      <formula>0</formula>
    </cfRule>
  </conditionalFormatting>
  <conditionalFormatting sqref="H86:H1048576">
    <cfRule type="cellIs" dxfId="3002" priority="5347" operator="lessThan">
      <formula>0</formula>
    </cfRule>
  </conditionalFormatting>
  <conditionalFormatting sqref="H86:H1048576">
    <cfRule type="cellIs" dxfId="3001" priority="5346" operator="lessThan">
      <formula>0</formula>
    </cfRule>
  </conditionalFormatting>
  <conditionalFormatting sqref="H86:H1048576">
    <cfRule type="cellIs" dxfId="3000" priority="5345" operator="lessThan">
      <formula>0</formula>
    </cfRule>
  </conditionalFormatting>
  <conditionalFormatting sqref="H86:H1048576">
    <cfRule type="cellIs" dxfId="2999" priority="5344" operator="lessThan">
      <formula>0</formula>
    </cfRule>
  </conditionalFormatting>
  <conditionalFormatting sqref="H86:H1048576">
    <cfRule type="cellIs" dxfId="2998" priority="5343" operator="lessThan">
      <formula>0</formula>
    </cfRule>
  </conditionalFormatting>
  <conditionalFormatting sqref="H86:H1048576">
    <cfRule type="cellIs" dxfId="2997" priority="5342" operator="lessThan">
      <formula>0</formula>
    </cfRule>
  </conditionalFormatting>
  <conditionalFormatting sqref="H86:H1048576">
    <cfRule type="cellIs" dxfId="2996" priority="5341" operator="lessThan">
      <formula>0</formula>
    </cfRule>
  </conditionalFormatting>
  <conditionalFormatting sqref="H86:H1048576">
    <cfRule type="cellIs" dxfId="2995" priority="5340" operator="lessThan">
      <formula>0</formula>
    </cfRule>
  </conditionalFormatting>
  <conditionalFormatting sqref="H86:H1048576">
    <cfRule type="cellIs" dxfId="2994" priority="5339" operator="lessThan">
      <formula>0</formula>
    </cfRule>
  </conditionalFormatting>
  <conditionalFormatting sqref="H86:H1048576">
    <cfRule type="cellIs" dxfId="2993" priority="5338" operator="lessThan">
      <formula>0</formula>
    </cfRule>
  </conditionalFormatting>
  <conditionalFormatting sqref="H86:H1048576">
    <cfRule type="cellIs" dxfId="2992" priority="5337" operator="lessThan">
      <formula>0</formula>
    </cfRule>
  </conditionalFormatting>
  <conditionalFormatting sqref="H86:H1048576">
    <cfRule type="cellIs" dxfId="2991" priority="5336" operator="lessThan">
      <formula>0</formula>
    </cfRule>
  </conditionalFormatting>
  <conditionalFormatting sqref="H86:H1048576">
    <cfRule type="cellIs" dxfId="2990" priority="5335" operator="lessThan">
      <formula>0</formula>
    </cfRule>
  </conditionalFormatting>
  <conditionalFormatting sqref="H86:H1048576">
    <cfRule type="cellIs" dxfId="2989" priority="5334" operator="lessThan">
      <formula>0</formula>
    </cfRule>
  </conditionalFormatting>
  <conditionalFormatting sqref="H86:H1048576">
    <cfRule type="cellIs" dxfId="2988" priority="5333" operator="lessThan">
      <formula>0</formula>
    </cfRule>
  </conditionalFormatting>
  <conditionalFormatting sqref="H86:H1048576">
    <cfRule type="cellIs" dxfId="2987" priority="5332" operator="lessThan">
      <formula>0</formula>
    </cfRule>
  </conditionalFormatting>
  <conditionalFormatting sqref="H86:H1048576">
    <cfRule type="cellIs" dxfId="2986" priority="5331" operator="lessThan">
      <formula>0</formula>
    </cfRule>
  </conditionalFormatting>
  <conditionalFormatting sqref="H86:H1048576">
    <cfRule type="cellIs" dxfId="2985" priority="5330" operator="lessThan">
      <formula>0</formula>
    </cfRule>
  </conditionalFormatting>
  <conditionalFormatting sqref="H86:H1048576">
    <cfRule type="cellIs" dxfId="2984" priority="5329" operator="lessThan">
      <formula>0</formula>
    </cfRule>
  </conditionalFormatting>
  <conditionalFormatting sqref="H86:H1048576">
    <cfRule type="cellIs" dxfId="2983" priority="5328" operator="lessThan">
      <formula>0</formula>
    </cfRule>
  </conditionalFormatting>
  <conditionalFormatting sqref="H86:H1048576">
    <cfRule type="cellIs" dxfId="2982" priority="5327" operator="lessThan">
      <formula>0</formula>
    </cfRule>
  </conditionalFormatting>
  <conditionalFormatting sqref="H86:H1048576">
    <cfRule type="cellIs" dxfId="2981" priority="5326" operator="lessThan">
      <formula>0</formula>
    </cfRule>
  </conditionalFormatting>
  <conditionalFormatting sqref="H86:H1048576">
    <cfRule type="cellIs" dxfId="2980" priority="5325" operator="lessThan">
      <formula>0</formula>
    </cfRule>
  </conditionalFormatting>
  <conditionalFormatting sqref="H86:H1048576">
    <cfRule type="cellIs" dxfId="2979" priority="5324" operator="lessThan">
      <formula>0</formula>
    </cfRule>
  </conditionalFormatting>
  <conditionalFormatting sqref="H86:H1048576">
    <cfRule type="cellIs" dxfId="2978" priority="5323" operator="lessThan">
      <formula>0</formula>
    </cfRule>
  </conditionalFormatting>
  <conditionalFormatting sqref="H86:H1048576">
    <cfRule type="cellIs" dxfId="2977" priority="5322" operator="lessThan">
      <formula>0</formula>
    </cfRule>
  </conditionalFormatting>
  <conditionalFormatting sqref="H86:H1048576">
    <cfRule type="cellIs" dxfId="2976" priority="5321" operator="lessThan">
      <formula>0</formula>
    </cfRule>
  </conditionalFormatting>
  <conditionalFormatting sqref="H86:H1048576">
    <cfRule type="cellIs" dxfId="2975" priority="5320" operator="lessThan">
      <formula>0</formula>
    </cfRule>
  </conditionalFormatting>
  <conditionalFormatting sqref="H86:H1048576">
    <cfRule type="cellIs" dxfId="2974" priority="5319" operator="lessThan">
      <formula>0</formula>
    </cfRule>
  </conditionalFormatting>
  <conditionalFormatting sqref="H86:H1048576">
    <cfRule type="cellIs" dxfId="2973" priority="5318" operator="lessThan">
      <formula>0</formula>
    </cfRule>
  </conditionalFormatting>
  <conditionalFormatting sqref="H86:H1048576">
    <cfRule type="cellIs" dxfId="2972" priority="5317" operator="lessThan">
      <formula>0</formula>
    </cfRule>
  </conditionalFormatting>
  <conditionalFormatting sqref="H86:H1048576">
    <cfRule type="cellIs" dxfId="2971" priority="5316" operator="lessThan">
      <formula>0</formula>
    </cfRule>
  </conditionalFormatting>
  <conditionalFormatting sqref="H86:H1048576">
    <cfRule type="cellIs" dxfId="2970" priority="5315" operator="lessThan">
      <formula>0</formula>
    </cfRule>
  </conditionalFormatting>
  <conditionalFormatting sqref="H86:H1048576">
    <cfRule type="cellIs" dxfId="2969" priority="5314" operator="lessThan">
      <formula>0</formula>
    </cfRule>
  </conditionalFormatting>
  <conditionalFormatting sqref="H86:H1048576">
    <cfRule type="cellIs" dxfId="2968" priority="5313" operator="lessThan">
      <formula>0</formula>
    </cfRule>
  </conditionalFormatting>
  <conditionalFormatting sqref="H86:H1048576">
    <cfRule type="cellIs" dxfId="2967" priority="5312" operator="lessThan">
      <formula>0</formula>
    </cfRule>
  </conditionalFormatting>
  <conditionalFormatting sqref="H86:H1048576">
    <cfRule type="cellIs" dxfId="2966" priority="5311" operator="lessThan">
      <formula>0</formula>
    </cfRule>
  </conditionalFormatting>
  <conditionalFormatting sqref="H86:H1048576">
    <cfRule type="cellIs" dxfId="2965" priority="5310" operator="lessThan">
      <formula>0</formula>
    </cfRule>
  </conditionalFormatting>
  <conditionalFormatting sqref="H86:H1048576">
    <cfRule type="cellIs" dxfId="2964" priority="5309" operator="lessThan">
      <formula>0</formula>
    </cfRule>
  </conditionalFormatting>
  <conditionalFormatting sqref="H86:H1048576">
    <cfRule type="cellIs" dxfId="2963" priority="5308" operator="lessThan">
      <formula>0</formula>
    </cfRule>
  </conditionalFormatting>
  <conditionalFormatting sqref="H86:H1048576">
    <cfRule type="cellIs" dxfId="2962" priority="5307" operator="lessThan">
      <formula>0</formula>
    </cfRule>
  </conditionalFormatting>
  <conditionalFormatting sqref="H86:H1048576">
    <cfRule type="cellIs" dxfId="2961" priority="5306" operator="lessThan">
      <formula>0</formula>
    </cfRule>
  </conditionalFormatting>
  <conditionalFormatting sqref="H86:H1048576">
    <cfRule type="cellIs" dxfId="2960" priority="5305" operator="lessThan">
      <formula>0</formula>
    </cfRule>
  </conditionalFormatting>
  <conditionalFormatting sqref="H86:H1048576">
    <cfRule type="cellIs" dxfId="2959" priority="5304" operator="lessThan">
      <formula>0</formula>
    </cfRule>
  </conditionalFormatting>
  <conditionalFormatting sqref="H86:H1048576">
    <cfRule type="cellIs" dxfId="2958" priority="5303" operator="lessThan">
      <formula>0</formula>
    </cfRule>
  </conditionalFormatting>
  <conditionalFormatting sqref="H86:H1048576">
    <cfRule type="cellIs" dxfId="2957" priority="5302" operator="lessThan">
      <formula>0</formula>
    </cfRule>
  </conditionalFormatting>
  <conditionalFormatting sqref="H86:H1048576">
    <cfRule type="cellIs" dxfId="2956" priority="5301" operator="lessThan">
      <formula>0</formula>
    </cfRule>
  </conditionalFormatting>
  <conditionalFormatting sqref="H86:H1048576">
    <cfRule type="cellIs" dxfId="2955" priority="5300" operator="lessThan">
      <formula>0</formula>
    </cfRule>
  </conditionalFormatting>
  <conditionalFormatting sqref="H86:H1048576">
    <cfRule type="cellIs" dxfId="2954" priority="5299" operator="lessThan">
      <formula>0</formula>
    </cfRule>
  </conditionalFormatting>
  <conditionalFormatting sqref="H86:H1048576">
    <cfRule type="cellIs" dxfId="2953" priority="5298" operator="lessThan">
      <formula>0</formula>
    </cfRule>
  </conditionalFormatting>
  <conditionalFormatting sqref="H86:H1048576">
    <cfRule type="cellIs" dxfId="2952" priority="5297" operator="lessThan">
      <formula>0</formula>
    </cfRule>
  </conditionalFormatting>
  <conditionalFormatting sqref="H86:H1048576">
    <cfRule type="cellIs" dxfId="2951" priority="5296" operator="lessThan">
      <formula>0</formula>
    </cfRule>
  </conditionalFormatting>
  <conditionalFormatting sqref="H86:H1048576">
    <cfRule type="cellIs" dxfId="2950" priority="5295" operator="lessThan">
      <formula>0</formula>
    </cfRule>
  </conditionalFormatting>
  <conditionalFormatting sqref="H86:H1048576">
    <cfRule type="cellIs" dxfId="2949" priority="5294" operator="lessThan">
      <formula>0</formula>
    </cfRule>
  </conditionalFormatting>
  <conditionalFormatting sqref="H86:H1048576">
    <cfRule type="cellIs" dxfId="2948" priority="5293" operator="lessThan">
      <formula>0</formula>
    </cfRule>
  </conditionalFormatting>
  <conditionalFormatting sqref="H86:H1048576">
    <cfRule type="cellIs" dxfId="2947" priority="5292" operator="lessThan">
      <formula>0</formula>
    </cfRule>
  </conditionalFormatting>
  <conditionalFormatting sqref="H86:H1048576">
    <cfRule type="cellIs" dxfId="2946" priority="5291" operator="lessThan">
      <formula>0</formula>
    </cfRule>
  </conditionalFormatting>
  <conditionalFormatting sqref="H86:H1048576">
    <cfRule type="cellIs" dxfId="2945" priority="5290" operator="lessThan">
      <formula>0</formula>
    </cfRule>
  </conditionalFormatting>
  <conditionalFormatting sqref="H86:H1048576">
    <cfRule type="cellIs" dxfId="2944" priority="5289" operator="lessThan">
      <formula>0</formula>
    </cfRule>
  </conditionalFormatting>
  <conditionalFormatting sqref="H86:H1048576">
    <cfRule type="cellIs" dxfId="2943" priority="5288" operator="lessThan">
      <formula>0</formula>
    </cfRule>
  </conditionalFormatting>
  <conditionalFormatting sqref="H86:H1048576">
    <cfRule type="cellIs" dxfId="2942" priority="5287" operator="lessThan">
      <formula>0</formula>
    </cfRule>
  </conditionalFormatting>
  <conditionalFormatting sqref="H86:H1048576">
    <cfRule type="cellIs" dxfId="2941" priority="5286" operator="lessThan">
      <formula>0</formula>
    </cfRule>
  </conditionalFormatting>
  <conditionalFormatting sqref="H86:H1048576">
    <cfRule type="cellIs" dxfId="2940" priority="5285" operator="lessThan">
      <formula>0</formula>
    </cfRule>
  </conditionalFormatting>
  <conditionalFormatting sqref="H86:H1048576">
    <cfRule type="cellIs" dxfId="2939" priority="5284" operator="lessThan">
      <formula>0</formula>
    </cfRule>
  </conditionalFormatting>
  <conditionalFormatting sqref="H86:H1048576">
    <cfRule type="cellIs" dxfId="2938" priority="5283" operator="lessThan">
      <formula>0</formula>
    </cfRule>
  </conditionalFormatting>
  <conditionalFormatting sqref="H86:H1048576">
    <cfRule type="cellIs" dxfId="2937" priority="5282" operator="lessThan">
      <formula>0</formula>
    </cfRule>
  </conditionalFormatting>
  <conditionalFormatting sqref="H86:H1048576">
    <cfRule type="cellIs" dxfId="2936" priority="5281" operator="lessThan">
      <formula>0</formula>
    </cfRule>
  </conditionalFormatting>
  <conditionalFormatting sqref="H86:H1048576">
    <cfRule type="cellIs" dxfId="2935" priority="5280" operator="lessThan">
      <formula>0</formula>
    </cfRule>
  </conditionalFormatting>
  <conditionalFormatting sqref="H86:H1048576">
    <cfRule type="cellIs" dxfId="2934" priority="5279" operator="lessThan">
      <formula>0</formula>
    </cfRule>
  </conditionalFormatting>
  <conditionalFormatting sqref="H86:H1048576">
    <cfRule type="cellIs" dxfId="2933" priority="5278" operator="lessThan">
      <formula>0</formula>
    </cfRule>
  </conditionalFormatting>
  <conditionalFormatting sqref="H86:H1048576">
    <cfRule type="cellIs" dxfId="2932" priority="5277" operator="lessThan">
      <formula>0</formula>
    </cfRule>
  </conditionalFormatting>
  <conditionalFormatting sqref="H86:H1048576">
    <cfRule type="cellIs" dxfId="2931" priority="5276" operator="lessThan">
      <formula>0</formula>
    </cfRule>
  </conditionalFormatting>
  <conditionalFormatting sqref="H86:H1048576">
    <cfRule type="cellIs" dxfId="2930" priority="5275" operator="lessThan">
      <formula>0</formula>
    </cfRule>
  </conditionalFormatting>
  <conditionalFormatting sqref="H86:H1048576">
    <cfRule type="cellIs" dxfId="2929" priority="5274" operator="lessThan">
      <formula>0</formula>
    </cfRule>
  </conditionalFormatting>
  <conditionalFormatting sqref="H86:H1048576">
    <cfRule type="cellIs" dxfId="2928" priority="5273" operator="lessThan">
      <formula>0</formula>
    </cfRule>
  </conditionalFormatting>
  <conditionalFormatting sqref="H86:H1048576">
    <cfRule type="cellIs" dxfId="2927" priority="5272" operator="lessThan">
      <formula>0</formula>
    </cfRule>
  </conditionalFormatting>
  <conditionalFormatting sqref="H86:H1048576">
    <cfRule type="cellIs" dxfId="2926" priority="5271" operator="lessThan">
      <formula>0</formula>
    </cfRule>
  </conditionalFormatting>
  <conditionalFormatting sqref="H86:H1048576">
    <cfRule type="cellIs" dxfId="2925" priority="5270" operator="lessThan">
      <formula>0</formula>
    </cfRule>
  </conditionalFormatting>
  <conditionalFormatting sqref="H86:H1048576">
    <cfRule type="cellIs" dxfId="2924" priority="5269" operator="lessThan">
      <formula>0</formula>
    </cfRule>
  </conditionalFormatting>
  <conditionalFormatting sqref="H86:H1048576">
    <cfRule type="cellIs" dxfId="2923" priority="5268" operator="lessThan">
      <formula>0</formula>
    </cfRule>
  </conditionalFormatting>
  <conditionalFormatting sqref="H86:H1048576">
    <cfRule type="cellIs" dxfId="2922" priority="5267" operator="lessThan">
      <formula>0</formula>
    </cfRule>
  </conditionalFormatting>
  <conditionalFormatting sqref="H86:H1048576">
    <cfRule type="cellIs" dxfId="2921" priority="5266" operator="lessThan">
      <formula>0</formula>
    </cfRule>
  </conditionalFormatting>
  <conditionalFormatting sqref="H86:H1048576">
    <cfRule type="cellIs" dxfId="2920" priority="5265" operator="lessThan">
      <formula>0</formula>
    </cfRule>
  </conditionalFormatting>
  <conditionalFormatting sqref="H86:H1048576">
    <cfRule type="cellIs" dxfId="2919" priority="5264" operator="lessThan">
      <formula>0</formula>
    </cfRule>
  </conditionalFormatting>
  <conditionalFormatting sqref="H86:H1048576">
    <cfRule type="cellIs" dxfId="2918" priority="5263" operator="lessThan">
      <formula>0</formula>
    </cfRule>
  </conditionalFormatting>
  <conditionalFormatting sqref="H86:H1048576">
    <cfRule type="cellIs" dxfId="2917" priority="5262" operator="lessThan">
      <formula>0</formula>
    </cfRule>
  </conditionalFormatting>
  <conditionalFormatting sqref="H86:H1048576">
    <cfRule type="cellIs" dxfId="2916" priority="5261" operator="lessThan">
      <formula>0</formula>
    </cfRule>
  </conditionalFormatting>
  <conditionalFormatting sqref="H86:H1048576">
    <cfRule type="cellIs" dxfId="2915" priority="5260" operator="lessThan">
      <formula>0</formula>
    </cfRule>
  </conditionalFormatting>
  <conditionalFormatting sqref="H86:H1048576">
    <cfRule type="cellIs" dxfId="2914" priority="5259" operator="lessThan">
      <formula>0</formula>
    </cfRule>
  </conditionalFormatting>
  <conditionalFormatting sqref="H86:H1048576">
    <cfRule type="cellIs" dxfId="2913" priority="5258" operator="lessThan">
      <formula>0</formula>
    </cfRule>
  </conditionalFormatting>
  <conditionalFormatting sqref="H86:H1048576">
    <cfRule type="cellIs" dxfId="2912" priority="5257" operator="lessThan">
      <formula>0</formula>
    </cfRule>
  </conditionalFormatting>
  <conditionalFormatting sqref="H86:H1048576">
    <cfRule type="cellIs" dxfId="2911" priority="5256" operator="lessThan">
      <formula>0</formula>
    </cfRule>
  </conditionalFormatting>
  <conditionalFormatting sqref="H86:H1048576">
    <cfRule type="cellIs" dxfId="2910" priority="5255" operator="lessThan">
      <formula>0</formula>
    </cfRule>
  </conditionalFormatting>
  <conditionalFormatting sqref="H86:H1048576">
    <cfRule type="cellIs" dxfId="2909" priority="5254" operator="lessThan">
      <formula>0</formula>
    </cfRule>
  </conditionalFormatting>
  <conditionalFormatting sqref="H86:H1048576">
    <cfRule type="cellIs" dxfId="2908" priority="5253" operator="lessThan">
      <formula>0</formula>
    </cfRule>
  </conditionalFormatting>
  <conditionalFormatting sqref="H86:H1048576">
    <cfRule type="cellIs" dxfId="2907" priority="5252" operator="lessThan">
      <formula>0</formula>
    </cfRule>
  </conditionalFormatting>
  <conditionalFormatting sqref="H86:H1048576">
    <cfRule type="cellIs" dxfId="2906" priority="5251" operator="lessThan">
      <formula>0</formula>
    </cfRule>
  </conditionalFormatting>
  <conditionalFormatting sqref="H86:H1048576">
    <cfRule type="cellIs" dxfId="2905" priority="5250" operator="lessThan">
      <formula>0</formula>
    </cfRule>
  </conditionalFormatting>
  <conditionalFormatting sqref="H86:H1048576">
    <cfRule type="cellIs" dxfId="2904" priority="5249" operator="lessThan">
      <formula>0</formula>
    </cfRule>
  </conditionalFormatting>
  <conditionalFormatting sqref="H86:H1048576">
    <cfRule type="cellIs" dxfId="2903" priority="5248" operator="lessThan">
      <formula>0</formula>
    </cfRule>
  </conditionalFormatting>
  <conditionalFormatting sqref="H86:H1048576">
    <cfRule type="cellIs" dxfId="2902" priority="5247" operator="lessThan">
      <formula>0</formula>
    </cfRule>
  </conditionalFormatting>
  <conditionalFormatting sqref="H86:H1048576">
    <cfRule type="cellIs" dxfId="2901" priority="5246" operator="lessThan">
      <formula>0</formula>
    </cfRule>
  </conditionalFormatting>
  <conditionalFormatting sqref="H86:H1048576">
    <cfRule type="cellIs" dxfId="2900" priority="5245" operator="lessThan">
      <formula>0</formula>
    </cfRule>
  </conditionalFormatting>
  <conditionalFormatting sqref="H86:H1048576">
    <cfRule type="cellIs" dxfId="2899" priority="5244" operator="lessThan">
      <formula>0</formula>
    </cfRule>
  </conditionalFormatting>
  <conditionalFormatting sqref="H86:H1048576">
    <cfRule type="cellIs" dxfId="2898" priority="5243" operator="lessThan">
      <formula>0</formula>
    </cfRule>
  </conditionalFormatting>
  <conditionalFormatting sqref="H86:H1048576">
    <cfRule type="cellIs" dxfId="2897" priority="5242" operator="lessThan">
      <formula>0</formula>
    </cfRule>
  </conditionalFormatting>
  <conditionalFormatting sqref="H86:H1048576">
    <cfRule type="cellIs" dxfId="2896" priority="5241" operator="lessThan">
      <formula>0</formula>
    </cfRule>
  </conditionalFormatting>
  <conditionalFormatting sqref="H86:H1048576">
    <cfRule type="cellIs" dxfId="2895" priority="5240" operator="lessThan">
      <formula>0</formula>
    </cfRule>
  </conditionalFormatting>
  <conditionalFormatting sqref="H86:H1048576">
    <cfRule type="cellIs" dxfId="2894" priority="5239" operator="lessThan">
      <formula>0</formula>
    </cfRule>
  </conditionalFormatting>
  <conditionalFormatting sqref="H86:H1048576">
    <cfRule type="cellIs" dxfId="2893" priority="5238" operator="lessThan">
      <formula>0</formula>
    </cfRule>
  </conditionalFormatting>
  <conditionalFormatting sqref="H86:H1048576">
    <cfRule type="cellIs" dxfId="2892" priority="5237" operator="lessThan">
      <formula>0</formula>
    </cfRule>
  </conditionalFormatting>
  <conditionalFormatting sqref="H86:H1048576">
    <cfRule type="cellIs" dxfId="2891" priority="5236" operator="lessThan">
      <formula>0</formula>
    </cfRule>
  </conditionalFormatting>
  <conditionalFormatting sqref="H86:H1048576">
    <cfRule type="cellIs" dxfId="2890" priority="5235" operator="lessThan">
      <formula>0</formula>
    </cfRule>
  </conditionalFormatting>
  <conditionalFormatting sqref="H86:H1048576">
    <cfRule type="cellIs" dxfId="2889" priority="5234" operator="lessThan">
      <formula>0</formula>
    </cfRule>
  </conditionalFormatting>
  <conditionalFormatting sqref="H86:H1048576">
    <cfRule type="cellIs" dxfId="2888" priority="5233" operator="lessThan">
      <formula>0</formula>
    </cfRule>
  </conditionalFormatting>
  <conditionalFormatting sqref="H86:H1048576">
    <cfRule type="cellIs" dxfId="2887" priority="5232" operator="lessThan">
      <formula>0</formula>
    </cfRule>
  </conditionalFormatting>
  <conditionalFormatting sqref="H86:H1048576">
    <cfRule type="cellIs" dxfId="2886" priority="5231" operator="lessThan">
      <formula>0</formula>
    </cfRule>
  </conditionalFormatting>
  <conditionalFormatting sqref="H86:H1048576">
    <cfRule type="cellIs" dxfId="2885" priority="5230" operator="lessThan">
      <formula>0</formula>
    </cfRule>
  </conditionalFormatting>
  <conditionalFormatting sqref="H86:H1048576">
    <cfRule type="cellIs" dxfId="2884" priority="5229" operator="lessThan">
      <formula>0</formula>
    </cfRule>
  </conditionalFormatting>
  <conditionalFormatting sqref="H86:H1048576">
    <cfRule type="cellIs" dxfId="2883" priority="5228" operator="lessThan">
      <formula>0</formula>
    </cfRule>
  </conditionalFormatting>
  <conditionalFormatting sqref="H86:H1048576">
    <cfRule type="cellIs" dxfId="2882" priority="5227" operator="lessThan">
      <formula>0</formula>
    </cfRule>
  </conditionalFormatting>
  <conditionalFormatting sqref="H86:H1048576">
    <cfRule type="cellIs" dxfId="2881" priority="5226" operator="lessThan">
      <formula>0</formula>
    </cfRule>
  </conditionalFormatting>
  <conditionalFormatting sqref="H86:H1048576">
    <cfRule type="cellIs" dxfId="2880" priority="5225" operator="lessThan">
      <formula>0</formula>
    </cfRule>
  </conditionalFormatting>
  <conditionalFormatting sqref="H86:H1048576">
    <cfRule type="cellIs" dxfId="2879" priority="5224" operator="lessThan">
      <formula>0</formula>
    </cfRule>
  </conditionalFormatting>
  <conditionalFormatting sqref="H86:H1048576">
    <cfRule type="cellIs" dxfId="2878" priority="5223" operator="lessThan">
      <formula>0</formula>
    </cfRule>
  </conditionalFormatting>
  <conditionalFormatting sqref="H86:H1048576">
    <cfRule type="cellIs" dxfId="2877" priority="5222" operator="lessThan">
      <formula>0</formula>
    </cfRule>
  </conditionalFormatting>
  <conditionalFormatting sqref="H86:H1048576">
    <cfRule type="cellIs" dxfId="2876" priority="5221" operator="lessThan">
      <formula>0</formula>
    </cfRule>
  </conditionalFormatting>
  <conditionalFormatting sqref="H86:H1048576">
    <cfRule type="cellIs" dxfId="2875" priority="5220" operator="lessThan">
      <formula>0</formula>
    </cfRule>
  </conditionalFormatting>
  <conditionalFormatting sqref="H86:H1048576">
    <cfRule type="cellIs" dxfId="2874" priority="5219" operator="lessThan">
      <formula>0</formula>
    </cfRule>
  </conditionalFormatting>
  <conditionalFormatting sqref="H86:H1048576">
    <cfRule type="cellIs" dxfId="2873" priority="5218" operator="lessThan">
      <formula>0</formula>
    </cfRule>
  </conditionalFormatting>
  <conditionalFormatting sqref="H86:H1048576">
    <cfRule type="cellIs" dxfId="2872" priority="5217" operator="lessThan">
      <formula>0</formula>
    </cfRule>
  </conditionalFormatting>
  <conditionalFormatting sqref="H86:H1048576">
    <cfRule type="cellIs" dxfId="2871" priority="5216" operator="lessThan">
      <formula>0</formula>
    </cfRule>
  </conditionalFormatting>
  <conditionalFormatting sqref="H86:H1048576">
    <cfRule type="cellIs" dxfId="2870" priority="5215" operator="lessThan">
      <formula>0</formula>
    </cfRule>
  </conditionalFormatting>
  <conditionalFormatting sqref="H86:H1048576">
    <cfRule type="cellIs" dxfId="2869" priority="5214" operator="lessThan">
      <formula>0</formula>
    </cfRule>
  </conditionalFormatting>
  <conditionalFormatting sqref="H86:H1048576">
    <cfRule type="cellIs" dxfId="2868" priority="5213" operator="lessThan">
      <formula>0</formula>
    </cfRule>
  </conditionalFormatting>
  <conditionalFormatting sqref="H10:H1048576">
    <cfRule type="cellIs" dxfId="2867" priority="5212" operator="lessThan">
      <formula>0</formula>
    </cfRule>
  </conditionalFormatting>
  <conditionalFormatting sqref="H10:H1048576">
    <cfRule type="cellIs" dxfId="2866" priority="5211" operator="lessThan">
      <formula>0</formula>
    </cfRule>
  </conditionalFormatting>
  <conditionalFormatting sqref="H10:H1048576">
    <cfRule type="cellIs" dxfId="2865" priority="5210" operator="lessThan">
      <formula>0</formula>
    </cfRule>
  </conditionalFormatting>
  <conditionalFormatting sqref="H10:H1048576">
    <cfRule type="cellIs" dxfId="2864" priority="5209" operator="lessThan">
      <formula>0</formula>
    </cfRule>
  </conditionalFormatting>
  <conditionalFormatting sqref="H10:H1048576">
    <cfRule type="cellIs" dxfId="2863" priority="5208" operator="lessThan">
      <formula>0</formula>
    </cfRule>
  </conditionalFormatting>
  <conditionalFormatting sqref="H10:H1048576">
    <cfRule type="cellIs" dxfId="2862" priority="5207" operator="lessThan">
      <formula>0</formula>
    </cfRule>
  </conditionalFormatting>
  <conditionalFormatting sqref="H10:H1048576">
    <cfRule type="cellIs" dxfId="2861" priority="5206" operator="lessThan">
      <formula>0</formula>
    </cfRule>
  </conditionalFormatting>
  <conditionalFormatting sqref="H10:H1048576">
    <cfRule type="cellIs" dxfId="2860" priority="5205" operator="lessThan">
      <formula>0</formula>
    </cfRule>
  </conditionalFormatting>
  <conditionalFormatting sqref="H10:H1048576">
    <cfRule type="cellIs" dxfId="2859" priority="5204" operator="lessThan">
      <formula>0</formula>
    </cfRule>
  </conditionalFormatting>
  <conditionalFormatting sqref="H10:H1048576">
    <cfRule type="cellIs" dxfId="2858" priority="5203" operator="lessThan">
      <formula>0</formula>
    </cfRule>
  </conditionalFormatting>
  <conditionalFormatting sqref="H10:H1048576">
    <cfRule type="cellIs" dxfId="2857" priority="5202" operator="lessThan">
      <formula>0</formula>
    </cfRule>
  </conditionalFormatting>
  <conditionalFormatting sqref="H10:H1048576">
    <cfRule type="cellIs" dxfId="2856" priority="5201" operator="lessThan">
      <formula>0</formula>
    </cfRule>
  </conditionalFormatting>
  <conditionalFormatting sqref="H10:H1048576">
    <cfRule type="cellIs" dxfId="2855" priority="5200" operator="lessThan">
      <formula>0</formula>
    </cfRule>
  </conditionalFormatting>
  <conditionalFormatting sqref="H10:H1048576">
    <cfRule type="cellIs" dxfId="2854" priority="5199" operator="lessThan">
      <formula>0</formula>
    </cfRule>
  </conditionalFormatting>
  <conditionalFormatting sqref="H10:H1048576">
    <cfRule type="cellIs" dxfId="2853" priority="5198" operator="lessThan">
      <formula>0</formula>
    </cfRule>
  </conditionalFormatting>
  <conditionalFormatting sqref="H10:H1048576">
    <cfRule type="cellIs" dxfId="2852" priority="5197" operator="lessThan">
      <formula>0</formula>
    </cfRule>
  </conditionalFormatting>
  <conditionalFormatting sqref="H10:H1048576">
    <cfRule type="cellIs" dxfId="2851" priority="5196" operator="lessThan">
      <formula>0</formula>
    </cfRule>
  </conditionalFormatting>
  <conditionalFormatting sqref="H10:H1048576">
    <cfRule type="cellIs" dxfId="2850" priority="5195" operator="lessThan">
      <formula>0</formula>
    </cfRule>
  </conditionalFormatting>
  <conditionalFormatting sqref="H10:H1048576">
    <cfRule type="cellIs" dxfId="2849" priority="5194" operator="lessThan">
      <formula>0</formula>
    </cfRule>
  </conditionalFormatting>
  <conditionalFormatting sqref="H10:H1048576">
    <cfRule type="cellIs" dxfId="2848" priority="5193" operator="lessThan">
      <formula>0</formula>
    </cfRule>
  </conditionalFormatting>
  <conditionalFormatting sqref="H10:H1048576">
    <cfRule type="cellIs" dxfId="2847" priority="5192" operator="lessThan">
      <formula>0</formula>
    </cfRule>
  </conditionalFormatting>
  <conditionalFormatting sqref="H10:H1048576">
    <cfRule type="cellIs" dxfId="2846" priority="5191" operator="lessThan">
      <formula>0</formula>
    </cfRule>
  </conditionalFormatting>
  <conditionalFormatting sqref="H10:H1048576">
    <cfRule type="cellIs" dxfId="2845" priority="5190" operator="lessThan">
      <formula>0</formula>
    </cfRule>
  </conditionalFormatting>
  <conditionalFormatting sqref="H10:H1048576">
    <cfRule type="cellIs" dxfId="2844" priority="5189" operator="lessThan">
      <formula>0</formula>
    </cfRule>
  </conditionalFormatting>
  <conditionalFormatting sqref="H10:H1048576">
    <cfRule type="cellIs" dxfId="2843" priority="5188" operator="lessThan">
      <formula>0</formula>
    </cfRule>
  </conditionalFormatting>
  <conditionalFormatting sqref="H10:H1048576">
    <cfRule type="cellIs" dxfId="2842" priority="5187" operator="lessThan">
      <formula>0</formula>
    </cfRule>
  </conditionalFormatting>
  <conditionalFormatting sqref="H10:H1048576">
    <cfRule type="cellIs" dxfId="2841" priority="5186" operator="lessThan">
      <formula>0</formula>
    </cfRule>
  </conditionalFormatting>
  <conditionalFormatting sqref="H10:H1048576">
    <cfRule type="cellIs" dxfId="2840" priority="5185" operator="lessThan">
      <formula>0</formula>
    </cfRule>
  </conditionalFormatting>
  <conditionalFormatting sqref="H10:H1048576">
    <cfRule type="cellIs" dxfId="2839" priority="5184" operator="lessThan">
      <formula>0</formula>
    </cfRule>
  </conditionalFormatting>
  <conditionalFormatting sqref="H10:H1048576">
    <cfRule type="cellIs" dxfId="2838" priority="5183" operator="lessThan">
      <formula>0</formula>
    </cfRule>
  </conditionalFormatting>
  <conditionalFormatting sqref="H10:H1048576">
    <cfRule type="cellIs" dxfId="2837" priority="5182" operator="lessThan">
      <formula>0</formula>
    </cfRule>
  </conditionalFormatting>
  <conditionalFormatting sqref="H10:H1048576">
    <cfRule type="cellIs" dxfId="2836" priority="5181" operator="lessThan">
      <formula>0</formula>
    </cfRule>
  </conditionalFormatting>
  <conditionalFormatting sqref="H10:H1048576">
    <cfRule type="cellIs" dxfId="2835" priority="5180" operator="lessThan">
      <formula>0</formula>
    </cfRule>
  </conditionalFormatting>
  <conditionalFormatting sqref="H10:H1048576">
    <cfRule type="cellIs" dxfId="2834" priority="5179" operator="lessThan">
      <formula>0</formula>
    </cfRule>
  </conditionalFormatting>
  <conditionalFormatting sqref="H10:H1048576">
    <cfRule type="cellIs" dxfId="2833" priority="5178" operator="lessThan">
      <formula>0</formula>
    </cfRule>
  </conditionalFormatting>
  <conditionalFormatting sqref="H10:H1048576">
    <cfRule type="cellIs" dxfId="2832" priority="5177" operator="lessThan">
      <formula>0</formula>
    </cfRule>
  </conditionalFormatting>
  <conditionalFormatting sqref="H10:H1048576">
    <cfRule type="cellIs" dxfId="2831" priority="5176" operator="lessThan">
      <formula>0</formula>
    </cfRule>
  </conditionalFormatting>
  <conditionalFormatting sqref="H10:H1048576">
    <cfRule type="cellIs" dxfId="2830" priority="5175" operator="lessThan">
      <formula>0</formula>
    </cfRule>
  </conditionalFormatting>
  <conditionalFormatting sqref="H10:H1048576">
    <cfRule type="cellIs" dxfId="2829" priority="5174" operator="lessThan">
      <formula>0</formula>
    </cfRule>
  </conditionalFormatting>
  <conditionalFormatting sqref="H10:H1048576">
    <cfRule type="cellIs" dxfId="2828" priority="5173" operator="lessThan">
      <formula>0</formula>
    </cfRule>
  </conditionalFormatting>
  <conditionalFormatting sqref="H10:H1048576">
    <cfRule type="cellIs" dxfId="2827" priority="5172" operator="lessThan">
      <formula>0</formula>
    </cfRule>
  </conditionalFormatting>
  <conditionalFormatting sqref="H10:H1048576">
    <cfRule type="cellIs" dxfId="2826" priority="5171" operator="lessThan">
      <formula>0</formula>
    </cfRule>
  </conditionalFormatting>
  <conditionalFormatting sqref="H10:H1048576">
    <cfRule type="cellIs" dxfId="2825" priority="5170" operator="lessThan">
      <formula>0</formula>
    </cfRule>
  </conditionalFormatting>
  <conditionalFormatting sqref="H10:H1048576">
    <cfRule type="cellIs" dxfId="2824" priority="5169" operator="lessThan">
      <formula>0</formula>
    </cfRule>
  </conditionalFormatting>
  <conditionalFormatting sqref="H10:H1048576">
    <cfRule type="cellIs" dxfId="2823" priority="5168" operator="lessThan">
      <formula>0</formula>
    </cfRule>
  </conditionalFormatting>
  <conditionalFormatting sqref="H10:H1048576">
    <cfRule type="cellIs" dxfId="2822" priority="5167" operator="lessThan">
      <formula>0</formula>
    </cfRule>
  </conditionalFormatting>
  <conditionalFormatting sqref="H10:H1048576">
    <cfRule type="cellIs" dxfId="2821" priority="5166" operator="lessThan">
      <formula>0</formula>
    </cfRule>
  </conditionalFormatting>
  <conditionalFormatting sqref="H10:H1048576">
    <cfRule type="cellIs" dxfId="2820" priority="5165" operator="lessThan">
      <formula>0</formula>
    </cfRule>
  </conditionalFormatting>
  <conditionalFormatting sqref="H10:H1048576">
    <cfRule type="cellIs" dxfId="2819" priority="5164" operator="lessThan">
      <formula>0</formula>
    </cfRule>
  </conditionalFormatting>
  <conditionalFormatting sqref="H10:H1048576">
    <cfRule type="cellIs" dxfId="2818" priority="5163" operator="lessThan">
      <formula>0</formula>
    </cfRule>
  </conditionalFormatting>
  <conditionalFormatting sqref="H10:H1048576">
    <cfRule type="cellIs" dxfId="2817" priority="5162" operator="lessThan">
      <formula>0</formula>
    </cfRule>
  </conditionalFormatting>
  <conditionalFormatting sqref="H10:H1048576">
    <cfRule type="cellIs" dxfId="2816" priority="5161" operator="lessThan">
      <formula>0</formula>
    </cfRule>
  </conditionalFormatting>
  <conditionalFormatting sqref="H10:H1048576">
    <cfRule type="cellIs" dxfId="2815" priority="5160" operator="lessThan">
      <formula>0</formula>
    </cfRule>
  </conditionalFormatting>
  <conditionalFormatting sqref="H10:H1048576">
    <cfRule type="cellIs" dxfId="2814" priority="5159" operator="lessThan">
      <formula>0</formula>
    </cfRule>
  </conditionalFormatting>
  <conditionalFormatting sqref="H10:H1048576">
    <cfRule type="cellIs" dxfId="2813" priority="5158" operator="lessThan">
      <formula>0</formula>
    </cfRule>
  </conditionalFormatting>
  <conditionalFormatting sqref="H10:H1048576">
    <cfRule type="cellIs" dxfId="2812" priority="5157" operator="lessThan">
      <formula>0</formula>
    </cfRule>
  </conditionalFormatting>
  <conditionalFormatting sqref="H10:H1048576">
    <cfRule type="cellIs" dxfId="2811" priority="5156" operator="lessThan">
      <formula>0</formula>
    </cfRule>
  </conditionalFormatting>
  <conditionalFormatting sqref="H10:H1048576">
    <cfRule type="cellIs" dxfId="2810" priority="5155" operator="lessThan">
      <formula>0</formula>
    </cfRule>
  </conditionalFormatting>
  <conditionalFormatting sqref="H10:H1048576">
    <cfRule type="cellIs" dxfId="2809" priority="5154" operator="lessThan">
      <formula>0</formula>
    </cfRule>
  </conditionalFormatting>
  <conditionalFormatting sqref="H10:H1048576">
    <cfRule type="cellIs" dxfId="2808" priority="5153" operator="lessThan">
      <formula>0</formula>
    </cfRule>
  </conditionalFormatting>
  <conditionalFormatting sqref="H10:H1048576">
    <cfRule type="cellIs" dxfId="2807" priority="5152" operator="lessThan">
      <formula>0</formula>
    </cfRule>
  </conditionalFormatting>
  <conditionalFormatting sqref="H10:H1048576">
    <cfRule type="cellIs" dxfId="2806" priority="5151" operator="lessThan">
      <formula>0</formula>
    </cfRule>
  </conditionalFormatting>
  <conditionalFormatting sqref="H10:H1048576">
    <cfRule type="cellIs" dxfId="2805" priority="5150" operator="lessThan">
      <formula>0</formula>
    </cfRule>
  </conditionalFormatting>
  <conditionalFormatting sqref="H10:H1048576">
    <cfRule type="cellIs" dxfId="2804" priority="5149" operator="lessThan">
      <formula>0</formula>
    </cfRule>
  </conditionalFormatting>
  <conditionalFormatting sqref="H10:H1048576">
    <cfRule type="cellIs" dxfId="2803" priority="5148" operator="lessThan">
      <formula>0</formula>
    </cfRule>
  </conditionalFormatting>
  <conditionalFormatting sqref="H10:H1048576">
    <cfRule type="cellIs" dxfId="2802" priority="5147" operator="lessThan">
      <formula>0</formula>
    </cfRule>
  </conditionalFormatting>
  <conditionalFormatting sqref="H10:H1048576">
    <cfRule type="cellIs" dxfId="2801" priority="5146" operator="lessThan">
      <formula>0</formula>
    </cfRule>
  </conditionalFormatting>
  <conditionalFormatting sqref="H10:H1048576">
    <cfRule type="cellIs" dxfId="2800" priority="5145" operator="lessThan">
      <formula>0</formula>
    </cfRule>
  </conditionalFormatting>
  <conditionalFormatting sqref="H10:H1048576">
    <cfRule type="cellIs" dxfId="2799" priority="5144" operator="lessThan">
      <formula>0</formula>
    </cfRule>
  </conditionalFormatting>
  <conditionalFormatting sqref="H10:H1048576">
    <cfRule type="cellIs" dxfId="2798" priority="5143" operator="lessThan">
      <formula>0</formula>
    </cfRule>
  </conditionalFormatting>
  <conditionalFormatting sqref="H10:H1048576">
    <cfRule type="cellIs" dxfId="2797" priority="5142" operator="lessThan">
      <formula>0</formula>
    </cfRule>
  </conditionalFormatting>
  <conditionalFormatting sqref="H10:H1048576">
    <cfRule type="cellIs" dxfId="2796" priority="5141" operator="lessThan">
      <formula>0</formula>
    </cfRule>
  </conditionalFormatting>
  <conditionalFormatting sqref="H10:H1048576">
    <cfRule type="cellIs" dxfId="2795" priority="5140" operator="lessThan">
      <formula>0</formula>
    </cfRule>
  </conditionalFormatting>
  <conditionalFormatting sqref="H10:H1048576">
    <cfRule type="cellIs" dxfId="2794" priority="5139" operator="lessThan">
      <formula>0</formula>
    </cfRule>
  </conditionalFormatting>
  <conditionalFormatting sqref="H10:H1048576">
    <cfRule type="cellIs" dxfId="2793" priority="5138" operator="lessThan">
      <formula>0</formula>
    </cfRule>
  </conditionalFormatting>
  <conditionalFormatting sqref="H10:H1048576">
    <cfRule type="cellIs" dxfId="2792" priority="5137" operator="lessThan">
      <formula>0</formula>
    </cfRule>
  </conditionalFormatting>
  <conditionalFormatting sqref="H10:H1048576">
    <cfRule type="cellIs" dxfId="2791" priority="5136" operator="lessThan">
      <formula>0</formula>
    </cfRule>
  </conditionalFormatting>
  <conditionalFormatting sqref="H10:H1048576">
    <cfRule type="cellIs" dxfId="2790" priority="5135" operator="lessThan">
      <formula>0</formula>
    </cfRule>
  </conditionalFormatting>
  <conditionalFormatting sqref="H10:H1048576">
    <cfRule type="cellIs" dxfId="2789" priority="5134" operator="lessThan">
      <formula>0</formula>
    </cfRule>
  </conditionalFormatting>
  <conditionalFormatting sqref="H10:H1048576">
    <cfRule type="cellIs" dxfId="2788" priority="5133" operator="lessThan">
      <formula>0</formula>
    </cfRule>
  </conditionalFormatting>
  <conditionalFormatting sqref="H10:H1048576">
    <cfRule type="cellIs" dxfId="2787" priority="5132" operator="lessThan">
      <formula>0</formula>
    </cfRule>
  </conditionalFormatting>
  <conditionalFormatting sqref="H10:H1048576">
    <cfRule type="cellIs" dxfId="2786" priority="5131" operator="lessThan">
      <formula>0</formula>
    </cfRule>
  </conditionalFormatting>
  <conditionalFormatting sqref="H10:H1048576">
    <cfRule type="cellIs" dxfId="2785" priority="5130" operator="lessThan">
      <formula>0</formula>
    </cfRule>
  </conditionalFormatting>
  <conditionalFormatting sqref="H10:H1048576">
    <cfRule type="cellIs" dxfId="2784" priority="5129" operator="lessThan">
      <formula>0</formula>
    </cfRule>
  </conditionalFormatting>
  <conditionalFormatting sqref="H10:H1048576">
    <cfRule type="cellIs" dxfId="2783" priority="5128" operator="lessThan">
      <formula>0</formula>
    </cfRule>
  </conditionalFormatting>
  <conditionalFormatting sqref="H10:H1048576">
    <cfRule type="cellIs" dxfId="2782" priority="5127" operator="lessThan">
      <formula>0</formula>
    </cfRule>
  </conditionalFormatting>
  <conditionalFormatting sqref="H10:H1048576">
    <cfRule type="cellIs" dxfId="2781" priority="5126" operator="lessThan">
      <formula>0</formula>
    </cfRule>
  </conditionalFormatting>
  <conditionalFormatting sqref="H10:H1048576">
    <cfRule type="cellIs" dxfId="2780" priority="5125" operator="lessThan">
      <formula>0</formula>
    </cfRule>
  </conditionalFormatting>
  <conditionalFormatting sqref="H10:H1048576">
    <cfRule type="cellIs" dxfId="2779" priority="5124" operator="lessThan">
      <formula>0</formula>
    </cfRule>
  </conditionalFormatting>
  <conditionalFormatting sqref="H10:H1048576">
    <cfRule type="cellIs" dxfId="2778" priority="5123" operator="lessThan">
      <formula>0</formula>
    </cfRule>
  </conditionalFormatting>
  <conditionalFormatting sqref="H10:H1048576">
    <cfRule type="cellIs" dxfId="2777" priority="5122" operator="lessThan">
      <formula>0</formula>
    </cfRule>
  </conditionalFormatting>
  <conditionalFormatting sqref="H10:H1048576">
    <cfRule type="cellIs" dxfId="2776" priority="5121" operator="lessThan">
      <formula>0</formula>
    </cfRule>
  </conditionalFormatting>
  <conditionalFormatting sqref="H10:H1048576">
    <cfRule type="cellIs" dxfId="2775" priority="5120" operator="lessThan">
      <formula>0</formula>
    </cfRule>
  </conditionalFormatting>
  <conditionalFormatting sqref="H10:H1048576">
    <cfRule type="cellIs" dxfId="2774" priority="5119" operator="lessThan">
      <formula>0</formula>
    </cfRule>
  </conditionalFormatting>
  <conditionalFormatting sqref="H10:H1048576">
    <cfRule type="cellIs" dxfId="2773" priority="5118" operator="lessThan">
      <formula>0</formula>
    </cfRule>
  </conditionalFormatting>
  <conditionalFormatting sqref="H10:H1048576">
    <cfRule type="cellIs" dxfId="2772" priority="5117" operator="lessThan">
      <formula>0</formula>
    </cfRule>
  </conditionalFormatting>
  <conditionalFormatting sqref="H10:H1048576">
    <cfRule type="cellIs" dxfId="2771" priority="5116" operator="lessThan">
      <formula>0</formula>
    </cfRule>
  </conditionalFormatting>
  <conditionalFormatting sqref="H10:H1048576">
    <cfRule type="cellIs" dxfId="2770" priority="5115" operator="lessThan">
      <formula>0</formula>
    </cfRule>
  </conditionalFormatting>
  <conditionalFormatting sqref="H10:H1048576">
    <cfRule type="cellIs" dxfId="2769" priority="5114" operator="lessThan">
      <formula>0</formula>
    </cfRule>
  </conditionalFormatting>
  <conditionalFormatting sqref="H10:H1048576">
    <cfRule type="cellIs" dxfId="2768" priority="5113" operator="lessThan">
      <formula>0</formula>
    </cfRule>
  </conditionalFormatting>
  <conditionalFormatting sqref="H10:H1048576">
    <cfRule type="cellIs" dxfId="2767" priority="5112" operator="lessThan">
      <formula>0</formula>
    </cfRule>
  </conditionalFormatting>
  <conditionalFormatting sqref="H10:H1048576">
    <cfRule type="cellIs" dxfId="2766" priority="5111" operator="lessThan">
      <formula>0</formula>
    </cfRule>
  </conditionalFormatting>
  <conditionalFormatting sqref="H10:H1048576">
    <cfRule type="cellIs" dxfId="2765" priority="5110" operator="lessThan">
      <formula>0</formula>
    </cfRule>
  </conditionalFormatting>
  <conditionalFormatting sqref="H10:H1048576">
    <cfRule type="cellIs" dxfId="2764" priority="5109" operator="lessThan">
      <formula>0</formula>
    </cfRule>
  </conditionalFormatting>
  <conditionalFormatting sqref="H10:H1048576">
    <cfRule type="cellIs" dxfId="2763" priority="5108" operator="lessThan">
      <formula>0</formula>
    </cfRule>
  </conditionalFormatting>
  <conditionalFormatting sqref="H10:H1048576">
    <cfRule type="cellIs" dxfId="2762" priority="5107" operator="lessThan">
      <formula>0</formula>
    </cfRule>
  </conditionalFormatting>
  <conditionalFormatting sqref="H10:H1048576">
    <cfRule type="cellIs" dxfId="2761" priority="5106" operator="lessThan">
      <formula>0</formula>
    </cfRule>
  </conditionalFormatting>
  <conditionalFormatting sqref="H10:H1048576">
    <cfRule type="cellIs" dxfId="2760" priority="5105" operator="lessThan">
      <formula>0</formula>
    </cfRule>
  </conditionalFormatting>
  <conditionalFormatting sqref="H10:H1048576">
    <cfRule type="cellIs" dxfId="2759" priority="5104" operator="lessThan">
      <formula>0</formula>
    </cfRule>
  </conditionalFormatting>
  <conditionalFormatting sqref="H10:H1048576">
    <cfRule type="cellIs" dxfId="2758" priority="5103" operator="lessThan">
      <formula>0</formula>
    </cfRule>
  </conditionalFormatting>
  <conditionalFormatting sqref="H10:H1048576">
    <cfRule type="cellIs" dxfId="2757" priority="5102" operator="lessThan">
      <formula>0</formula>
    </cfRule>
  </conditionalFormatting>
  <conditionalFormatting sqref="H10:H1048576">
    <cfRule type="cellIs" dxfId="2756" priority="5101" operator="lessThan">
      <formula>0</formula>
    </cfRule>
  </conditionalFormatting>
  <conditionalFormatting sqref="H10:H1048576">
    <cfRule type="cellIs" dxfId="2755" priority="5100" operator="lessThan">
      <formula>0</formula>
    </cfRule>
  </conditionalFormatting>
  <conditionalFormatting sqref="H10:H1048576">
    <cfRule type="cellIs" dxfId="2754" priority="5099" operator="lessThan">
      <formula>0</formula>
    </cfRule>
  </conditionalFormatting>
  <conditionalFormatting sqref="H10:H1048576">
    <cfRule type="cellIs" dxfId="2753" priority="5098" operator="lessThan">
      <formula>0</formula>
    </cfRule>
  </conditionalFormatting>
  <conditionalFormatting sqref="H10:H1048576">
    <cfRule type="cellIs" dxfId="2752" priority="5097" operator="lessThan">
      <formula>0</formula>
    </cfRule>
  </conditionalFormatting>
  <conditionalFormatting sqref="H10:H1048576">
    <cfRule type="cellIs" dxfId="2751" priority="5096" operator="lessThan">
      <formula>0</formula>
    </cfRule>
  </conditionalFormatting>
  <conditionalFormatting sqref="H10:H1048576">
    <cfRule type="cellIs" dxfId="2750" priority="5095" operator="lessThan">
      <formula>0</formula>
    </cfRule>
  </conditionalFormatting>
  <conditionalFormatting sqref="H10:H1048576">
    <cfRule type="cellIs" dxfId="2749" priority="5094" operator="lessThan">
      <formula>0</formula>
    </cfRule>
  </conditionalFormatting>
  <conditionalFormatting sqref="H10:H1048576">
    <cfRule type="cellIs" dxfId="2748" priority="5093" operator="lessThan">
      <formula>0</formula>
    </cfRule>
  </conditionalFormatting>
  <conditionalFormatting sqref="H10:H1048576">
    <cfRule type="cellIs" dxfId="2747" priority="5092" operator="lessThan">
      <formula>0</formula>
    </cfRule>
  </conditionalFormatting>
  <conditionalFormatting sqref="H10:H1048576">
    <cfRule type="cellIs" dxfId="2746" priority="5091" operator="lessThan">
      <formula>0</formula>
    </cfRule>
  </conditionalFormatting>
  <conditionalFormatting sqref="H10:H1048576">
    <cfRule type="cellIs" dxfId="2745" priority="5090" operator="lessThan">
      <formula>0</formula>
    </cfRule>
  </conditionalFormatting>
  <conditionalFormatting sqref="H10:H1048576">
    <cfRule type="cellIs" dxfId="2744" priority="5089" operator="lessThan">
      <formula>0</formula>
    </cfRule>
  </conditionalFormatting>
  <conditionalFormatting sqref="H10:H1048576">
    <cfRule type="cellIs" dxfId="2743" priority="5088" operator="lessThan">
      <formula>0</formula>
    </cfRule>
  </conditionalFormatting>
  <conditionalFormatting sqref="H10:H1048576">
    <cfRule type="cellIs" dxfId="2742" priority="5087" operator="lessThan">
      <formula>0</formula>
    </cfRule>
  </conditionalFormatting>
  <conditionalFormatting sqref="H10:H1048576">
    <cfRule type="cellIs" dxfId="2741" priority="5086" operator="lessThan">
      <formula>0</formula>
    </cfRule>
  </conditionalFormatting>
  <conditionalFormatting sqref="H10:H1048576">
    <cfRule type="cellIs" dxfId="2740" priority="5085" operator="lessThan">
      <formula>0</formula>
    </cfRule>
  </conditionalFormatting>
  <conditionalFormatting sqref="H10:H1048576">
    <cfRule type="cellIs" dxfId="2739" priority="5084" operator="lessThan">
      <formula>0</formula>
    </cfRule>
  </conditionalFormatting>
  <conditionalFormatting sqref="H10:H1048576">
    <cfRule type="cellIs" dxfId="2738" priority="5083" operator="lessThan">
      <formula>0</formula>
    </cfRule>
  </conditionalFormatting>
  <conditionalFormatting sqref="H10:H1048576">
    <cfRule type="cellIs" dxfId="2737" priority="5082" operator="lessThan">
      <formula>0</formula>
    </cfRule>
  </conditionalFormatting>
  <conditionalFormatting sqref="H10:H1048576">
    <cfRule type="cellIs" dxfId="2736" priority="5081" operator="lessThan">
      <formula>0</formula>
    </cfRule>
  </conditionalFormatting>
  <conditionalFormatting sqref="H10:H1048576">
    <cfRule type="cellIs" dxfId="2735" priority="5080" operator="lessThan">
      <formula>0</formula>
    </cfRule>
  </conditionalFormatting>
  <conditionalFormatting sqref="H10:H1048576">
    <cfRule type="cellIs" dxfId="2734" priority="5079" operator="lessThan">
      <formula>0</formula>
    </cfRule>
  </conditionalFormatting>
  <conditionalFormatting sqref="H10:H1048576">
    <cfRule type="cellIs" dxfId="2733" priority="5078" operator="lessThan">
      <formula>0</formula>
    </cfRule>
  </conditionalFormatting>
  <conditionalFormatting sqref="H10:H1048576">
    <cfRule type="cellIs" dxfId="2732" priority="5077" operator="lessThan">
      <formula>0</formula>
    </cfRule>
  </conditionalFormatting>
  <conditionalFormatting sqref="H10:H1048576">
    <cfRule type="cellIs" dxfId="2731" priority="5076" operator="lessThan">
      <formula>0</formula>
    </cfRule>
  </conditionalFormatting>
  <conditionalFormatting sqref="H10:H1048576">
    <cfRule type="cellIs" dxfId="2730" priority="5075" operator="lessThan">
      <formula>0</formula>
    </cfRule>
  </conditionalFormatting>
  <conditionalFormatting sqref="H10:H1048576">
    <cfRule type="cellIs" dxfId="2729" priority="5074" operator="lessThan">
      <formula>0</formula>
    </cfRule>
  </conditionalFormatting>
  <conditionalFormatting sqref="H10:H1048576">
    <cfRule type="cellIs" dxfId="2728" priority="5073" operator="lessThan">
      <formula>0</formula>
    </cfRule>
  </conditionalFormatting>
  <conditionalFormatting sqref="H10:H1048576">
    <cfRule type="cellIs" dxfId="2727" priority="5072" operator="lessThan">
      <formula>0</formula>
    </cfRule>
  </conditionalFormatting>
  <conditionalFormatting sqref="H10:H1048576">
    <cfRule type="cellIs" dxfId="2726" priority="5071" operator="lessThan">
      <formula>0</formula>
    </cfRule>
  </conditionalFormatting>
  <conditionalFormatting sqref="H10:H1048576">
    <cfRule type="cellIs" dxfId="2725" priority="5070" operator="lessThan">
      <formula>0</formula>
    </cfRule>
  </conditionalFormatting>
  <conditionalFormatting sqref="H10:H1048576">
    <cfRule type="cellIs" dxfId="2724" priority="5069" operator="lessThan">
      <formula>0</formula>
    </cfRule>
  </conditionalFormatting>
  <conditionalFormatting sqref="H10:H1048576">
    <cfRule type="cellIs" dxfId="2723" priority="5068" operator="lessThan">
      <formula>0</formula>
    </cfRule>
  </conditionalFormatting>
  <conditionalFormatting sqref="H10:H1048576">
    <cfRule type="cellIs" dxfId="2722" priority="5067" operator="lessThan">
      <formula>0</formula>
    </cfRule>
  </conditionalFormatting>
  <conditionalFormatting sqref="H10:H1048576">
    <cfRule type="cellIs" dxfId="2721" priority="5066" operator="lessThan">
      <formula>0</formula>
    </cfRule>
  </conditionalFormatting>
  <conditionalFormatting sqref="H10:H1048576">
    <cfRule type="cellIs" dxfId="2720" priority="5065" operator="lessThan">
      <formula>0</formula>
    </cfRule>
  </conditionalFormatting>
  <conditionalFormatting sqref="H10:H1048576">
    <cfRule type="cellIs" dxfId="2719" priority="5064" operator="lessThan">
      <formula>0</formula>
    </cfRule>
  </conditionalFormatting>
  <conditionalFormatting sqref="H10:H1048576">
    <cfRule type="cellIs" dxfId="2718" priority="5063" operator="lessThan">
      <formula>0</formula>
    </cfRule>
  </conditionalFormatting>
  <conditionalFormatting sqref="H10:H1048576">
    <cfRule type="cellIs" dxfId="2717" priority="5062" operator="lessThan">
      <formula>0</formula>
    </cfRule>
  </conditionalFormatting>
  <conditionalFormatting sqref="H10:H1048576">
    <cfRule type="cellIs" dxfId="2716" priority="5061" operator="lessThan">
      <formula>0</formula>
    </cfRule>
  </conditionalFormatting>
  <conditionalFormatting sqref="H10:H1048576">
    <cfRule type="cellIs" dxfId="2715" priority="5060" operator="lessThan">
      <formula>0</formula>
    </cfRule>
  </conditionalFormatting>
  <conditionalFormatting sqref="H10:H1048576">
    <cfRule type="cellIs" dxfId="2714" priority="5059" operator="lessThan">
      <formula>0</formula>
    </cfRule>
  </conditionalFormatting>
  <conditionalFormatting sqref="H10:H1048576">
    <cfRule type="cellIs" dxfId="2713" priority="5058" operator="lessThan">
      <formula>0</formula>
    </cfRule>
  </conditionalFormatting>
  <conditionalFormatting sqref="H10:H1048576">
    <cfRule type="cellIs" dxfId="2712" priority="5057" operator="lessThan">
      <formula>0</formula>
    </cfRule>
  </conditionalFormatting>
  <conditionalFormatting sqref="H10:H1048576">
    <cfRule type="cellIs" dxfId="2711" priority="5056" operator="lessThan">
      <formula>0</formula>
    </cfRule>
  </conditionalFormatting>
  <conditionalFormatting sqref="H10:H1048576">
    <cfRule type="cellIs" dxfId="2710" priority="5055" operator="lessThan">
      <formula>0</formula>
    </cfRule>
  </conditionalFormatting>
  <conditionalFormatting sqref="H10:H1048576">
    <cfRule type="cellIs" dxfId="2709" priority="5054" operator="lessThan">
      <formula>0</formula>
    </cfRule>
  </conditionalFormatting>
  <conditionalFormatting sqref="H10:H1048576">
    <cfRule type="cellIs" dxfId="2708" priority="5053" operator="lessThan">
      <formula>0</formula>
    </cfRule>
  </conditionalFormatting>
  <conditionalFormatting sqref="H10:H1048576">
    <cfRule type="cellIs" dxfId="2707" priority="5052" operator="lessThan">
      <formula>0</formula>
    </cfRule>
  </conditionalFormatting>
  <conditionalFormatting sqref="H10:H1048576">
    <cfRule type="cellIs" dxfId="2706" priority="5051" operator="lessThan">
      <formula>0</formula>
    </cfRule>
  </conditionalFormatting>
  <conditionalFormatting sqref="H10:H1048576">
    <cfRule type="cellIs" dxfId="2705" priority="5050" operator="lessThan">
      <formula>0</formula>
    </cfRule>
  </conditionalFormatting>
  <conditionalFormatting sqref="H10:H1048576">
    <cfRule type="cellIs" dxfId="2704" priority="5049" operator="lessThan">
      <formula>0</formula>
    </cfRule>
  </conditionalFormatting>
  <conditionalFormatting sqref="H10:H1048576">
    <cfRule type="cellIs" dxfId="2703" priority="5048" operator="lessThan">
      <formula>0</formula>
    </cfRule>
  </conditionalFormatting>
  <conditionalFormatting sqref="H10:H1048576">
    <cfRule type="cellIs" dxfId="2702" priority="5047" operator="lessThan">
      <formula>0</formula>
    </cfRule>
  </conditionalFormatting>
  <conditionalFormatting sqref="H10:H1048576">
    <cfRule type="cellIs" dxfId="2701" priority="5046" operator="lessThan">
      <formula>0</formula>
    </cfRule>
  </conditionalFormatting>
  <conditionalFormatting sqref="H10:H1048576">
    <cfRule type="cellIs" dxfId="2700" priority="5045" operator="lessThan">
      <formula>0</formula>
    </cfRule>
  </conditionalFormatting>
  <conditionalFormatting sqref="H10:H1048576">
    <cfRule type="cellIs" dxfId="2699" priority="5044" operator="lessThan">
      <formula>0</formula>
    </cfRule>
  </conditionalFormatting>
  <conditionalFormatting sqref="H10:H1048576">
    <cfRule type="cellIs" dxfId="2698" priority="5043" operator="lessThan">
      <formula>0</formula>
    </cfRule>
  </conditionalFormatting>
  <conditionalFormatting sqref="H10:H1048576">
    <cfRule type="cellIs" dxfId="2697" priority="5042" operator="lessThan">
      <formula>0</formula>
    </cfRule>
  </conditionalFormatting>
  <conditionalFormatting sqref="H10:H1048576">
    <cfRule type="cellIs" dxfId="2696" priority="5041" operator="lessThan">
      <formula>0</formula>
    </cfRule>
  </conditionalFormatting>
  <conditionalFormatting sqref="H10:H1048576">
    <cfRule type="cellIs" dxfId="2695" priority="5040" operator="lessThan">
      <formula>0</formula>
    </cfRule>
  </conditionalFormatting>
  <conditionalFormatting sqref="H10:H1048576">
    <cfRule type="cellIs" dxfId="2694" priority="5039" operator="lessThan">
      <formula>0</formula>
    </cfRule>
  </conditionalFormatting>
  <conditionalFormatting sqref="H10:H1048576">
    <cfRule type="cellIs" dxfId="2693" priority="5038" operator="lessThan">
      <formula>0</formula>
    </cfRule>
  </conditionalFormatting>
  <conditionalFormatting sqref="H10:H1048576">
    <cfRule type="cellIs" dxfId="2692" priority="5037" operator="lessThan">
      <formula>0</formula>
    </cfRule>
  </conditionalFormatting>
  <conditionalFormatting sqref="H10:H1048576">
    <cfRule type="cellIs" dxfId="2691" priority="5036" operator="lessThan">
      <formula>0</formula>
    </cfRule>
  </conditionalFormatting>
  <conditionalFormatting sqref="H10:H1048576">
    <cfRule type="cellIs" dxfId="2690" priority="5035" operator="lessThan">
      <formula>0</formula>
    </cfRule>
  </conditionalFormatting>
  <conditionalFormatting sqref="H10:H1048576">
    <cfRule type="cellIs" dxfId="2689" priority="5034" operator="lessThan">
      <formula>0</formula>
    </cfRule>
  </conditionalFormatting>
  <conditionalFormatting sqref="H10:H1048576">
    <cfRule type="cellIs" dxfId="2688" priority="5033" operator="lessThan">
      <formula>0</formula>
    </cfRule>
  </conditionalFormatting>
  <conditionalFormatting sqref="H10:H1048576">
    <cfRule type="cellIs" dxfId="2687" priority="5032" operator="lessThan">
      <formula>0</formula>
    </cfRule>
  </conditionalFormatting>
  <conditionalFormatting sqref="H10:H1048576">
    <cfRule type="cellIs" dxfId="2686" priority="5031" operator="lessThan">
      <formula>0</formula>
    </cfRule>
  </conditionalFormatting>
  <conditionalFormatting sqref="H10:H1048576">
    <cfRule type="cellIs" dxfId="2685" priority="5030" operator="lessThan">
      <formula>0</formula>
    </cfRule>
  </conditionalFormatting>
  <conditionalFormatting sqref="H10:H1048576">
    <cfRule type="cellIs" dxfId="2684" priority="5029" operator="lessThan">
      <formula>0</formula>
    </cfRule>
  </conditionalFormatting>
  <conditionalFormatting sqref="H10:H1048576">
    <cfRule type="cellIs" dxfId="2683" priority="5028" operator="lessThan">
      <formula>0</formula>
    </cfRule>
  </conditionalFormatting>
  <conditionalFormatting sqref="H10:H1048576">
    <cfRule type="cellIs" dxfId="2682" priority="5027" operator="lessThan">
      <formula>0</formula>
    </cfRule>
  </conditionalFormatting>
  <conditionalFormatting sqref="H10:H1048576">
    <cfRule type="cellIs" dxfId="2681" priority="5026" operator="lessThan">
      <formula>0</formula>
    </cfRule>
  </conditionalFormatting>
  <conditionalFormatting sqref="H10:H1048576">
    <cfRule type="cellIs" dxfId="2680" priority="5025" operator="lessThan">
      <formula>0</formula>
    </cfRule>
  </conditionalFormatting>
  <conditionalFormatting sqref="H10:H1048576">
    <cfRule type="cellIs" dxfId="2679" priority="5024" operator="lessThan">
      <formula>0</formula>
    </cfRule>
  </conditionalFormatting>
  <conditionalFormatting sqref="H10:H1048576">
    <cfRule type="cellIs" dxfId="2678" priority="5023" operator="lessThan">
      <formula>0</formula>
    </cfRule>
  </conditionalFormatting>
  <conditionalFormatting sqref="H10:H1048576">
    <cfRule type="cellIs" dxfId="2677" priority="5022" operator="lessThan">
      <formula>0</formula>
    </cfRule>
  </conditionalFormatting>
  <conditionalFormatting sqref="H10:H1048576">
    <cfRule type="cellIs" dxfId="2676" priority="5021" operator="lessThan">
      <formula>0</formula>
    </cfRule>
  </conditionalFormatting>
  <conditionalFormatting sqref="H10:H1048576">
    <cfRule type="cellIs" dxfId="2675" priority="5020" operator="lessThan">
      <formula>0</formula>
    </cfRule>
  </conditionalFormatting>
  <conditionalFormatting sqref="H10:H1048576">
    <cfRule type="cellIs" dxfId="2674" priority="5019" operator="lessThan">
      <formula>0</formula>
    </cfRule>
  </conditionalFormatting>
  <conditionalFormatting sqref="H10:H1048576">
    <cfRule type="cellIs" dxfId="2673" priority="5018" operator="lessThan">
      <formula>0</formula>
    </cfRule>
  </conditionalFormatting>
  <conditionalFormatting sqref="H10:H1048576">
    <cfRule type="cellIs" dxfId="2672" priority="5017" operator="lessThan">
      <formula>0</formula>
    </cfRule>
  </conditionalFormatting>
  <conditionalFormatting sqref="H10:H1048576">
    <cfRule type="cellIs" dxfId="2671" priority="5016" operator="lessThan">
      <formula>0</formula>
    </cfRule>
  </conditionalFormatting>
  <conditionalFormatting sqref="H10:H1048576">
    <cfRule type="cellIs" dxfId="2670" priority="5015" operator="lessThan">
      <formula>0</formula>
    </cfRule>
  </conditionalFormatting>
  <conditionalFormatting sqref="H10:H1048576">
    <cfRule type="cellIs" dxfId="2669" priority="5014" operator="lessThan">
      <formula>0</formula>
    </cfRule>
  </conditionalFormatting>
  <conditionalFormatting sqref="H10:H1048576">
    <cfRule type="cellIs" dxfId="2668" priority="5013" operator="lessThan">
      <formula>0</formula>
    </cfRule>
  </conditionalFormatting>
  <conditionalFormatting sqref="H10:H1048576">
    <cfRule type="cellIs" dxfId="2667" priority="5012" operator="lessThan">
      <formula>0</formula>
    </cfRule>
  </conditionalFormatting>
  <conditionalFormatting sqref="H10:H1048576">
    <cfRule type="cellIs" dxfId="2666" priority="5011" operator="lessThan">
      <formula>0</formula>
    </cfRule>
  </conditionalFormatting>
  <conditionalFormatting sqref="H10:H1048576">
    <cfRule type="cellIs" dxfId="2665" priority="5010" operator="lessThan">
      <formula>0</formula>
    </cfRule>
  </conditionalFormatting>
  <conditionalFormatting sqref="H10:H1048576">
    <cfRule type="cellIs" dxfId="2664" priority="5009" operator="lessThan">
      <formula>0</formula>
    </cfRule>
  </conditionalFormatting>
  <conditionalFormatting sqref="H10:H1048576">
    <cfRule type="cellIs" dxfId="2663" priority="5008" operator="lessThan">
      <formula>0</formula>
    </cfRule>
  </conditionalFormatting>
  <conditionalFormatting sqref="H10:H1048576">
    <cfRule type="cellIs" dxfId="2662" priority="5007" operator="lessThan">
      <formula>0</formula>
    </cfRule>
  </conditionalFormatting>
  <conditionalFormatting sqref="H10:H1048576">
    <cfRule type="cellIs" dxfId="2661" priority="5006" operator="lessThan">
      <formula>0</formula>
    </cfRule>
  </conditionalFormatting>
  <conditionalFormatting sqref="H10:H1048576">
    <cfRule type="cellIs" dxfId="2660" priority="5005" operator="lessThan">
      <formula>0</formula>
    </cfRule>
  </conditionalFormatting>
  <conditionalFormatting sqref="H10:H1048576">
    <cfRule type="cellIs" dxfId="2659" priority="5004" operator="lessThan">
      <formula>0</formula>
    </cfRule>
  </conditionalFormatting>
  <conditionalFormatting sqref="H10:H1048576">
    <cfRule type="cellIs" dxfId="2658" priority="5003" operator="lessThan">
      <formula>0</formula>
    </cfRule>
  </conditionalFormatting>
  <conditionalFormatting sqref="H10:H1048576">
    <cfRule type="cellIs" dxfId="2657" priority="5002" operator="lessThan">
      <formula>0</formula>
    </cfRule>
  </conditionalFormatting>
  <conditionalFormatting sqref="H10:H1048576">
    <cfRule type="cellIs" dxfId="2656" priority="5001" operator="lessThan">
      <formula>0</formula>
    </cfRule>
  </conditionalFormatting>
  <conditionalFormatting sqref="H10:H1048576">
    <cfRule type="cellIs" dxfId="2655" priority="5000" operator="lessThan">
      <formula>0</formula>
    </cfRule>
  </conditionalFormatting>
  <conditionalFormatting sqref="H10:H1048576">
    <cfRule type="cellIs" dxfId="2654" priority="4999" operator="lessThan">
      <formula>0</formula>
    </cfRule>
  </conditionalFormatting>
  <conditionalFormatting sqref="H10:H1048576">
    <cfRule type="cellIs" dxfId="2653" priority="4998" operator="lessThan">
      <formula>0</formula>
    </cfRule>
  </conditionalFormatting>
  <conditionalFormatting sqref="H10:H1048576">
    <cfRule type="cellIs" dxfId="2652" priority="4997" operator="lessThan">
      <formula>0</formula>
    </cfRule>
  </conditionalFormatting>
  <conditionalFormatting sqref="H10:H1048576">
    <cfRule type="cellIs" dxfId="2651" priority="4996" operator="lessThan">
      <formula>0</formula>
    </cfRule>
  </conditionalFormatting>
  <conditionalFormatting sqref="H10:H1048576">
    <cfRule type="cellIs" dxfId="2650" priority="4995" operator="lessThan">
      <formula>0</formula>
    </cfRule>
  </conditionalFormatting>
  <conditionalFormatting sqref="H10:H1048576">
    <cfRule type="cellIs" dxfId="2649" priority="4994" operator="lessThan">
      <formula>0</formula>
    </cfRule>
  </conditionalFormatting>
  <conditionalFormatting sqref="H10:H1048576">
    <cfRule type="cellIs" dxfId="2648" priority="4993" operator="lessThan">
      <formula>0</formula>
    </cfRule>
  </conditionalFormatting>
  <conditionalFormatting sqref="H10:H1048576">
    <cfRule type="cellIs" dxfId="2647" priority="4992" operator="lessThan">
      <formula>0</formula>
    </cfRule>
  </conditionalFormatting>
  <conditionalFormatting sqref="H10:H1048576">
    <cfRule type="cellIs" dxfId="2646" priority="4991" operator="lessThan">
      <formula>0</formula>
    </cfRule>
  </conditionalFormatting>
  <conditionalFormatting sqref="H10:H1048576">
    <cfRule type="cellIs" dxfId="2645" priority="4990" operator="lessThan">
      <formula>0</formula>
    </cfRule>
  </conditionalFormatting>
  <conditionalFormatting sqref="H10:H1048576">
    <cfRule type="cellIs" dxfId="2644" priority="4989" operator="lessThan">
      <formula>0</formula>
    </cfRule>
  </conditionalFormatting>
  <conditionalFormatting sqref="H10:H1048576">
    <cfRule type="cellIs" dxfId="2643" priority="4988" operator="lessThan">
      <formula>0</formula>
    </cfRule>
  </conditionalFormatting>
  <conditionalFormatting sqref="H10:H1048576">
    <cfRule type="cellIs" dxfId="2642" priority="4987" operator="lessThan">
      <formula>0</formula>
    </cfRule>
  </conditionalFormatting>
  <conditionalFormatting sqref="H10:H1048576">
    <cfRule type="cellIs" dxfId="2641" priority="4986" operator="lessThan">
      <formula>0</formula>
    </cfRule>
  </conditionalFormatting>
  <conditionalFormatting sqref="H10:H1048576">
    <cfRule type="cellIs" dxfId="2640" priority="4985" operator="lessThan">
      <formula>0</formula>
    </cfRule>
  </conditionalFormatting>
  <conditionalFormatting sqref="H10:H1048576">
    <cfRule type="cellIs" dxfId="2639" priority="4984" operator="lessThan">
      <formula>0</formula>
    </cfRule>
  </conditionalFormatting>
  <conditionalFormatting sqref="H10:H1048576">
    <cfRule type="cellIs" dxfId="2638" priority="4983" operator="lessThan">
      <formula>0</formula>
    </cfRule>
  </conditionalFormatting>
  <conditionalFormatting sqref="H10:H1048576">
    <cfRule type="cellIs" dxfId="2637" priority="4982" operator="lessThan">
      <formula>0</formula>
    </cfRule>
  </conditionalFormatting>
  <conditionalFormatting sqref="H10:H1048576">
    <cfRule type="cellIs" dxfId="2636" priority="4981" operator="lessThan">
      <formula>0</formula>
    </cfRule>
  </conditionalFormatting>
  <conditionalFormatting sqref="H10:H1048576">
    <cfRule type="cellIs" dxfId="2635" priority="4980" operator="lessThan">
      <formula>0</formula>
    </cfRule>
  </conditionalFormatting>
  <conditionalFormatting sqref="H10:H1048576">
    <cfRule type="cellIs" dxfId="2634" priority="4979" operator="lessThan">
      <formula>0</formula>
    </cfRule>
  </conditionalFormatting>
  <conditionalFormatting sqref="H10:H1048576">
    <cfRule type="cellIs" dxfId="2633" priority="4978" operator="lessThan">
      <formula>0</formula>
    </cfRule>
  </conditionalFormatting>
  <conditionalFormatting sqref="H10:H1048576">
    <cfRule type="cellIs" dxfId="2632" priority="4977" operator="lessThan">
      <formula>0</formula>
    </cfRule>
  </conditionalFormatting>
  <conditionalFormatting sqref="H10:H1048576">
    <cfRule type="cellIs" dxfId="2631" priority="4976" operator="lessThan">
      <formula>0</formula>
    </cfRule>
  </conditionalFormatting>
  <conditionalFormatting sqref="H10:H1048576">
    <cfRule type="cellIs" dxfId="2630" priority="4975" operator="lessThan">
      <formula>0</formula>
    </cfRule>
  </conditionalFormatting>
  <conditionalFormatting sqref="H10:H1048576">
    <cfRule type="cellIs" dxfId="2629" priority="4974" operator="lessThan">
      <formula>0</formula>
    </cfRule>
  </conditionalFormatting>
  <conditionalFormatting sqref="H10:H1048576">
    <cfRule type="cellIs" dxfId="2628" priority="4973" operator="lessThan">
      <formula>0</formula>
    </cfRule>
  </conditionalFormatting>
  <conditionalFormatting sqref="H10:H1048576">
    <cfRule type="cellIs" dxfId="2627" priority="4972" operator="lessThan">
      <formula>0</formula>
    </cfRule>
  </conditionalFormatting>
  <conditionalFormatting sqref="H10:H1048576">
    <cfRule type="cellIs" dxfId="2626" priority="4971" operator="lessThan">
      <formula>0</formula>
    </cfRule>
  </conditionalFormatting>
  <conditionalFormatting sqref="H10:H1048576">
    <cfRule type="cellIs" dxfId="2625" priority="4970" operator="lessThan">
      <formula>0</formula>
    </cfRule>
  </conditionalFormatting>
  <conditionalFormatting sqref="H10:H1048576">
    <cfRule type="cellIs" dxfId="2624" priority="4969" operator="lessThan">
      <formula>0</formula>
    </cfRule>
  </conditionalFormatting>
  <conditionalFormatting sqref="H10:H1048576">
    <cfRule type="cellIs" dxfId="2623" priority="4968" operator="lessThan">
      <formula>0</formula>
    </cfRule>
  </conditionalFormatting>
  <conditionalFormatting sqref="H10:H1048576">
    <cfRule type="cellIs" dxfId="2622" priority="4967" operator="lessThan">
      <formula>0</formula>
    </cfRule>
  </conditionalFormatting>
  <conditionalFormatting sqref="H10:H1048576">
    <cfRule type="cellIs" dxfId="2621" priority="4966" operator="lessThan">
      <formula>0</formula>
    </cfRule>
  </conditionalFormatting>
  <conditionalFormatting sqref="H10:H1048576">
    <cfRule type="cellIs" dxfId="2620" priority="4965" operator="lessThan">
      <formula>0</formula>
    </cfRule>
  </conditionalFormatting>
  <conditionalFormatting sqref="H10:H1048576">
    <cfRule type="cellIs" dxfId="2619" priority="4964" operator="lessThan">
      <formula>0</formula>
    </cfRule>
  </conditionalFormatting>
  <conditionalFormatting sqref="H10:H1048576">
    <cfRule type="cellIs" dxfId="2618" priority="4963" operator="lessThan">
      <formula>0</formula>
    </cfRule>
  </conditionalFormatting>
  <conditionalFormatting sqref="H10:H1048576">
    <cfRule type="cellIs" dxfId="2617" priority="4962" operator="lessThan">
      <formula>0</formula>
    </cfRule>
  </conditionalFormatting>
  <conditionalFormatting sqref="H10:H1048576">
    <cfRule type="cellIs" dxfId="2616" priority="4961" operator="lessThan">
      <formula>0</formula>
    </cfRule>
  </conditionalFormatting>
  <conditionalFormatting sqref="H10:H1048576">
    <cfRule type="cellIs" dxfId="2615" priority="4960" operator="lessThan">
      <formula>0</formula>
    </cfRule>
  </conditionalFormatting>
  <conditionalFormatting sqref="H10:H1048576">
    <cfRule type="cellIs" dxfId="2614" priority="4959" operator="lessThan">
      <formula>0</formula>
    </cfRule>
  </conditionalFormatting>
  <conditionalFormatting sqref="H10:H1048576">
    <cfRule type="cellIs" dxfId="2613" priority="4958" operator="lessThan">
      <formula>0</formula>
    </cfRule>
  </conditionalFormatting>
  <conditionalFormatting sqref="H10:H1048576">
    <cfRule type="cellIs" dxfId="2612" priority="4957" operator="lessThan">
      <formula>0</formula>
    </cfRule>
  </conditionalFormatting>
  <conditionalFormatting sqref="H10:H1048576">
    <cfRule type="cellIs" dxfId="2611" priority="4956" operator="lessThan">
      <formula>0</formula>
    </cfRule>
  </conditionalFormatting>
  <conditionalFormatting sqref="H10:H1048576">
    <cfRule type="cellIs" dxfId="2610" priority="4955" operator="lessThan">
      <formula>0</formula>
    </cfRule>
  </conditionalFormatting>
  <conditionalFormatting sqref="H10:H1048576">
    <cfRule type="cellIs" dxfId="2609" priority="4954" operator="lessThan">
      <formula>0</formula>
    </cfRule>
  </conditionalFormatting>
  <conditionalFormatting sqref="H10:H1048576">
    <cfRule type="cellIs" dxfId="2608" priority="4953" operator="lessThan">
      <formula>0</formula>
    </cfRule>
  </conditionalFormatting>
  <conditionalFormatting sqref="H10:H1048576">
    <cfRule type="cellIs" dxfId="2607" priority="4952" operator="lessThan">
      <formula>0</formula>
    </cfRule>
  </conditionalFormatting>
  <conditionalFormatting sqref="H10:H1048576">
    <cfRule type="cellIs" dxfId="2606" priority="4951" operator="lessThan">
      <formula>0</formula>
    </cfRule>
  </conditionalFormatting>
  <conditionalFormatting sqref="H10:H1048576">
    <cfRule type="cellIs" dxfId="2605" priority="4950" operator="lessThan">
      <formula>0</formula>
    </cfRule>
  </conditionalFormatting>
  <conditionalFormatting sqref="H10:H1048576">
    <cfRule type="cellIs" dxfId="2604" priority="4949" operator="lessThan">
      <formula>0</formula>
    </cfRule>
  </conditionalFormatting>
  <conditionalFormatting sqref="H10:H1048576">
    <cfRule type="cellIs" dxfId="2603" priority="4948" operator="lessThan">
      <formula>0</formula>
    </cfRule>
  </conditionalFormatting>
  <conditionalFormatting sqref="H10:H1048576">
    <cfRule type="cellIs" dxfId="2602" priority="4947" operator="lessThan">
      <formula>0</formula>
    </cfRule>
  </conditionalFormatting>
  <conditionalFormatting sqref="H10:H1048576">
    <cfRule type="cellIs" dxfId="2601" priority="4946" operator="lessThan">
      <formula>0</formula>
    </cfRule>
  </conditionalFormatting>
  <conditionalFormatting sqref="H10:H1048576">
    <cfRule type="cellIs" dxfId="2600" priority="4945" operator="lessThan">
      <formula>0</formula>
    </cfRule>
  </conditionalFormatting>
  <conditionalFormatting sqref="H10:H1048576">
    <cfRule type="cellIs" dxfId="2599" priority="4944" operator="lessThan">
      <formula>0</formula>
    </cfRule>
  </conditionalFormatting>
  <conditionalFormatting sqref="H10:H1048576">
    <cfRule type="cellIs" dxfId="2598" priority="4943" operator="lessThan">
      <formula>0</formula>
    </cfRule>
  </conditionalFormatting>
  <conditionalFormatting sqref="H10:H1048576">
    <cfRule type="cellIs" dxfId="2597" priority="4942" operator="lessThan">
      <formula>0</formula>
    </cfRule>
  </conditionalFormatting>
  <conditionalFormatting sqref="H10:H1048576">
    <cfRule type="cellIs" dxfId="2596" priority="4941" operator="lessThan">
      <formula>0</formula>
    </cfRule>
  </conditionalFormatting>
  <conditionalFormatting sqref="H10:H1048576">
    <cfRule type="cellIs" dxfId="2595" priority="4940" operator="lessThan">
      <formula>0</formula>
    </cfRule>
  </conditionalFormatting>
  <conditionalFormatting sqref="H10:H1048576">
    <cfRule type="cellIs" dxfId="2594" priority="4939" operator="lessThan">
      <formula>0</formula>
    </cfRule>
  </conditionalFormatting>
  <conditionalFormatting sqref="H10:H1048576">
    <cfRule type="cellIs" dxfId="2593" priority="4938" operator="lessThan">
      <formula>0</formula>
    </cfRule>
  </conditionalFormatting>
  <conditionalFormatting sqref="H10:H1048576">
    <cfRule type="cellIs" dxfId="2592" priority="4937" operator="lessThan">
      <formula>0</formula>
    </cfRule>
  </conditionalFormatting>
  <conditionalFormatting sqref="H10:H1048576">
    <cfRule type="cellIs" dxfId="2591" priority="4936" operator="lessThan">
      <formula>0</formula>
    </cfRule>
  </conditionalFormatting>
  <conditionalFormatting sqref="H10:H1048576">
    <cfRule type="cellIs" dxfId="2590" priority="4935" operator="lessThan">
      <formula>0</formula>
    </cfRule>
  </conditionalFormatting>
  <conditionalFormatting sqref="H10:H1048576">
    <cfRule type="cellIs" dxfId="2589" priority="4934" operator="lessThan">
      <formula>0</formula>
    </cfRule>
  </conditionalFormatting>
  <conditionalFormatting sqref="H10:H1048576">
    <cfRule type="cellIs" dxfId="2588" priority="4933" operator="lessThan">
      <formula>0</formula>
    </cfRule>
  </conditionalFormatting>
  <conditionalFormatting sqref="H10:H1048576">
    <cfRule type="cellIs" dxfId="2587" priority="4932" operator="lessThan">
      <formula>0</formula>
    </cfRule>
  </conditionalFormatting>
  <conditionalFormatting sqref="H10:H1048576">
    <cfRule type="cellIs" dxfId="2586" priority="4931" operator="lessThan">
      <formula>0</formula>
    </cfRule>
  </conditionalFormatting>
  <conditionalFormatting sqref="H10:H1048576">
    <cfRule type="cellIs" dxfId="2585" priority="4930" operator="lessThan">
      <formula>0</formula>
    </cfRule>
  </conditionalFormatting>
  <conditionalFormatting sqref="H10:H1048576">
    <cfRule type="cellIs" dxfId="2584" priority="4929" operator="lessThan">
      <formula>0</formula>
    </cfRule>
  </conditionalFormatting>
  <conditionalFormatting sqref="H10:H1048576">
    <cfRule type="cellIs" dxfId="2583" priority="4928" operator="lessThan">
      <formula>0</formula>
    </cfRule>
  </conditionalFormatting>
  <conditionalFormatting sqref="H10:H1048576">
    <cfRule type="cellIs" dxfId="2582" priority="4927" operator="lessThan">
      <formula>0</formula>
    </cfRule>
  </conditionalFormatting>
  <conditionalFormatting sqref="H10:H1048576">
    <cfRule type="cellIs" dxfId="2581" priority="4926" operator="lessThan">
      <formula>0</formula>
    </cfRule>
  </conditionalFormatting>
  <conditionalFormatting sqref="H10:H1048576">
    <cfRule type="cellIs" dxfId="2580" priority="4925" operator="lessThan">
      <formula>0</formula>
    </cfRule>
  </conditionalFormatting>
  <conditionalFormatting sqref="H10:H1048576">
    <cfRule type="cellIs" dxfId="2579" priority="4924" operator="lessThan">
      <formula>0</formula>
    </cfRule>
  </conditionalFormatting>
  <conditionalFormatting sqref="H10:H1048576">
    <cfRule type="cellIs" dxfId="2578" priority="4923" operator="lessThan">
      <formula>0</formula>
    </cfRule>
  </conditionalFormatting>
  <conditionalFormatting sqref="H10:H1048576">
    <cfRule type="cellIs" dxfId="2577" priority="4922" operator="lessThan">
      <formula>0</formula>
    </cfRule>
  </conditionalFormatting>
  <conditionalFormatting sqref="H10:H1048576">
    <cfRule type="cellIs" dxfId="2576" priority="4921" operator="lessThan">
      <formula>0</formula>
    </cfRule>
  </conditionalFormatting>
  <conditionalFormatting sqref="H10:H1048576">
    <cfRule type="cellIs" dxfId="2575" priority="4920" operator="lessThan">
      <formula>0</formula>
    </cfRule>
  </conditionalFormatting>
  <conditionalFormatting sqref="H10:H1048576">
    <cfRule type="cellIs" dxfId="2574" priority="4919" operator="lessThan">
      <formula>0</formula>
    </cfRule>
  </conditionalFormatting>
  <conditionalFormatting sqref="H10:H1048576">
    <cfRule type="cellIs" dxfId="2573" priority="4918" operator="lessThan">
      <formula>0</formula>
    </cfRule>
  </conditionalFormatting>
  <conditionalFormatting sqref="H10:H1048576">
    <cfRule type="cellIs" dxfId="2572" priority="4917" operator="lessThan">
      <formula>0</formula>
    </cfRule>
  </conditionalFormatting>
  <conditionalFormatting sqref="H10:H1048576">
    <cfRule type="cellIs" dxfId="2571" priority="4916" operator="lessThan">
      <formula>0</formula>
    </cfRule>
  </conditionalFormatting>
  <conditionalFormatting sqref="H10:H1048576">
    <cfRule type="cellIs" dxfId="2570" priority="4915" operator="lessThan">
      <formula>0</formula>
    </cfRule>
  </conditionalFormatting>
  <conditionalFormatting sqref="H10:H1048576">
    <cfRule type="cellIs" dxfId="2569" priority="4914" operator="lessThan">
      <formula>0</formula>
    </cfRule>
  </conditionalFormatting>
  <conditionalFormatting sqref="H10:H1048576">
    <cfRule type="cellIs" dxfId="2568" priority="4913" operator="lessThan">
      <formula>0</formula>
    </cfRule>
  </conditionalFormatting>
  <conditionalFormatting sqref="H10:H1048576">
    <cfRule type="cellIs" dxfId="2567" priority="4912" operator="lessThan">
      <formula>0</formula>
    </cfRule>
  </conditionalFormatting>
  <conditionalFormatting sqref="H10:H1048576">
    <cfRule type="cellIs" dxfId="2566" priority="4911" operator="lessThan">
      <formula>0</formula>
    </cfRule>
  </conditionalFormatting>
  <conditionalFormatting sqref="H10:H1048576">
    <cfRule type="cellIs" dxfId="2565" priority="4910" operator="lessThan">
      <formula>0</formula>
    </cfRule>
  </conditionalFormatting>
  <conditionalFormatting sqref="H10:H1048576">
    <cfRule type="cellIs" dxfId="2564" priority="4909" operator="lessThan">
      <formula>0</formula>
    </cfRule>
  </conditionalFormatting>
  <conditionalFormatting sqref="H10:H1048576">
    <cfRule type="cellIs" dxfId="2563" priority="4908" operator="lessThan">
      <formula>0</formula>
    </cfRule>
  </conditionalFormatting>
  <conditionalFormatting sqref="H10:H1048576">
    <cfRule type="cellIs" dxfId="2562" priority="4907" operator="lessThan">
      <formula>0</formula>
    </cfRule>
  </conditionalFormatting>
  <conditionalFormatting sqref="H10:H1048576">
    <cfRule type="cellIs" dxfId="2561" priority="4906" operator="lessThan">
      <formula>0</formula>
    </cfRule>
  </conditionalFormatting>
  <conditionalFormatting sqref="H10:H1048576">
    <cfRule type="cellIs" dxfId="2560" priority="4905" operator="lessThan">
      <formula>0</formula>
    </cfRule>
  </conditionalFormatting>
  <conditionalFormatting sqref="H10:H1048576">
    <cfRule type="cellIs" dxfId="2559" priority="4904" operator="lessThan">
      <formula>0</formula>
    </cfRule>
  </conditionalFormatting>
  <conditionalFormatting sqref="H10:H1048576">
    <cfRule type="cellIs" dxfId="2558" priority="4903" operator="lessThan">
      <formula>0</formula>
    </cfRule>
  </conditionalFormatting>
  <conditionalFormatting sqref="H10:H1048576">
    <cfRule type="cellIs" dxfId="2557" priority="4902" operator="lessThan">
      <formula>0</formula>
    </cfRule>
  </conditionalFormatting>
  <conditionalFormatting sqref="H10:H1048576">
    <cfRule type="cellIs" dxfId="2556" priority="4901" operator="lessThan">
      <formula>0</formula>
    </cfRule>
  </conditionalFormatting>
  <conditionalFormatting sqref="H10:H1048576">
    <cfRule type="cellIs" dxfId="2555" priority="4900" operator="lessThan">
      <formula>0</formula>
    </cfRule>
  </conditionalFormatting>
  <conditionalFormatting sqref="H10:H1048576">
    <cfRule type="cellIs" dxfId="2554" priority="4899" operator="lessThan">
      <formula>0</formula>
    </cfRule>
  </conditionalFormatting>
  <conditionalFormatting sqref="H10:H1048576">
    <cfRule type="cellIs" dxfId="2553" priority="4898" operator="lessThan">
      <formula>0</formula>
    </cfRule>
  </conditionalFormatting>
  <conditionalFormatting sqref="H10:H1048576">
    <cfRule type="cellIs" dxfId="2552" priority="4897" operator="lessThan">
      <formula>0</formula>
    </cfRule>
  </conditionalFormatting>
  <conditionalFormatting sqref="H10:H1048576">
    <cfRule type="cellIs" dxfId="2551" priority="4896" operator="lessThan">
      <formula>0</formula>
    </cfRule>
  </conditionalFormatting>
  <conditionalFormatting sqref="H10:H1048576">
    <cfRule type="cellIs" dxfId="2550" priority="4895" operator="lessThan">
      <formula>0</formula>
    </cfRule>
  </conditionalFormatting>
  <conditionalFormatting sqref="H10:H1048576">
    <cfRule type="cellIs" dxfId="2549" priority="4894" operator="lessThan">
      <formula>0</formula>
    </cfRule>
  </conditionalFormatting>
  <conditionalFormatting sqref="H10:H1048576">
    <cfRule type="cellIs" dxfId="2548" priority="4893" operator="lessThan">
      <formula>0</formula>
    </cfRule>
  </conditionalFormatting>
  <conditionalFormatting sqref="H10:H1048576">
    <cfRule type="cellIs" dxfId="2547" priority="4892" operator="lessThan">
      <formula>0</formula>
    </cfRule>
  </conditionalFormatting>
  <conditionalFormatting sqref="H10:H1048576">
    <cfRule type="cellIs" dxfId="2546" priority="4891" operator="lessThan">
      <formula>0</formula>
    </cfRule>
  </conditionalFormatting>
  <conditionalFormatting sqref="H10:H1048576">
    <cfRule type="cellIs" dxfId="2545" priority="4890" operator="lessThan">
      <formula>0</formula>
    </cfRule>
  </conditionalFormatting>
  <conditionalFormatting sqref="H10:H1048576">
    <cfRule type="cellIs" dxfId="2544" priority="4889" operator="lessThan">
      <formula>0</formula>
    </cfRule>
  </conditionalFormatting>
  <conditionalFormatting sqref="H10:H1048576">
    <cfRule type="cellIs" dxfId="2543" priority="4888" operator="lessThan">
      <formula>0</formula>
    </cfRule>
  </conditionalFormatting>
  <conditionalFormatting sqref="H10:H1048576">
    <cfRule type="cellIs" dxfId="2542" priority="4887" operator="lessThan">
      <formula>0</formula>
    </cfRule>
  </conditionalFormatting>
  <conditionalFormatting sqref="H10:H1048576">
    <cfRule type="cellIs" dxfId="2541" priority="4886" operator="lessThan">
      <formula>0</formula>
    </cfRule>
  </conditionalFormatting>
  <conditionalFormatting sqref="H10:H1048576">
    <cfRule type="cellIs" dxfId="2540" priority="4885" operator="lessThan">
      <formula>0</formula>
    </cfRule>
  </conditionalFormatting>
  <conditionalFormatting sqref="H10:H1048576">
    <cfRule type="cellIs" dxfId="2539" priority="4884" operator="lessThan">
      <formula>0</formula>
    </cfRule>
  </conditionalFormatting>
  <conditionalFormatting sqref="H10:H1048576">
    <cfRule type="cellIs" dxfId="2538" priority="4883" operator="lessThan">
      <formula>0</formula>
    </cfRule>
  </conditionalFormatting>
  <conditionalFormatting sqref="H10:H1048576">
    <cfRule type="cellIs" dxfId="2537" priority="4882" operator="lessThan">
      <formula>0</formula>
    </cfRule>
  </conditionalFormatting>
  <conditionalFormatting sqref="H10:H1048576">
    <cfRule type="cellIs" dxfId="2536" priority="4881" operator="lessThan">
      <formula>0</formula>
    </cfRule>
  </conditionalFormatting>
  <conditionalFormatting sqref="H10:H1048576">
    <cfRule type="cellIs" dxfId="2535" priority="4880" operator="lessThan">
      <formula>0</formula>
    </cfRule>
  </conditionalFormatting>
  <conditionalFormatting sqref="H10:H1048576">
    <cfRule type="cellIs" dxfId="2534" priority="4879" operator="lessThan">
      <formula>0</formula>
    </cfRule>
  </conditionalFormatting>
  <conditionalFormatting sqref="H10:H1048576">
    <cfRule type="cellIs" dxfId="2533" priority="4878" operator="lessThan">
      <formula>0</formula>
    </cfRule>
  </conditionalFormatting>
  <conditionalFormatting sqref="H10:H1048576">
    <cfRule type="cellIs" dxfId="2532" priority="4877" operator="lessThan">
      <formula>0</formula>
    </cfRule>
  </conditionalFormatting>
  <conditionalFormatting sqref="H10:H1048576">
    <cfRule type="cellIs" dxfId="2531" priority="4876" operator="lessThan">
      <formula>0</formula>
    </cfRule>
  </conditionalFormatting>
  <conditionalFormatting sqref="H10:H1048576">
    <cfRule type="cellIs" dxfId="2530" priority="4875" operator="lessThan">
      <formula>0</formula>
    </cfRule>
  </conditionalFormatting>
  <conditionalFormatting sqref="H10:H1048576">
    <cfRule type="cellIs" dxfId="2529" priority="4874" operator="lessThan">
      <formula>0</formula>
    </cfRule>
  </conditionalFormatting>
  <conditionalFormatting sqref="H10:H1048576">
    <cfRule type="cellIs" dxfId="2528" priority="4873" operator="lessThan">
      <formula>0</formula>
    </cfRule>
  </conditionalFormatting>
  <conditionalFormatting sqref="H10:H1048576">
    <cfRule type="cellIs" dxfId="2527" priority="4872" operator="lessThan">
      <formula>0</formula>
    </cfRule>
  </conditionalFormatting>
  <conditionalFormatting sqref="H10:H1048576">
    <cfRule type="cellIs" dxfId="2526" priority="4871" operator="lessThan">
      <formula>0</formula>
    </cfRule>
  </conditionalFormatting>
  <conditionalFormatting sqref="H10:H1048576">
    <cfRule type="cellIs" dxfId="2525" priority="4870" operator="lessThan">
      <formula>0</formula>
    </cfRule>
  </conditionalFormatting>
  <conditionalFormatting sqref="H10:H1048576">
    <cfRule type="cellIs" dxfId="2524" priority="4869" operator="lessThan">
      <formula>0</formula>
    </cfRule>
  </conditionalFormatting>
  <conditionalFormatting sqref="H10:H1048576">
    <cfRule type="cellIs" dxfId="2523" priority="4868" operator="lessThan">
      <formula>0</formula>
    </cfRule>
  </conditionalFormatting>
  <conditionalFormatting sqref="H10:H1048576">
    <cfRule type="cellIs" dxfId="2522" priority="4867" operator="lessThan">
      <formula>0</formula>
    </cfRule>
  </conditionalFormatting>
  <conditionalFormatting sqref="H10:H1048576">
    <cfRule type="cellIs" dxfId="2521" priority="4866" operator="lessThan">
      <formula>0</formula>
    </cfRule>
  </conditionalFormatting>
  <conditionalFormatting sqref="H10:H1048576">
    <cfRule type="cellIs" dxfId="2520" priority="4865" operator="lessThan">
      <formula>0</formula>
    </cfRule>
  </conditionalFormatting>
  <conditionalFormatting sqref="H10:H1048576">
    <cfRule type="cellIs" dxfId="2519" priority="4864" operator="lessThan">
      <formula>0</formula>
    </cfRule>
  </conditionalFormatting>
  <conditionalFormatting sqref="H10:H1048576">
    <cfRule type="cellIs" dxfId="2518" priority="4863" operator="lessThan">
      <formula>0</formula>
    </cfRule>
  </conditionalFormatting>
  <conditionalFormatting sqref="H10:H1048576">
    <cfRule type="cellIs" dxfId="2517" priority="4862" operator="lessThan">
      <formula>0</formula>
    </cfRule>
  </conditionalFormatting>
  <conditionalFormatting sqref="H10:H1048576">
    <cfRule type="cellIs" dxfId="2516" priority="4861" operator="lessThan">
      <formula>0</formula>
    </cfRule>
  </conditionalFormatting>
  <conditionalFormatting sqref="H10:H1048576">
    <cfRule type="cellIs" dxfId="2515" priority="4860" operator="lessThan">
      <formula>0</formula>
    </cfRule>
  </conditionalFormatting>
  <conditionalFormatting sqref="H10:H1048576">
    <cfRule type="cellIs" dxfId="2514" priority="4859" operator="lessThan">
      <formula>0</formula>
    </cfRule>
  </conditionalFormatting>
  <conditionalFormatting sqref="H10:H1048576">
    <cfRule type="cellIs" dxfId="2513" priority="4858" operator="lessThan">
      <formula>0</formula>
    </cfRule>
  </conditionalFormatting>
  <conditionalFormatting sqref="H10:H1048576">
    <cfRule type="cellIs" dxfId="2512" priority="4857" operator="lessThan">
      <formula>0</formula>
    </cfRule>
  </conditionalFormatting>
  <conditionalFormatting sqref="H10:H1048576">
    <cfRule type="cellIs" dxfId="2511" priority="4856" operator="lessThan">
      <formula>0</formula>
    </cfRule>
  </conditionalFormatting>
  <conditionalFormatting sqref="H10:H1048576">
    <cfRule type="cellIs" dxfId="2510" priority="4855" operator="lessThan">
      <formula>0</formula>
    </cfRule>
  </conditionalFormatting>
  <conditionalFormatting sqref="H10:H1048576">
    <cfRule type="cellIs" dxfId="2509" priority="4854" operator="lessThan">
      <formula>0</formula>
    </cfRule>
  </conditionalFormatting>
  <conditionalFormatting sqref="H10:H1048576">
    <cfRule type="cellIs" dxfId="2508" priority="4853" operator="lessThan">
      <formula>0</formula>
    </cfRule>
  </conditionalFormatting>
  <conditionalFormatting sqref="H10:H1048576">
    <cfRule type="cellIs" dxfId="2507" priority="4852" operator="lessThan">
      <formula>0</formula>
    </cfRule>
  </conditionalFormatting>
  <conditionalFormatting sqref="H10:H1048576">
    <cfRule type="cellIs" dxfId="2506" priority="4851" operator="lessThan">
      <formula>0</formula>
    </cfRule>
  </conditionalFormatting>
  <conditionalFormatting sqref="H10:H1048576">
    <cfRule type="cellIs" dxfId="2505" priority="4850" operator="lessThan">
      <formula>0</formula>
    </cfRule>
  </conditionalFormatting>
  <conditionalFormatting sqref="H10:H1048576">
    <cfRule type="cellIs" dxfId="2504" priority="4849" operator="lessThan">
      <formula>0</formula>
    </cfRule>
  </conditionalFormatting>
  <conditionalFormatting sqref="H10:H1048576">
    <cfRule type="cellIs" dxfId="2503" priority="4848" operator="lessThan">
      <formula>0</formula>
    </cfRule>
  </conditionalFormatting>
  <conditionalFormatting sqref="H10:H1048576">
    <cfRule type="cellIs" dxfId="2502" priority="4847" operator="lessThan">
      <formula>0</formula>
    </cfRule>
  </conditionalFormatting>
  <conditionalFormatting sqref="H10:H1048576">
    <cfRule type="cellIs" dxfId="2501" priority="4846" operator="lessThan">
      <formula>0</formula>
    </cfRule>
  </conditionalFormatting>
  <conditionalFormatting sqref="H10:H1048576">
    <cfRule type="cellIs" dxfId="2500" priority="4845" operator="lessThan">
      <formula>0</formula>
    </cfRule>
  </conditionalFormatting>
  <conditionalFormatting sqref="H10:H1048576">
    <cfRule type="cellIs" dxfId="2499" priority="4844" operator="lessThan">
      <formula>0</formula>
    </cfRule>
  </conditionalFormatting>
  <conditionalFormatting sqref="H10:H1048576">
    <cfRule type="cellIs" dxfId="2498" priority="4843" operator="lessThan">
      <formula>0</formula>
    </cfRule>
  </conditionalFormatting>
  <conditionalFormatting sqref="H10:H1048576">
    <cfRule type="cellIs" dxfId="2497" priority="4842" operator="lessThan">
      <formula>0</formula>
    </cfRule>
  </conditionalFormatting>
  <conditionalFormatting sqref="H10:H1048576">
    <cfRule type="cellIs" dxfId="2496" priority="4841" operator="lessThan">
      <formula>0</formula>
    </cfRule>
  </conditionalFormatting>
  <conditionalFormatting sqref="H10:H1048576">
    <cfRule type="cellIs" dxfId="2495" priority="4840" operator="lessThan">
      <formula>0</formula>
    </cfRule>
  </conditionalFormatting>
  <conditionalFormatting sqref="H10:H1048576">
    <cfRule type="cellIs" dxfId="2494" priority="4839" operator="lessThan">
      <formula>0</formula>
    </cfRule>
  </conditionalFormatting>
  <conditionalFormatting sqref="H10:H1048576">
    <cfRule type="cellIs" dxfId="2493" priority="4838" operator="lessThan">
      <formula>0</formula>
    </cfRule>
  </conditionalFormatting>
  <conditionalFormatting sqref="H10:H1048576">
    <cfRule type="cellIs" dxfId="2492" priority="4837" operator="lessThan">
      <formula>0</formula>
    </cfRule>
  </conditionalFormatting>
  <conditionalFormatting sqref="H10:H1048576">
    <cfRule type="cellIs" dxfId="2491" priority="4836" operator="lessThan">
      <formula>0</formula>
    </cfRule>
  </conditionalFormatting>
  <conditionalFormatting sqref="H10:H1048576">
    <cfRule type="cellIs" dxfId="2490" priority="4835" operator="lessThan">
      <formula>0</formula>
    </cfRule>
  </conditionalFormatting>
  <conditionalFormatting sqref="H10:H1048576">
    <cfRule type="cellIs" dxfId="2489" priority="4834" operator="lessThan">
      <formula>0</formula>
    </cfRule>
  </conditionalFormatting>
  <conditionalFormatting sqref="H10:H1048576">
    <cfRule type="cellIs" dxfId="2488" priority="4833" operator="lessThan">
      <formula>0</formula>
    </cfRule>
  </conditionalFormatting>
  <conditionalFormatting sqref="H10:H1048576">
    <cfRule type="cellIs" dxfId="2487" priority="4832" operator="lessThan">
      <formula>0</formula>
    </cfRule>
  </conditionalFormatting>
  <conditionalFormatting sqref="H10:H1048576">
    <cfRule type="cellIs" dxfId="2486" priority="4831" operator="lessThan">
      <formula>0</formula>
    </cfRule>
  </conditionalFormatting>
  <conditionalFormatting sqref="H10:H1048576">
    <cfRule type="cellIs" dxfId="2485" priority="4830" operator="lessThan">
      <formula>0</formula>
    </cfRule>
  </conditionalFormatting>
  <conditionalFormatting sqref="H10:H1048576">
    <cfRule type="cellIs" dxfId="2484" priority="4829" operator="lessThan">
      <formula>0</formula>
    </cfRule>
  </conditionalFormatting>
  <conditionalFormatting sqref="H10:H1048576">
    <cfRule type="cellIs" dxfId="2483" priority="4828" operator="lessThan">
      <formula>0</formula>
    </cfRule>
  </conditionalFormatting>
  <conditionalFormatting sqref="H10:H1048576">
    <cfRule type="cellIs" dxfId="2482" priority="4827" operator="lessThan">
      <formula>0</formula>
    </cfRule>
  </conditionalFormatting>
  <conditionalFormatting sqref="H10:H1048576">
    <cfRule type="cellIs" dxfId="2481" priority="4826" operator="lessThan">
      <formula>0</formula>
    </cfRule>
  </conditionalFormatting>
  <conditionalFormatting sqref="H10:H1048576">
    <cfRule type="cellIs" dxfId="2480" priority="4825" operator="lessThan">
      <formula>0</formula>
    </cfRule>
  </conditionalFormatting>
  <conditionalFormatting sqref="H10:H1048576">
    <cfRule type="cellIs" dxfId="2479" priority="4824" operator="lessThan">
      <formula>0</formula>
    </cfRule>
  </conditionalFormatting>
  <conditionalFormatting sqref="H10:H1048576">
    <cfRule type="cellIs" dxfId="2478" priority="4823" operator="lessThan">
      <formula>0</formula>
    </cfRule>
  </conditionalFormatting>
  <conditionalFormatting sqref="H10:H1048576">
    <cfRule type="cellIs" dxfId="2477" priority="4822" operator="lessThan">
      <formula>0</formula>
    </cfRule>
  </conditionalFormatting>
  <conditionalFormatting sqref="H10:H1048576">
    <cfRule type="cellIs" dxfId="2476" priority="4821" operator="lessThan">
      <formula>0</formula>
    </cfRule>
  </conditionalFormatting>
  <conditionalFormatting sqref="H10:H1048576">
    <cfRule type="cellIs" dxfId="2475" priority="4820" operator="lessThan">
      <formula>0</formula>
    </cfRule>
  </conditionalFormatting>
  <conditionalFormatting sqref="H10:H1048576">
    <cfRule type="cellIs" dxfId="2474" priority="4819" operator="lessThan">
      <formula>0</formula>
    </cfRule>
  </conditionalFormatting>
  <conditionalFormatting sqref="H10:H1048576">
    <cfRule type="cellIs" dxfId="2473" priority="4818" operator="lessThan">
      <formula>0</formula>
    </cfRule>
  </conditionalFormatting>
  <conditionalFormatting sqref="H10:H1048576">
    <cfRule type="cellIs" dxfId="2472" priority="4817" operator="lessThan">
      <formula>0</formula>
    </cfRule>
  </conditionalFormatting>
  <conditionalFormatting sqref="H10:H1048576">
    <cfRule type="cellIs" dxfId="2471" priority="4816" operator="lessThan">
      <formula>0</formula>
    </cfRule>
  </conditionalFormatting>
  <conditionalFormatting sqref="H10:H1048576">
    <cfRule type="cellIs" dxfId="2470" priority="4815" operator="lessThan">
      <formula>0</formula>
    </cfRule>
  </conditionalFormatting>
  <conditionalFormatting sqref="H10:H1048576">
    <cfRule type="cellIs" dxfId="2469" priority="4814" operator="lessThan">
      <formula>0</formula>
    </cfRule>
  </conditionalFormatting>
  <conditionalFormatting sqref="H10:H1048576">
    <cfRule type="cellIs" dxfId="2468" priority="4813" operator="lessThan">
      <formula>0</formula>
    </cfRule>
  </conditionalFormatting>
  <conditionalFormatting sqref="H10:H1048576">
    <cfRule type="cellIs" dxfId="2467" priority="4812" operator="lessThan">
      <formula>0</formula>
    </cfRule>
  </conditionalFormatting>
  <conditionalFormatting sqref="H10:H1048576">
    <cfRule type="cellIs" dxfId="2466" priority="4811" operator="lessThan">
      <formula>0</formula>
    </cfRule>
  </conditionalFormatting>
  <conditionalFormatting sqref="H10:H1048576">
    <cfRule type="cellIs" dxfId="2465" priority="4810" operator="lessThan">
      <formula>0</formula>
    </cfRule>
  </conditionalFormatting>
  <conditionalFormatting sqref="H10:H1048576">
    <cfRule type="cellIs" dxfId="2464" priority="4809" operator="lessThan">
      <formula>0</formula>
    </cfRule>
  </conditionalFormatting>
  <conditionalFormatting sqref="H10:H1048576">
    <cfRule type="cellIs" dxfId="2463" priority="4808" operator="lessThan">
      <formula>0</formula>
    </cfRule>
  </conditionalFormatting>
  <conditionalFormatting sqref="H10:H1048576">
    <cfRule type="cellIs" dxfId="2462" priority="4807" operator="lessThan">
      <formula>0</formula>
    </cfRule>
  </conditionalFormatting>
  <conditionalFormatting sqref="H10:H1048576">
    <cfRule type="cellIs" dxfId="2461" priority="4806" operator="lessThan">
      <formula>0</formula>
    </cfRule>
  </conditionalFormatting>
  <conditionalFormatting sqref="H10:H1048576">
    <cfRule type="cellIs" dxfId="2460" priority="4805" operator="lessThan">
      <formula>0</formula>
    </cfRule>
  </conditionalFormatting>
  <conditionalFormatting sqref="H10:H1048576">
    <cfRule type="cellIs" dxfId="2459" priority="4804" operator="lessThan">
      <formula>0</formula>
    </cfRule>
  </conditionalFormatting>
  <conditionalFormatting sqref="H10:H1048576">
    <cfRule type="cellIs" dxfId="2458" priority="4803" operator="lessThan">
      <formula>0</formula>
    </cfRule>
  </conditionalFormatting>
  <conditionalFormatting sqref="H10:H1048576">
    <cfRule type="cellIs" dxfId="2457" priority="4802" operator="lessThan">
      <formula>0</formula>
    </cfRule>
  </conditionalFormatting>
  <conditionalFormatting sqref="H10:H1048576">
    <cfRule type="cellIs" dxfId="2456" priority="4801" operator="lessThan">
      <formula>0</formula>
    </cfRule>
  </conditionalFormatting>
  <conditionalFormatting sqref="H10:H1048576">
    <cfRule type="cellIs" dxfId="2455" priority="4800" operator="lessThan">
      <formula>0</formula>
    </cfRule>
  </conditionalFormatting>
  <conditionalFormatting sqref="H10:H1048576">
    <cfRule type="cellIs" dxfId="2454" priority="4799" operator="lessThan">
      <formula>0</formula>
    </cfRule>
  </conditionalFormatting>
  <conditionalFormatting sqref="H10:H1048576">
    <cfRule type="cellIs" dxfId="2453" priority="4798" operator="lessThan">
      <formula>0</formula>
    </cfRule>
  </conditionalFormatting>
  <conditionalFormatting sqref="H10:H1048576">
    <cfRule type="cellIs" dxfId="2452" priority="4797" operator="lessThan">
      <formula>0</formula>
    </cfRule>
  </conditionalFormatting>
  <conditionalFormatting sqref="H10:H1048576">
    <cfRule type="cellIs" dxfId="2451" priority="4796" operator="lessThan">
      <formula>0</formula>
    </cfRule>
  </conditionalFormatting>
  <conditionalFormatting sqref="H10:H1048576">
    <cfRule type="cellIs" dxfId="2450" priority="4795" operator="lessThan">
      <formula>0</formula>
    </cfRule>
  </conditionalFormatting>
  <conditionalFormatting sqref="H10:H1048576">
    <cfRule type="cellIs" dxfId="2449" priority="4794" operator="lessThan">
      <formula>0</formula>
    </cfRule>
  </conditionalFormatting>
  <conditionalFormatting sqref="H10:H1048576">
    <cfRule type="cellIs" dxfId="2448" priority="4793" operator="lessThan">
      <formula>0</formula>
    </cfRule>
  </conditionalFormatting>
  <conditionalFormatting sqref="H10:H1048576">
    <cfRule type="cellIs" dxfId="2447" priority="4792" operator="lessThan">
      <formula>0</formula>
    </cfRule>
  </conditionalFormatting>
  <conditionalFormatting sqref="H10:H1048576">
    <cfRule type="cellIs" dxfId="2446" priority="4791" operator="lessThan">
      <formula>0</formula>
    </cfRule>
  </conditionalFormatting>
  <conditionalFormatting sqref="H10:H1048576">
    <cfRule type="cellIs" dxfId="2445" priority="4790" operator="lessThan">
      <formula>0</formula>
    </cfRule>
  </conditionalFormatting>
  <conditionalFormatting sqref="H10:H1048576">
    <cfRule type="cellIs" dxfId="2444" priority="4789" operator="lessThan">
      <formula>0</formula>
    </cfRule>
  </conditionalFormatting>
  <conditionalFormatting sqref="H10:H1048576">
    <cfRule type="cellIs" dxfId="2443" priority="4788" operator="lessThan">
      <formula>0</formula>
    </cfRule>
  </conditionalFormatting>
  <conditionalFormatting sqref="H10:H1048576">
    <cfRule type="cellIs" dxfId="2442" priority="4787" operator="lessThan">
      <formula>0</formula>
    </cfRule>
  </conditionalFormatting>
  <conditionalFormatting sqref="H10:H1048576">
    <cfRule type="cellIs" dxfId="2441" priority="4786" operator="lessThan">
      <formula>0</formula>
    </cfRule>
  </conditionalFormatting>
  <conditionalFormatting sqref="H10:H1048576">
    <cfRule type="cellIs" dxfId="2440" priority="4785" operator="lessThan">
      <formula>0</formula>
    </cfRule>
  </conditionalFormatting>
  <conditionalFormatting sqref="H10:H1048576">
    <cfRule type="cellIs" dxfId="2439" priority="4784" operator="lessThan">
      <formula>0</formula>
    </cfRule>
  </conditionalFormatting>
  <conditionalFormatting sqref="H10:H1048576">
    <cfRule type="cellIs" dxfId="2438" priority="4783" operator="lessThan">
      <formula>0</formula>
    </cfRule>
  </conditionalFormatting>
  <conditionalFormatting sqref="H10:H1048576">
    <cfRule type="cellIs" dxfId="2437" priority="4782" operator="lessThan">
      <formula>0</formula>
    </cfRule>
  </conditionalFormatting>
  <conditionalFormatting sqref="H10:H1048576">
    <cfRule type="cellIs" dxfId="2436" priority="4781" operator="lessThan">
      <formula>0</formula>
    </cfRule>
  </conditionalFormatting>
  <conditionalFormatting sqref="H10:H1048576">
    <cfRule type="cellIs" dxfId="2435" priority="4780" operator="lessThan">
      <formula>0</formula>
    </cfRule>
  </conditionalFormatting>
  <conditionalFormatting sqref="H10:H1048576">
    <cfRule type="cellIs" dxfId="2434" priority="4779" operator="lessThan">
      <formula>0</formula>
    </cfRule>
  </conditionalFormatting>
  <conditionalFormatting sqref="H10:H1048576">
    <cfRule type="cellIs" dxfId="2433" priority="4778" operator="lessThan">
      <formula>0</formula>
    </cfRule>
  </conditionalFormatting>
  <conditionalFormatting sqref="H10:H1048576">
    <cfRule type="cellIs" dxfId="2432" priority="4777" operator="lessThan">
      <formula>0</formula>
    </cfRule>
  </conditionalFormatting>
  <conditionalFormatting sqref="H10:H1048576">
    <cfRule type="cellIs" dxfId="2431" priority="4776" operator="lessThan">
      <formula>0</formula>
    </cfRule>
  </conditionalFormatting>
  <conditionalFormatting sqref="H10:H1048576">
    <cfRule type="cellIs" dxfId="2430" priority="4775" operator="lessThan">
      <formula>0</formula>
    </cfRule>
  </conditionalFormatting>
  <conditionalFormatting sqref="H10:H1048576">
    <cfRule type="cellIs" dxfId="2429" priority="4774" operator="lessThan">
      <formula>0</formula>
    </cfRule>
  </conditionalFormatting>
  <conditionalFormatting sqref="H10:H1048576">
    <cfRule type="cellIs" dxfId="2428" priority="4773" operator="lessThan">
      <formula>0</formula>
    </cfRule>
  </conditionalFormatting>
  <conditionalFormatting sqref="H10:H1048576">
    <cfRule type="cellIs" dxfId="2427" priority="4772" operator="lessThan">
      <formula>0</formula>
    </cfRule>
  </conditionalFormatting>
  <conditionalFormatting sqref="H10:H1048576">
    <cfRule type="cellIs" dxfId="2426" priority="4771" operator="lessThan">
      <formula>0</formula>
    </cfRule>
  </conditionalFormatting>
  <conditionalFormatting sqref="H10:H1048576">
    <cfRule type="cellIs" dxfId="2425" priority="4770" operator="lessThan">
      <formula>0</formula>
    </cfRule>
  </conditionalFormatting>
  <conditionalFormatting sqref="H10:H1048576">
    <cfRule type="cellIs" dxfId="2424" priority="4769" operator="lessThan">
      <formula>0</formula>
    </cfRule>
  </conditionalFormatting>
  <conditionalFormatting sqref="H10:H1048576">
    <cfRule type="cellIs" dxfId="2423" priority="4768" operator="lessThan">
      <formula>0</formula>
    </cfRule>
  </conditionalFormatting>
  <conditionalFormatting sqref="H10:H1048576">
    <cfRule type="cellIs" dxfId="2422" priority="4767" operator="lessThan">
      <formula>0</formula>
    </cfRule>
  </conditionalFormatting>
  <conditionalFormatting sqref="H10:H1048576">
    <cfRule type="cellIs" dxfId="2421" priority="4766" operator="lessThan">
      <formula>0</formula>
    </cfRule>
  </conditionalFormatting>
  <conditionalFormatting sqref="H10:H1048576">
    <cfRule type="cellIs" dxfId="2420" priority="4765" operator="lessThan">
      <formula>0</formula>
    </cfRule>
  </conditionalFormatting>
  <conditionalFormatting sqref="H10:H1048576">
    <cfRule type="cellIs" dxfId="2419" priority="4764" operator="lessThan">
      <formula>0</formula>
    </cfRule>
  </conditionalFormatting>
  <conditionalFormatting sqref="H10:H1048576">
    <cfRule type="cellIs" dxfId="2418" priority="4763" operator="lessThan">
      <formula>0</formula>
    </cfRule>
  </conditionalFormatting>
  <conditionalFormatting sqref="H10:H1048576">
    <cfRule type="cellIs" dxfId="2417" priority="4762" operator="lessThan">
      <formula>0</formula>
    </cfRule>
  </conditionalFormatting>
  <conditionalFormatting sqref="H10:H1048576">
    <cfRule type="cellIs" dxfId="2416" priority="4761" operator="lessThan">
      <formula>0</formula>
    </cfRule>
  </conditionalFormatting>
  <conditionalFormatting sqref="H10:H1048576">
    <cfRule type="cellIs" dxfId="2415" priority="4760" operator="lessThan">
      <formula>0</formula>
    </cfRule>
  </conditionalFormatting>
  <conditionalFormatting sqref="H10:H1048576">
    <cfRule type="cellIs" dxfId="2414" priority="4759" operator="lessThan">
      <formula>0</formula>
    </cfRule>
  </conditionalFormatting>
  <conditionalFormatting sqref="H10:H1048576">
    <cfRule type="cellIs" dxfId="2413" priority="4758" operator="lessThan">
      <formula>0</formula>
    </cfRule>
  </conditionalFormatting>
  <conditionalFormatting sqref="H10:H1048576">
    <cfRule type="cellIs" dxfId="2412" priority="4757" operator="lessThan">
      <formula>0</formula>
    </cfRule>
  </conditionalFormatting>
  <conditionalFormatting sqref="H10:H1048576">
    <cfRule type="cellIs" dxfId="2411" priority="4756" operator="lessThan">
      <formula>0</formula>
    </cfRule>
  </conditionalFormatting>
  <conditionalFormatting sqref="H10:H1048576">
    <cfRule type="cellIs" dxfId="2410" priority="4755" operator="lessThan">
      <formula>0</formula>
    </cfRule>
  </conditionalFormatting>
  <conditionalFormatting sqref="H10:H1048576">
    <cfRule type="cellIs" dxfId="2409" priority="4754" operator="lessThan">
      <formula>0</formula>
    </cfRule>
  </conditionalFormatting>
  <conditionalFormatting sqref="H10:H1048576">
    <cfRule type="cellIs" dxfId="2408" priority="4753" operator="lessThan">
      <formula>0</formula>
    </cfRule>
  </conditionalFormatting>
  <conditionalFormatting sqref="H10:H1048576">
    <cfRule type="cellIs" dxfId="2407" priority="4752" operator="lessThan">
      <formula>0</formula>
    </cfRule>
  </conditionalFormatting>
  <conditionalFormatting sqref="H10:H1048576">
    <cfRule type="cellIs" dxfId="2406" priority="4751" operator="lessThan">
      <formula>0</formula>
    </cfRule>
  </conditionalFormatting>
  <conditionalFormatting sqref="H10:H1048576">
    <cfRule type="cellIs" dxfId="2405" priority="4750" operator="lessThan">
      <formula>0</formula>
    </cfRule>
  </conditionalFormatting>
  <conditionalFormatting sqref="H10:H1048576">
    <cfRule type="cellIs" dxfId="2404" priority="4749" operator="lessThan">
      <formula>0</formula>
    </cfRule>
  </conditionalFormatting>
  <conditionalFormatting sqref="H10:H1048576">
    <cfRule type="cellIs" dxfId="2403" priority="4748" operator="lessThan">
      <formula>0</formula>
    </cfRule>
  </conditionalFormatting>
  <conditionalFormatting sqref="H10:H1048576">
    <cfRule type="cellIs" dxfId="2402" priority="4747" operator="lessThan">
      <formula>0</formula>
    </cfRule>
  </conditionalFormatting>
  <conditionalFormatting sqref="H10:H1048576">
    <cfRule type="cellIs" dxfId="2401" priority="4746" operator="lessThan">
      <formula>0</formula>
    </cfRule>
  </conditionalFormatting>
  <conditionalFormatting sqref="H10:H1048576">
    <cfRule type="cellIs" dxfId="2400" priority="4745" operator="lessThan">
      <formula>0</formula>
    </cfRule>
  </conditionalFormatting>
  <conditionalFormatting sqref="H10:H1048576">
    <cfRule type="cellIs" dxfId="2399" priority="4744" operator="lessThan">
      <formula>0</formula>
    </cfRule>
  </conditionalFormatting>
  <conditionalFormatting sqref="H10:H1048576">
    <cfRule type="cellIs" dxfId="2398" priority="4743" operator="lessThan">
      <formula>0</formula>
    </cfRule>
  </conditionalFormatting>
  <conditionalFormatting sqref="H10:H1048576">
    <cfRule type="cellIs" dxfId="2397" priority="4742" operator="lessThan">
      <formula>0</formula>
    </cfRule>
  </conditionalFormatting>
  <conditionalFormatting sqref="H10:H1048576">
    <cfRule type="cellIs" dxfId="2396" priority="4741" operator="lessThan">
      <formula>0</formula>
    </cfRule>
  </conditionalFormatting>
  <conditionalFormatting sqref="H10:H1048576">
    <cfRule type="cellIs" dxfId="2395" priority="4740" operator="lessThan">
      <formula>0</formula>
    </cfRule>
  </conditionalFormatting>
  <conditionalFormatting sqref="H10:H1048576">
    <cfRule type="cellIs" dxfId="2394" priority="4739" operator="lessThan">
      <formula>0</formula>
    </cfRule>
  </conditionalFormatting>
  <conditionalFormatting sqref="H10:H1048576">
    <cfRule type="cellIs" dxfId="2393" priority="4738" operator="lessThan">
      <formula>0</formula>
    </cfRule>
  </conditionalFormatting>
  <conditionalFormatting sqref="H10:H1048576">
    <cfRule type="cellIs" dxfId="2392" priority="4737" operator="lessThan">
      <formula>0</formula>
    </cfRule>
  </conditionalFormatting>
  <conditionalFormatting sqref="H10:H1048576">
    <cfRule type="cellIs" dxfId="2391" priority="4736" operator="lessThan">
      <formula>0</formula>
    </cfRule>
  </conditionalFormatting>
  <conditionalFormatting sqref="H10:H1048576">
    <cfRule type="cellIs" dxfId="2390" priority="4735" operator="lessThan">
      <formula>0</formula>
    </cfRule>
  </conditionalFormatting>
  <conditionalFormatting sqref="H10:H1048576">
    <cfRule type="cellIs" dxfId="2389" priority="4734" operator="lessThan">
      <formula>0</formula>
    </cfRule>
  </conditionalFormatting>
  <conditionalFormatting sqref="H10:H1048576">
    <cfRule type="cellIs" dxfId="2388" priority="4733" operator="lessThan">
      <formula>0</formula>
    </cfRule>
  </conditionalFormatting>
  <conditionalFormatting sqref="H10:H1048576">
    <cfRule type="cellIs" dxfId="2387" priority="4732" operator="lessThan">
      <formula>0</formula>
    </cfRule>
  </conditionalFormatting>
  <conditionalFormatting sqref="H10:H1048576">
    <cfRule type="cellIs" dxfId="2386" priority="4731" operator="lessThan">
      <formula>0</formula>
    </cfRule>
  </conditionalFormatting>
  <conditionalFormatting sqref="H10:H1048576">
    <cfRule type="cellIs" dxfId="2385" priority="4730" operator="lessThan">
      <formula>0</formula>
    </cfRule>
  </conditionalFormatting>
  <conditionalFormatting sqref="H10:H1048576">
    <cfRule type="cellIs" dxfId="2384" priority="4729" operator="lessThan">
      <formula>0</formula>
    </cfRule>
  </conditionalFormatting>
  <conditionalFormatting sqref="H10:H1048576">
    <cfRule type="cellIs" dxfId="2383" priority="4728" operator="lessThan">
      <formula>0</formula>
    </cfRule>
  </conditionalFormatting>
  <conditionalFormatting sqref="H10:H1048576">
    <cfRule type="cellIs" dxfId="2382" priority="4727" operator="lessThan">
      <formula>0</formula>
    </cfRule>
  </conditionalFormatting>
  <conditionalFormatting sqref="H10:H1048576">
    <cfRule type="cellIs" dxfId="2381" priority="4726" operator="lessThan">
      <formula>0</formula>
    </cfRule>
  </conditionalFormatting>
  <conditionalFormatting sqref="H10:H1048576">
    <cfRule type="cellIs" dxfId="2380" priority="4725" operator="lessThan">
      <formula>0</formula>
    </cfRule>
  </conditionalFormatting>
  <conditionalFormatting sqref="H10:H1048576">
    <cfRule type="cellIs" dxfId="2379" priority="4724" operator="lessThan">
      <formula>0</formula>
    </cfRule>
  </conditionalFormatting>
  <conditionalFormatting sqref="H10:H1048576">
    <cfRule type="cellIs" dxfId="2378" priority="4723" operator="lessThan">
      <formula>0</formula>
    </cfRule>
  </conditionalFormatting>
  <conditionalFormatting sqref="H10:H1048576">
    <cfRule type="cellIs" dxfId="2377" priority="4722" operator="lessThan">
      <formula>0</formula>
    </cfRule>
  </conditionalFormatting>
  <conditionalFormatting sqref="H10:H1048576">
    <cfRule type="cellIs" dxfId="2376" priority="4721" operator="lessThan">
      <formula>0</formula>
    </cfRule>
  </conditionalFormatting>
  <conditionalFormatting sqref="H10:H1048576">
    <cfRule type="cellIs" dxfId="2375" priority="4720" operator="lessThan">
      <formula>0</formula>
    </cfRule>
  </conditionalFormatting>
  <conditionalFormatting sqref="H10:H1048576">
    <cfRule type="cellIs" dxfId="2374" priority="4719" operator="lessThan">
      <formula>0</formula>
    </cfRule>
  </conditionalFormatting>
  <conditionalFormatting sqref="H10:H1048576">
    <cfRule type="cellIs" dxfId="2373" priority="4718" operator="lessThan">
      <formula>0</formula>
    </cfRule>
  </conditionalFormatting>
  <conditionalFormatting sqref="H10:H1048576">
    <cfRule type="cellIs" dxfId="2372" priority="4717" operator="lessThan">
      <formula>0</formula>
    </cfRule>
  </conditionalFormatting>
  <conditionalFormatting sqref="H10:H1048576">
    <cfRule type="cellIs" dxfId="2371" priority="4716" operator="lessThan">
      <formula>0</formula>
    </cfRule>
  </conditionalFormatting>
  <conditionalFormatting sqref="H10:H1048576">
    <cfRule type="cellIs" dxfId="2370" priority="4715" operator="lessThan">
      <formula>0</formula>
    </cfRule>
  </conditionalFormatting>
  <conditionalFormatting sqref="H10:H1048576">
    <cfRule type="cellIs" dxfId="2369" priority="4714" operator="lessThan">
      <formula>0</formula>
    </cfRule>
  </conditionalFormatting>
  <conditionalFormatting sqref="H10:H1048576">
    <cfRule type="cellIs" dxfId="2368" priority="4713" operator="lessThan">
      <formula>0</formula>
    </cfRule>
  </conditionalFormatting>
  <conditionalFormatting sqref="H10:H1048576">
    <cfRule type="cellIs" dxfId="2367" priority="4712" operator="lessThan">
      <formula>0</formula>
    </cfRule>
  </conditionalFormatting>
  <conditionalFormatting sqref="H10:H1048576">
    <cfRule type="cellIs" dxfId="2366" priority="4711" operator="lessThan">
      <formula>0</formula>
    </cfRule>
  </conditionalFormatting>
  <conditionalFormatting sqref="H10:H1048576">
    <cfRule type="cellIs" dxfId="2365" priority="4710" operator="lessThan">
      <formula>0</formula>
    </cfRule>
  </conditionalFormatting>
  <conditionalFormatting sqref="H10:H1048576">
    <cfRule type="cellIs" dxfId="2364" priority="4709" operator="lessThan">
      <formula>0</formula>
    </cfRule>
  </conditionalFormatting>
  <conditionalFormatting sqref="H10:H1048576">
    <cfRule type="cellIs" dxfId="2363" priority="4708" operator="lessThan">
      <formula>0</formula>
    </cfRule>
  </conditionalFormatting>
  <conditionalFormatting sqref="H10:H1048576">
    <cfRule type="cellIs" dxfId="2362" priority="4707" operator="lessThan">
      <formula>0</formula>
    </cfRule>
  </conditionalFormatting>
  <conditionalFormatting sqref="H10:H1048576">
    <cfRule type="cellIs" dxfId="2361" priority="4706" operator="lessThan">
      <formula>0</formula>
    </cfRule>
  </conditionalFormatting>
  <conditionalFormatting sqref="H10:H1048576">
    <cfRule type="cellIs" dxfId="2360" priority="4705" operator="lessThan">
      <formula>0</formula>
    </cfRule>
  </conditionalFormatting>
  <conditionalFormatting sqref="H10:H1048576">
    <cfRule type="cellIs" dxfId="2359" priority="4704" operator="lessThan">
      <formula>0</formula>
    </cfRule>
  </conditionalFormatting>
  <conditionalFormatting sqref="H10:H1048576">
    <cfRule type="cellIs" dxfId="2358" priority="4703" operator="lessThan">
      <formula>0</formula>
    </cfRule>
  </conditionalFormatting>
  <conditionalFormatting sqref="H10:H1048576">
    <cfRule type="cellIs" dxfId="2357" priority="4702" operator="lessThan">
      <formula>0</formula>
    </cfRule>
  </conditionalFormatting>
  <conditionalFormatting sqref="H10:H1048576">
    <cfRule type="cellIs" dxfId="2356" priority="4701" operator="lessThan">
      <formula>0</formula>
    </cfRule>
  </conditionalFormatting>
  <conditionalFormatting sqref="H10:H1048576">
    <cfRule type="cellIs" dxfId="2355" priority="4700" operator="lessThan">
      <formula>0</formula>
    </cfRule>
  </conditionalFormatting>
  <conditionalFormatting sqref="H10:H1048576">
    <cfRule type="cellIs" dxfId="2354" priority="4699" operator="lessThan">
      <formula>0</formula>
    </cfRule>
  </conditionalFormatting>
  <conditionalFormatting sqref="H10:H1048576">
    <cfRule type="cellIs" dxfId="2353" priority="4698" operator="lessThan">
      <formula>0</formula>
    </cfRule>
  </conditionalFormatting>
  <conditionalFormatting sqref="H10:H1048576">
    <cfRule type="cellIs" dxfId="2352" priority="4697" operator="lessThan">
      <formula>0</formula>
    </cfRule>
  </conditionalFormatting>
  <conditionalFormatting sqref="H10:H1048576">
    <cfRule type="cellIs" dxfId="2351" priority="4696" operator="lessThan">
      <formula>0</formula>
    </cfRule>
  </conditionalFormatting>
  <conditionalFormatting sqref="H10:H1048576">
    <cfRule type="cellIs" dxfId="2350" priority="4695" operator="lessThan">
      <formula>0</formula>
    </cfRule>
  </conditionalFormatting>
  <conditionalFormatting sqref="H10:H1048576">
    <cfRule type="cellIs" dxfId="2349" priority="4694" operator="lessThan">
      <formula>0</formula>
    </cfRule>
  </conditionalFormatting>
  <conditionalFormatting sqref="H10:H1048576">
    <cfRule type="cellIs" dxfId="2348" priority="4693" operator="lessThan">
      <formula>0</formula>
    </cfRule>
  </conditionalFormatting>
  <conditionalFormatting sqref="H10:H1048576">
    <cfRule type="cellIs" dxfId="2347" priority="4692" operator="lessThan">
      <formula>0</formula>
    </cfRule>
  </conditionalFormatting>
  <conditionalFormatting sqref="H10:H1048576">
    <cfRule type="cellIs" dxfId="2346" priority="4691" operator="lessThan">
      <formula>0</formula>
    </cfRule>
  </conditionalFormatting>
  <conditionalFormatting sqref="H10:H1048576">
    <cfRule type="cellIs" dxfId="2345" priority="4690" operator="lessThan">
      <formula>0</formula>
    </cfRule>
  </conditionalFormatting>
  <conditionalFormatting sqref="H10:H1048576">
    <cfRule type="cellIs" dxfId="2344" priority="4689" operator="lessThan">
      <formula>0</formula>
    </cfRule>
  </conditionalFormatting>
  <conditionalFormatting sqref="H10:H1048576">
    <cfRule type="cellIs" dxfId="2343" priority="4688" operator="lessThan">
      <formula>0</formula>
    </cfRule>
  </conditionalFormatting>
  <conditionalFormatting sqref="H10:H1048576">
    <cfRule type="cellIs" dxfId="2342" priority="4687" operator="lessThan">
      <formula>0</formula>
    </cfRule>
  </conditionalFormatting>
  <conditionalFormatting sqref="H10:H1048576">
    <cfRule type="cellIs" dxfId="2341" priority="4686" operator="lessThan">
      <formula>0</formula>
    </cfRule>
  </conditionalFormatting>
  <conditionalFormatting sqref="H10:H1048576">
    <cfRule type="cellIs" dxfId="2340" priority="4685" operator="lessThan">
      <formula>0</formula>
    </cfRule>
  </conditionalFormatting>
  <conditionalFormatting sqref="H10:H1048576">
    <cfRule type="cellIs" dxfId="2339" priority="4684" operator="lessThan">
      <formula>0</formula>
    </cfRule>
  </conditionalFormatting>
  <conditionalFormatting sqref="H10:H1048576">
    <cfRule type="cellIs" dxfId="2338" priority="4683" operator="lessThan">
      <formula>0</formula>
    </cfRule>
  </conditionalFormatting>
  <conditionalFormatting sqref="H10:H1048576">
    <cfRule type="cellIs" dxfId="2337" priority="4682" operator="lessThan">
      <formula>0</formula>
    </cfRule>
  </conditionalFormatting>
  <conditionalFormatting sqref="H10:H1048576">
    <cfRule type="cellIs" dxfId="2336" priority="4681" operator="lessThan">
      <formula>0</formula>
    </cfRule>
  </conditionalFormatting>
  <conditionalFormatting sqref="H10:H1048576">
    <cfRule type="cellIs" dxfId="2335" priority="4680" operator="lessThan">
      <formula>0</formula>
    </cfRule>
  </conditionalFormatting>
  <conditionalFormatting sqref="H10:H1048576">
    <cfRule type="cellIs" dxfId="2334" priority="4679" operator="lessThan">
      <formula>0</formula>
    </cfRule>
  </conditionalFormatting>
  <conditionalFormatting sqref="H10:H1048576">
    <cfRule type="cellIs" dxfId="2333" priority="4678" operator="lessThan">
      <formula>0</formula>
    </cfRule>
  </conditionalFormatting>
  <conditionalFormatting sqref="H10:H1048576">
    <cfRule type="cellIs" dxfId="2332" priority="4677" operator="lessThan">
      <formula>0</formula>
    </cfRule>
  </conditionalFormatting>
  <conditionalFormatting sqref="H10:H1048576">
    <cfRule type="cellIs" dxfId="2331" priority="4676" operator="lessThan">
      <formula>0</formula>
    </cfRule>
  </conditionalFormatting>
  <conditionalFormatting sqref="H10:H1048576">
    <cfRule type="cellIs" dxfId="2330" priority="4675" operator="lessThan">
      <formula>0</formula>
    </cfRule>
  </conditionalFormatting>
  <conditionalFormatting sqref="H10:H1048576">
    <cfRule type="cellIs" dxfId="2329" priority="4674" operator="lessThan">
      <formula>0</formula>
    </cfRule>
  </conditionalFormatting>
  <conditionalFormatting sqref="H10:H1048576">
    <cfRule type="cellIs" dxfId="2328" priority="4673" operator="lessThan">
      <formula>0</formula>
    </cfRule>
  </conditionalFormatting>
  <conditionalFormatting sqref="H10:H1048576">
    <cfRule type="cellIs" dxfId="2327" priority="4672" operator="lessThan">
      <formula>0</formula>
    </cfRule>
  </conditionalFormatting>
  <conditionalFormatting sqref="H10:H1048576">
    <cfRule type="cellIs" dxfId="2326" priority="4671" operator="lessThan">
      <formula>0</formula>
    </cfRule>
  </conditionalFormatting>
  <conditionalFormatting sqref="H10:H1048576">
    <cfRule type="cellIs" dxfId="2325" priority="4670" operator="lessThan">
      <formula>0</formula>
    </cfRule>
  </conditionalFormatting>
  <conditionalFormatting sqref="H10:H1048576">
    <cfRule type="cellIs" dxfId="2324" priority="4669" operator="lessThan">
      <formula>0</formula>
    </cfRule>
  </conditionalFormatting>
  <conditionalFormatting sqref="H10:H1048576">
    <cfRule type="cellIs" dxfId="2323" priority="4668" operator="lessThan">
      <formula>0</formula>
    </cfRule>
  </conditionalFormatting>
  <conditionalFormatting sqref="H10:H1048576">
    <cfRule type="cellIs" dxfId="2322" priority="4667" operator="lessThan">
      <formula>0</formula>
    </cfRule>
  </conditionalFormatting>
  <conditionalFormatting sqref="H10:H1048576">
    <cfRule type="cellIs" dxfId="2321" priority="4666" operator="lessThan">
      <formula>0</formula>
    </cfRule>
  </conditionalFormatting>
  <conditionalFormatting sqref="H10:H1048576">
    <cfRule type="cellIs" dxfId="2320" priority="4665" operator="lessThan">
      <formula>0</formula>
    </cfRule>
  </conditionalFormatting>
  <conditionalFormatting sqref="H10:H1048576">
    <cfRule type="cellIs" dxfId="2319" priority="4664" operator="lessThan">
      <formula>0</formula>
    </cfRule>
  </conditionalFormatting>
  <conditionalFormatting sqref="H10:H1048576">
    <cfRule type="cellIs" dxfId="2318" priority="4663" operator="lessThan">
      <formula>0</formula>
    </cfRule>
  </conditionalFormatting>
  <conditionalFormatting sqref="H10:H1048576">
    <cfRule type="cellIs" dxfId="2317" priority="4662" operator="lessThan">
      <formula>0</formula>
    </cfRule>
  </conditionalFormatting>
  <conditionalFormatting sqref="H10:H1048576">
    <cfRule type="cellIs" dxfId="2316" priority="4661" operator="lessThan">
      <formula>0</formula>
    </cfRule>
  </conditionalFormatting>
  <conditionalFormatting sqref="H10:H1048576">
    <cfRule type="cellIs" dxfId="2315" priority="4660" operator="lessThan">
      <formula>0</formula>
    </cfRule>
  </conditionalFormatting>
  <conditionalFormatting sqref="H10:H1048576">
    <cfRule type="cellIs" dxfId="2314" priority="4659" operator="lessThan">
      <formula>0</formula>
    </cfRule>
  </conditionalFormatting>
  <conditionalFormatting sqref="H10:H1048576">
    <cfRule type="cellIs" dxfId="2313" priority="4658" operator="lessThan">
      <formula>0</formula>
    </cfRule>
  </conditionalFormatting>
  <conditionalFormatting sqref="H10:H1048576">
    <cfRule type="cellIs" dxfId="2312" priority="4657" operator="lessThan">
      <formula>0</formula>
    </cfRule>
  </conditionalFormatting>
  <conditionalFormatting sqref="H10:H1048576">
    <cfRule type="cellIs" dxfId="2311" priority="4656" operator="lessThan">
      <formula>0</formula>
    </cfRule>
  </conditionalFormatting>
  <conditionalFormatting sqref="H10:H1048576">
    <cfRule type="cellIs" dxfId="2310" priority="4655" operator="lessThan">
      <formula>0</formula>
    </cfRule>
  </conditionalFormatting>
  <conditionalFormatting sqref="H10:H1048576">
    <cfRule type="cellIs" dxfId="2309" priority="4654" operator="lessThan">
      <formula>0</formula>
    </cfRule>
  </conditionalFormatting>
  <conditionalFormatting sqref="H10:H1048576">
    <cfRule type="cellIs" dxfId="2308" priority="4653" operator="lessThan">
      <formula>0</formula>
    </cfRule>
  </conditionalFormatting>
  <conditionalFormatting sqref="H10:H1048576">
    <cfRule type="cellIs" dxfId="2307" priority="4652" operator="lessThan">
      <formula>0</formula>
    </cfRule>
  </conditionalFormatting>
  <conditionalFormatting sqref="H10:H1048576">
    <cfRule type="cellIs" dxfId="2306" priority="4651" operator="lessThan">
      <formula>0</formula>
    </cfRule>
  </conditionalFormatting>
  <conditionalFormatting sqref="H10:H1048576">
    <cfRule type="cellIs" dxfId="2305" priority="4650" operator="lessThan">
      <formula>0</formula>
    </cfRule>
  </conditionalFormatting>
  <conditionalFormatting sqref="H10:H1048576">
    <cfRule type="cellIs" dxfId="2304" priority="4649" operator="lessThan">
      <formula>0</formula>
    </cfRule>
  </conditionalFormatting>
  <conditionalFormatting sqref="H10:H1048576">
    <cfRule type="cellIs" dxfId="2303" priority="4648" operator="lessThan">
      <formula>0</formula>
    </cfRule>
  </conditionalFormatting>
  <conditionalFormatting sqref="H10:H1048576">
    <cfRule type="cellIs" dxfId="2302" priority="4647" operator="lessThan">
      <formula>0</formula>
    </cfRule>
  </conditionalFormatting>
  <conditionalFormatting sqref="H10:H1048576">
    <cfRule type="cellIs" dxfId="2301" priority="4646" operator="lessThan">
      <formula>0</formula>
    </cfRule>
  </conditionalFormatting>
  <conditionalFormatting sqref="H10:H1048576">
    <cfRule type="cellIs" dxfId="2300" priority="4645" operator="lessThan">
      <formula>0</formula>
    </cfRule>
  </conditionalFormatting>
  <conditionalFormatting sqref="H10:H1048576">
    <cfRule type="cellIs" dxfId="2299" priority="4644" operator="lessThan">
      <formula>0</formula>
    </cfRule>
  </conditionalFormatting>
  <conditionalFormatting sqref="H10:H1048576">
    <cfRule type="cellIs" dxfId="2298" priority="4643" operator="lessThan">
      <formula>0</formula>
    </cfRule>
  </conditionalFormatting>
  <conditionalFormatting sqref="H10:H1048576">
    <cfRule type="cellIs" dxfId="2297" priority="4642" operator="lessThan">
      <formula>0</formula>
    </cfRule>
  </conditionalFormatting>
  <conditionalFormatting sqref="H10:H1048576">
    <cfRule type="cellIs" dxfId="2296" priority="4641" operator="lessThan">
      <formula>0</formula>
    </cfRule>
  </conditionalFormatting>
  <conditionalFormatting sqref="H10:H1048576">
    <cfRule type="cellIs" dxfId="2295" priority="4640" operator="lessThan">
      <formula>0</formula>
    </cfRule>
  </conditionalFormatting>
  <conditionalFormatting sqref="H10:H1048576">
    <cfRule type="cellIs" dxfId="2294" priority="4639" operator="lessThan">
      <formula>0</formula>
    </cfRule>
  </conditionalFormatting>
  <conditionalFormatting sqref="H10:H1048576">
    <cfRule type="cellIs" dxfId="2293" priority="4638" operator="lessThan">
      <formula>0</formula>
    </cfRule>
  </conditionalFormatting>
  <conditionalFormatting sqref="H10:H1048576">
    <cfRule type="cellIs" dxfId="2292" priority="4637" operator="lessThan">
      <formula>0</formula>
    </cfRule>
  </conditionalFormatting>
  <conditionalFormatting sqref="H10:H1048576">
    <cfRule type="cellIs" dxfId="2291" priority="4636" operator="lessThan">
      <formula>0</formula>
    </cfRule>
  </conditionalFormatting>
  <conditionalFormatting sqref="H10:H1048576">
    <cfRule type="cellIs" dxfId="2290" priority="4635" operator="lessThan">
      <formula>0</formula>
    </cfRule>
  </conditionalFormatting>
  <conditionalFormatting sqref="H10:H1048576">
    <cfRule type="cellIs" dxfId="2289" priority="4634" operator="lessThan">
      <formula>0</formula>
    </cfRule>
  </conditionalFormatting>
  <conditionalFormatting sqref="H10:H1048576">
    <cfRule type="cellIs" dxfId="2288" priority="4633" operator="lessThan">
      <formula>0</formula>
    </cfRule>
  </conditionalFormatting>
  <conditionalFormatting sqref="H10:H1048576">
    <cfRule type="cellIs" dxfId="2287" priority="4632" operator="lessThan">
      <formula>0</formula>
    </cfRule>
  </conditionalFormatting>
  <conditionalFormatting sqref="H10:H1048576">
    <cfRule type="cellIs" dxfId="2286" priority="4631" operator="lessThan">
      <formula>0</formula>
    </cfRule>
  </conditionalFormatting>
  <conditionalFormatting sqref="H10:H1048576">
    <cfRule type="cellIs" dxfId="2285" priority="4630" operator="lessThan">
      <formula>0</formula>
    </cfRule>
  </conditionalFormatting>
  <conditionalFormatting sqref="H10:H1048576">
    <cfRule type="cellIs" dxfId="2284" priority="4629" operator="lessThan">
      <formula>0</formula>
    </cfRule>
  </conditionalFormatting>
  <conditionalFormatting sqref="H10:H1048576">
    <cfRule type="cellIs" dxfId="2283" priority="4628" operator="lessThan">
      <formula>0</formula>
    </cfRule>
  </conditionalFormatting>
  <conditionalFormatting sqref="H10:H1048576">
    <cfRule type="cellIs" dxfId="2282" priority="4627" operator="lessThan">
      <formula>0</formula>
    </cfRule>
  </conditionalFormatting>
  <conditionalFormatting sqref="H10:H1048576">
    <cfRule type="cellIs" dxfId="2281" priority="4626" operator="lessThan">
      <formula>0</formula>
    </cfRule>
  </conditionalFormatting>
  <conditionalFormatting sqref="H10:H1048576">
    <cfRule type="cellIs" dxfId="2280" priority="4625" operator="lessThan">
      <formula>0</formula>
    </cfRule>
  </conditionalFormatting>
  <conditionalFormatting sqref="H10:H1048576">
    <cfRule type="cellIs" dxfId="2279" priority="4624" operator="lessThan">
      <formula>0</formula>
    </cfRule>
  </conditionalFormatting>
  <conditionalFormatting sqref="H10:H1048576">
    <cfRule type="cellIs" dxfId="2278" priority="4623" operator="lessThan">
      <formula>0</formula>
    </cfRule>
  </conditionalFormatting>
  <conditionalFormatting sqref="H10:H1048576">
    <cfRule type="cellIs" dxfId="2277" priority="4622" operator="lessThan">
      <formula>0</formula>
    </cfRule>
  </conditionalFormatting>
  <conditionalFormatting sqref="H10:H1048576">
    <cfRule type="cellIs" dxfId="2276" priority="4621" operator="lessThan">
      <formula>0</formula>
    </cfRule>
  </conditionalFormatting>
  <conditionalFormatting sqref="H10:H1048576">
    <cfRule type="cellIs" dxfId="2275" priority="4620" operator="lessThan">
      <formula>0</formula>
    </cfRule>
  </conditionalFormatting>
  <conditionalFormatting sqref="H10:H1048576">
    <cfRule type="cellIs" dxfId="2274" priority="4619" operator="lessThan">
      <formula>0</formula>
    </cfRule>
  </conditionalFormatting>
  <conditionalFormatting sqref="H10:H1048576">
    <cfRule type="cellIs" dxfId="2273" priority="4618" operator="lessThan">
      <formula>0</formula>
    </cfRule>
  </conditionalFormatting>
  <conditionalFormatting sqref="H10:H1048576">
    <cfRule type="cellIs" dxfId="2272" priority="4617" operator="lessThan">
      <formula>0</formula>
    </cfRule>
  </conditionalFormatting>
  <conditionalFormatting sqref="H10:H1048576">
    <cfRule type="cellIs" dxfId="2271" priority="4616" operator="lessThan">
      <formula>0</formula>
    </cfRule>
  </conditionalFormatting>
  <conditionalFormatting sqref="H10:H1048576">
    <cfRule type="cellIs" dxfId="2270" priority="4615" operator="lessThan">
      <formula>0</formula>
    </cfRule>
  </conditionalFormatting>
  <conditionalFormatting sqref="H10:H1048576">
    <cfRule type="cellIs" dxfId="2269" priority="4614" operator="lessThan">
      <formula>0</formula>
    </cfRule>
  </conditionalFormatting>
  <conditionalFormatting sqref="H10:H1048576">
    <cfRule type="cellIs" dxfId="2268" priority="4613" operator="lessThan">
      <formula>0</formula>
    </cfRule>
  </conditionalFormatting>
  <conditionalFormatting sqref="H10:H1048576">
    <cfRule type="cellIs" dxfId="2267" priority="4612" operator="lessThan">
      <formula>0</formula>
    </cfRule>
  </conditionalFormatting>
  <conditionalFormatting sqref="H10:H1048576">
    <cfRule type="cellIs" dxfId="2266" priority="4611" operator="lessThan">
      <formula>0</formula>
    </cfRule>
  </conditionalFormatting>
  <conditionalFormatting sqref="H10:H1048576">
    <cfRule type="cellIs" dxfId="2265" priority="4610" operator="lessThan">
      <formula>0</formula>
    </cfRule>
  </conditionalFormatting>
  <conditionalFormatting sqref="H10:H1048576">
    <cfRule type="cellIs" dxfId="2264" priority="4609" operator="lessThan">
      <formula>0</formula>
    </cfRule>
  </conditionalFormatting>
  <conditionalFormatting sqref="H10:H1048576">
    <cfRule type="cellIs" dxfId="2263" priority="4608" operator="lessThan">
      <formula>0</formula>
    </cfRule>
  </conditionalFormatting>
  <conditionalFormatting sqref="H10:H1048576">
    <cfRule type="cellIs" dxfId="2262" priority="4607" operator="lessThan">
      <formula>0</formula>
    </cfRule>
  </conditionalFormatting>
  <conditionalFormatting sqref="H10:H1048576">
    <cfRule type="cellIs" dxfId="2261" priority="4606" operator="lessThan">
      <formula>0</formula>
    </cfRule>
  </conditionalFormatting>
  <conditionalFormatting sqref="H10:H1048576">
    <cfRule type="cellIs" dxfId="2260" priority="4605" operator="lessThan">
      <formula>0</formula>
    </cfRule>
  </conditionalFormatting>
  <conditionalFormatting sqref="H10:H1048576">
    <cfRule type="cellIs" dxfId="2259" priority="4604" operator="lessThan">
      <formula>0</formula>
    </cfRule>
  </conditionalFormatting>
  <conditionalFormatting sqref="H10:H1048576">
    <cfRule type="cellIs" dxfId="2258" priority="4603" operator="lessThan">
      <formula>0</formula>
    </cfRule>
  </conditionalFormatting>
  <conditionalFormatting sqref="H10:H1048576">
    <cfRule type="cellIs" dxfId="2257" priority="4602" operator="lessThan">
      <formula>0</formula>
    </cfRule>
  </conditionalFormatting>
  <conditionalFormatting sqref="H10:H1048576">
    <cfRule type="cellIs" dxfId="2256" priority="4601" operator="lessThan">
      <formula>0</formula>
    </cfRule>
  </conditionalFormatting>
  <conditionalFormatting sqref="H10:H1048576">
    <cfRule type="cellIs" dxfId="2255" priority="4600" operator="lessThan">
      <formula>0</formula>
    </cfRule>
  </conditionalFormatting>
  <conditionalFormatting sqref="H10:H1048576">
    <cfRule type="cellIs" dxfId="2254" priority="4599" operator="lessThan">
      <formula>0</formula>
    </cfRule>
  </conditionalFormatting>
  <conditionalFormatting sqref="H10:H1048576">
    <cfRule type="cellIs" dxfId="2253" priority="4598" operator="lessThan">
      <formula>0</formula>
    </cfRule>
  </conditionalFormatting>
  <conditionalFormatting sqref="H10:H1048576">
    <cfRule type="cellIs" dxfId="2252" priority="4597" operator="lessThan">
      <formula>0</formula>
    </cfRule>
  </conditionalFormatting>
  <conditionalFormatting sqref="H10:H1048576">
    <cfRule type="cellIs" dxfId="2251" priority="4596" operator="lessThan">
      <formula>0</formula>
    </cfRule>
  </conditionalFormatting>
  <conditionalFormatting sqref="H10:H1048576">
    <cfRule type="cellIs" dxfId="2250" priority="4595" operator="lessThan">
      <formula>0</formula>
    </cfRule>
  </conditionalFormatting>
  <conditionalFormatting sqref="H10:H1048576">
    <cfRule type="cellIs" dxfId="2249" priority="4594" operator="lessThan">
      <formula>0</formula>
    </cfRule>
  </conditionalFormatting>
  <conditionalFormatting sqref="H10:H1048576">
    <cfRule type="cellIs" dxfId="2248" priority="4593" operator="lessThan">
      <formula>0</formula>
    </cfRule>
  </conditionalFormatting>
  <conditionalFormatting sqref="H10:H1048576">
    <cfRule type="cellIs" dxfId="2247" priority="4592" operator="lessThan">
      <formula>0</formula>
    </cfRule>
  </conditionalFormatting>
  <conditionalFormatting sqref="H10:H1048576">
    <cfRule type="cellIs" dxfId="2246" priority="4591" operator="lessThan">
      <formula>0</formula>
    </cfRule>
  </conditionalFormatting>
  <conditionalFormatting sqref="H10:H1048576">
    <cfRule type="cellIs" dxfId="2245" priority="4590" operator="lessThan">
      <formula>0</formula>
    </cfRule>
  </conditionalFormatting>
  <conditionalFormatting sqref="H10:H1048576">
    <cfRule type="cellIs" dxfId="2244" priority="4589" operator="lessThan">
      <formula>0</formula>
    </cfRule>
  </conditionalFormatting>
  <conditionalFormatting sqref="H10:H1048576">
    <cfRule type="cellIs" dxfId="2243" priority="4588" operator="lessThan">
      <formula>0</formula>
    </cfRule>
  </conditionalFormatting>
  <conditionalFormatting sqref="H10:H1048576">
    <cfRule type="cellIs" dxfId="2242" priority="4587" operator="lessThan">
      <formula>0</formula>
    </cfRule>
  </conditionalFormatting>
  <conditionalFormatting sqref="H10:H1048576">
    <cfRule type="cellIs" dxfId="2241" priority="4586" operator="lessThan">
      <formula>0</formula>
    </cfRule>
  </conditionalFormatting>
  <conditionalFormatting sqref="H10:H1048576">
    <cfRule type="cellIs" dxfId="2240" priority="4585" operator="lessThan">
      <formula>0</formula>
    </cfRule>
  </conditionalFormatting>
  <conditionalFormatting sqref="H10:H1048576">
    <cfRule type="cellIs" dxfId="2239" priority="4584" operator="lessThan">
      <formula>0</formula>
    </cfRule>
  </conditionalFormatting>
  <conditionalFormatting sqref="H10:H1048576">
    <cfRule type="cellIs" dxfId="2238" priority="4583" operator="lessThan">
      <formula>0</formula>
    </cfRule>
  </conditionalFormatting>
  <conditionalFormatting sqref="H10:H1048576">
    <cfRule type="cellIs" dxfId="2237" priority="4582" operator="lessThan">
      <formula>0</formula>
    </cfRule>
  </conditionalFormatting>
  <conditionalFormatting sqref="H10:H1048576">
    <cfRule type="cellIs" dxfId="2236" priority="4581" operator="lessThan">
      <formula>0</formula>
    </cfRule>
  </conditionalFormatting>
  <conditionalFormatting sqref="H10:H1048576">
    <cfRule type="cellIs" dxfId="2235" priority="4580" operator="lessThan">
      <formula>0</formula>
    </cfRule>
  </conditionalFormatting>
  <conditionalFormatting sqref="H10:H1048576">
    <cfRule type="cellIs" dxfId="2234" priority="4579" operator="lessThan">
      <formula>0</formula>
    </cfRule>
  </conditionalFormatting>
  <conditionalFormatting sqref="H10:H1048576">
    <cfRule type="cellIs" dxfId="2233" priority="4578" operator="lessThan">
      <formula>0</formula>
    </cfRule>
  </conditionalFormatting>
  <conditionalFormatting sqref="H10:H1048576">
    <cfRule type="cellIs" dxfId="2232" priority="4577" operator="lessThan">
      <formula>0</formula>
    </cfRule>
  </conditionalFormatting>
  <conditionalFormatting sqref="H10:H1048576">
    <cfRule type="cellIs" dxfId="2231" priority="4576" operator="lessThan">
      <formula>0</formula>
    </cfRule>
  </conditionalFormatting>
  <conditionalFormatting sqref="H10:H1048576">
    <cfRule type="cellIs" dxfId="2230" priority="4575" operator="lessThan">
      <formula>0</formula>
    </cfRule>
  </conditionalFormatting>
  <conditionalFormatting sqref="H10:H1048576">
    <cfRule type="cellIs" dxfId="2229" priority="4574" operator="lessThan">
      <formula>0</formula>
    </cfRule>
  </conditionalFormatting>
  <conditionalFormatting sqref="H10:H1048576">
    <cfRule type="cellIs" dxfId="2228" priority="4573" operator="lessThan">
      <formula>0</formula>
    </cfRule>
  </conditionalFormatting>
  <conditionalFormatting sqref="H10:H1048576">
    <cfRule type="cellIs" dxfId="2227" priority="4572" operator="lessThan">
      <formula>0</formula>
    </cfRule>
  </conditionalFormatting>
  <conditionalFormatting sqref="H10:H1048576">
    <cfRule type="cellIs" dxfId="2226" priority="4571" operator="lessThan">
      <formula>0</formula>
    </cfRule>
  </conditionalFormatting>
  <conditionalFormatting sqref="H10:H1048576">
    <cfRule type="cellIs" dxfId="2225" priority="4570" operator="lessThan">
      <formula>0</formula>
    </cfRule>
  </conditionalFormatting>
  <conditionalFormatting sqref="H10:H1048576">
    <cfRule type="cellIs" dxfId="2224" priority="4569" operator="lessThan">
      <formula>0</formula>
    </cfRule>
  </conditionalFormatting>
  <conditionalFormatting sqref="H10:H1048576">
    <cfRule type="cellIs" dxfId="2223" priority="4568" operator="lessThan">
      <formula>0</formula>
    </cfRule>
  </conditionalFormatting>
  <conditionalFormatting sqref="H10:H1048576">
    <cfRule type="cellIs" dxfId="2222" priority="4567" operator="lessThan">
      <formula>0</formula>
    </cfRule>
  </conditionalFormatting>
  <conditionalFormatting sqref="H10:H1048576">
    <cfRule type="cellIs" dxfId="2221" priority="4566" operator="lessThan">
      <formula>0</formula>
    </cfRule>
  </conditionalFormatting>
  <conditionalFormatting sqref="H10:H1048576">
    <cfRule type="cellIs" dxfId="2220" priority="4565" operator="lessThan">
      <formula>0</formula>
    </cfRule>
  </conditionalFormatting>
  <conditionalFormatting sqref="H10:H1048576">
    <cfRule type="cellIs" dxfId="2219" priority="4564" operator="lessThan">
      <formula>0</formula>
    </cfRule>
  </conditionalFormatting>
  <conditionalFormatting sqref="H10:H1048576">
    <cfRule type="cellIs" dxfId="2218" priority="4563" operator="lessThan">
      <formula>0</formula>
    </cfRule>
  </conditionalFormatting>
  <conditionalFormatting sqref="H10:H1048576">
    <cfRule type="cellIs" dxfId="2217" priority="4562" operator="lessThan">
      <formula>0</formula>
    </cfRule>
  </conditionalFormatting>
  <conditionalFormatting sqref="H10:H1048576">
    <cfRule type="cellIs" dxfId="2216" priority="4561" operator="lessThan">
      <formula>0</formula>
    </cfRule>
  </conditionalFormatting>
  <conditionalFormatting sqref="H10:H1048576">
    <cfRule type="cellIs" dxfId="2215" priority="4560" operator="lessThan">
      <formula>0</formula>
    </cfRule>
  </conditionalFormatting>
  <conditionalFormatting sqref="H10:H1048576">
    <cfRule type="cellIs" dxfId="2214" priority="4559" operator="lessThan">
      <formula>0</formula>
    </cfRule>
  </conditionalFormatting>
  <conditionalFormatting sqref="H10:H1048576">
    <cfRule type="cellIs" dxfId="2213" priority="4558" operator="lessThan">
      <formula>0</formula>
    </cfRule>
  </conditionalFormatting>
  <conditionalFormatting sqref="H10:H1048576">
    <cfRule type="cellIs" dxfId="2212" priority="4557" operator="lessThan">
      <formula>0</formula>
    </cfRule>
  </conditionalFormatting>
  <conditionalFormatting sqref="H10:H1048576">
    <cfRule type="cellIs" dxfId="2211" priority="4556" operator="lessThan">
      <formula>0</formula>
    </cfRule>
  </conditionalFormatting>
  <conditionalFormatting sqref="H10:H1048576">
    <cfRule type="cellIs" dxfId="2210" priority="4555" operator="lessThan">
      <formula>0</formula>
    </cfRule>
  </conditionalFormatting>
  <conditionalFormatting sqref="H10:H1048576">
    <cfRule type="cellIs" dxfId="2209" priority="4554" operator="lessThan">
      <formula>0</formula>
    </cfRule>
  </conditionalFormatting>
  <conditionalFormatting sqref="H10:H1048576">
    <cfRule type="cellIs" dxfId="2208" priority="4553" operator="lessThan">
      <formula>0</formula>
    </cfRule>
  </conditionalFormatting>
  <conditionalFormatting sqref="H10:H1048576">
    <cfRule type="cellIs" dxfId="2207" priority="4552" operator="lessThan">
      <formula>0</formula>
    </cfRule>
  </conditionalFormatting>
  <conditionalFormatting sqref="H10:H1048576">
    <cfRule type="cellIs" dxfId="2206" priority="4551" operator="lessThan">
      <formula>0</formula>
    </cfRule>
  </conditionalFormatting>
  <conditionalFormatting sqref="H10:H1048576">
    <cfRule type="cellIs" dxfId="2205" priority="4550" operator="lessThan">
      <formula>0</formula>
    </cfRule>
  </conditionalFormatting>
  <conditionalFormatting sqref="H10:H1048576">
    <cfRule type="cellIs" dxfId="2204" priority="4549" operator="lessThan">
      <formula>0</formula>
    </cfRule>
  </conditionalFormatting>
  <conditionalFormatting sqref="H10:H1048576">
    <cfRule type="cellIs" dxfId="2203" priority="4548" operator="lessThan">
      <formula>0</formula>
    </cfRule>
  </conditionalFormatting>
  <conditionalFormatting sqref="H10:H1048576">
    <cfRule type="cellIs" dxfId="2202" priority="4547" operator="lessThan">
      <formula>0</formula>
    </cfRule>
  </conditionalFormatting>
  <conditionalFormatting sqref="H10:H1048576">
    <cfRule type="cellIs" dxfId="2201" priority="4546" operator="lessThan">
      <formula>0</formula>
    </cfRule>
  </conditionalFormatting>
  <conditionalFormatting sqref="H10:H1048576">
    <cfRule type="cellIs" dxfId="2200" priority="4545" operator="lessThan">
      <formula>0</formula>
    </cfRule>
  </conditionalFormatting>
  <conditionalFormatting sqref="H10:H1048576">
    <cfRule type="cellIs" dxfId="2199" priority="4544" operator="lessThan">
      <formula>0</formula>
    </cfRule>
  </conditionalFormatting>
  <conditionalFormatting sqref="H10:H1048576">
    <cfRule type="cellIs" dxfId="2198" priority="4543" operator="lessThan">
      <formula>0</formula>
    </cfRule>
  </conditionalFormatting>
  <conditionalFormatting sqref="H10:H1048576">
    <cfRule type="cellIs" dxfId="2197" priority="4542" operator="lessThan">
      <formula>0</formula>
    </cfRule>
  </conditionalFormatting>
  <conditionalFormatting sqref="H10:H1048576">
    <cfRule type="cellIs" dxfId="2196" priority="4541" operator="lessThan">
      <formula>0</formula>
    </cfRule>
  </conditionalFormatting>
  <conditionalFormatting sqref="H10:H1048576">
    <cfRule type="cellIs" dxfId="2195" priority="4540" operator="lessThan">
      <formula>0</formula>
    </cfRule>
  </conditionalFormatting>
  <conditionalFormatting sqref="H10:H1048576">
    <cfRule type="cellIs" dxfId="2194" priority="4539" operator="lessThan">
      <formula>0</formula>
    </cfRule>
  </conditionalFormatting>
  <conditionalFormatting sqref="H10:H1048576">
    <cfRule type="cellIs" dxfId="2193" priority="4538" operator="lessThan">
      <formula>0</formula>
    </cfRule>
  </conditionalFormatting>
  <conditionalFormatting sqref="H10:H1048576">
    <cfRule type="cellIs" dxfId="2192" priority="4537" operator="lessThan">
      <formula>0</formula>
    </cfRule>
  </conditionalFormatting>
  <conditionalFormatting sqref="H10:H1048576">
    <cfRule type="cellIs" dxfId="2191" priority="4536" operator="lessThan">
      <formula>0</formula>
    </cfRule>
  </conditionalFormatting>
  <conditionalFormatting sqref="H10:H1048576">
    <cfRule type="cellIs" dxfId="2190" priority="4535" operator="lessThan">
      <formula>0</formula>
    </cfRule>
  </conditionalFormatting>
  <conditionalFormatting sqref="H10:H1048576">
    <cfRule type="cellIs" dxfId="2189" priority="4534" operator="lessThan">
      <formula>0</formula>
    </cfRule>
  </conditionalFormatting>
  <conditionalFormatting sqref="H10:H1048576">
    <cfRule type="cellIs" dxfId="2188" priority="4533" operator="lessThan">
      <formula>0</formula>
    </cfRule>
  </conditionalFormatting>
  <conditionalFormatting sqref="H10:H1048576">
    <cfRule type="cellIs" dxfId="2187" priority="4532" operator="lessThan">
      <formula>0</formula>
    </cfRule>
  </conditionalFormatting>
  <conditionalFormatting sqref="H10:H1048576">
    <cfRule type="cellIs" dxfId="2186" priority="4531" operator="lessThan">
      <formula>0</formula>
    </cfRule>
  </conditionalFormatting>
  <conditionalFormatting sqref="H10:H1048576">
    <cfRule type="cellIs" dxfId="2185" priority="4530" operator="lessThan">
      <formula>0</formula>
    </cfRule>
  </conditionalFormatting>
  <conditionalFormatting sqref="H10:H1048576">
    <cfRule type="cellIs" dxfId="2184" priority="4529" operator="lessThan">
      <formula>0</formula>
    </cfRule>
  </conditionalFormatting>
  <conditionalFormatting sqref="H10:H1048576">
    <cfRule type="cellIs" dxfId="2183" priority="4528" operator="lessThan">
      <formula>0</formula>
    </cfRule>
  </conditionalFormatting>
  <conditionalFormatting sqref="H10:H1048576">
    <cfRule type="cellIs" dxfId="2182" priority="4527" operator="lessThan">
      <formula>0</formula>
    </cfRule>
  </conditionalFormatting>
  <conditionalFormatting sqref="H10:H1048576">
    <cfRule type="cellIs" dxfId="2181" priority="4526" operator="lessThan">
      <formula>0</formula>
    </cfRule>
  </conditionalFormatting>
  <conditionalFormatting sqref="H10:H1048576">
    <cfRule type="cellIs" dxfId="2180" priority="4525" operator="lessThan">
      <formula>0</formula>
    </cfRule>
  </conditionalFormatting>
  <conditionalFormatting sqref="H10:H1048576">
    <cfRule type="cellIs" dxfId="2179" priority="4524" operator="lessThan">
      <formula>0</formula>
    </cfRule>
  </conditionalFormatting>
  <conditionalFormatting sqref="H10:H1048576">
    <cfRule type="cellIs" dxfId="2178" priority="4523" operator="lessThan">
      <formula>0</formula>
    </cfRule>
  </conditionalFormatting>
  <conditionalFormatting sqref="H10:H1048576">
    <cfRule type="cellIs" dxfId="2177" priority="4522" operator="lessThan">
      <formula>0</formula>
    </cfRule>
  </conditionalFormatting>
  <conditionalFormatting sqref="H10:H1048576">
    <cfRule type="cellIs" dxfId="2176" priority="4521" operator="lessThan">
      <formula>0</formula>
    </cfRule>
  </conditionalFormatting>
  <conditionalFormatting sqref="H10:H1048576">
    <cfRule type="cellIs" dxfId="2175" priority="4520" operator="lessThan">
      <formula>0</formula>
    </cfRule>
  </conditionalFormatting>
  <conditionalFormatting sqref="H10:H1048576">
    <cfRule type="cellIs" dxfId="2174" priority="4519" operator="lessThan">
      <formula>0</formula>
    </cfRule>
  </conditionalFormatting>
  <conditionalFormatting sqref="H10:H1048576">
    <cfRule type="cellIs" dxfId="2173" priority="4518" operator="lessThan">
      <formula>0</formula>
    </cfRule>
  </conditionalFormatting>
  <conditionalFormatting sqref="H10:H1048576">
    <cfRule type="cellIs" dxfId="2172" priority="4517" operator="lessThan">
      <formula>0</formula>
    </cfRule>
  </conditionalFormatting>
  <conditionalFormatting sqref="H10:H1048576">
    <cfRule type="cellIs" dxfId="2171" priority="4516" operator="lessThan">
      <formula>0</formula>
    </cfRule>
  </conditionalFormatting>
  <conditionalFormatting sqref="H10:H1048576">
    <cfRule type="cellIs" dxfId="2170" priority="4515" operator="lessThan">
      <formula>0</formula>
    </cfRule>
  </conditionalFormatting>
  <conditionalFormatting sqref="H10:H1048576">
    <cfRule type="cellIs" dxfId="2169" priority="4514" operator="lessThan">
      <formula>0</formula>
    </cfRule>
  </conditionalFormatting>
  <conditionalFormatting sqref="H10:H1048576">
    <cfRule type="cellIs" dxfId="2168" priority="4513" operator="lessThan">
      <formula>0</formula>
    </cfRule>
  </conditionalFormatting>
  <conditionalFormatting sqref="H10:H1048576">
    <cfRule type="cellIs" dxfId="2167" priority="4512" operator="lessThan">
      <formula>0</formula>
    </cfRule>
  </conditionalFormatting>
  <conditionalFormatting sqref="H10:H1048576">
    <cfRule type="cellIs" dxfId="2166" priority="4511" operator="lessThan">
      <formula>0</formula>
    </cfRule>
  </conditionalFormatting>
  <conditionalFormatting sqref="H10:H1048576">
    <cfRule type="cellIs" dxfId="2165" priority="4510" operator="lessThan">
      <formula>0</formula>
    </cfRule>
  </conditionalFormatting>
  <conditionalFormatting sqref="H10:H1048576">
    <cfRule type="cellIs" dxfId="2164" priority="4509" operator="lessThan">
      <formula>0</formula>
    </cfRule>
  </conditionalFormatting>
  <conditionalFormatting sqref="H10:H1048576">
    <cfRule type="cellIs" dxfId="2163" priority="4508" operator="lessThan">
      <formula>0</formula>
    </cfRule>
  </conditionalFormatting>
  <conditionalFormatting sqref="H10:H1048576">
    <cfRule type="cellIs" dxfId="2162" priority="4507" operator="lessThan">
      <formula>0</formula>
    </cfRule>
  </conditionalFormatting>
  <conditionalFormatting sqref="H10:H1048576">
    <cfRule type="cellIs" dxfId="2161" priority="4506" operator="lessThan">
      <formula>0</formula>
    </cfRule>
  </conditionalFormatting>
  <conditionalFormatting sqref="H10:H1048576">
    <cfRule type="cellIs" dxfId="2160" priority="4505" operator="lessThan">
      <formula>0</formula>
    </cfRule>
  </conditionalFormatting>
  <conditionalFormatting sqref="H10:H1048576">
    <cfRule type="cellIs" dxfId="2159" priority="4504" operator="lessThan">
      <formula>0</formula>
    </cfRule>
  </conditionalFormatting>
  <conditionalFormatting sqref="H10:H1048576">
    <cfRule type="cellIs" dxfId="2158" priority="4503" operator="lessThan">
      <formula>0</formula>
    </cfRule>
  </conditionalFormatting>
  <conditionalFormatting sqref="H10:H1048576">
    <cfRule type="cellIs" dxfId="2157" priority="4502" operator="lessThan">
      <formula>0</formula>
    </cfRule>
  </conditionalFormatting>
  <conditionalFormatting sqref="H10:H1048576">
    <cfRule type="cellIs" dxfId="2156" priority="4501" operator="lessThan">
      <formula>0</formula>
    </cfRule>
  </conditionalFormatting>
  <conditionalFormatting sqref="H10:H1048576">
    <cfRule type="cellIs" dxfId="2155" priority="4500" operator="lessThan">
      <formula>0</formula>
    </cfRule>
  </conditionalFormatting>
  <conditionalFormatting sqref="H10:H1048576">
    <cfRule type="cellIs" dxfId="2154" priority="4499" operator="lessThan">
      <formula>0</formula>
    </cfRule>
  </conditionalFormatting>
  <conditionalFormatting sqref="H10:H1048576">
    <cfRule type="cellIs" dxfId="2153" priority="4498" operator="lessThan">
      <formula>0</formula>
    </cfRule>
  </conditionalFormatting>
  <conditionalFormatting sqref="H10:H1048576">
    <cfRule type="cellIs" dxfId="2152" priority="4497" operator="lessThan">
      <formula>0</formula>
    </cfRule>
  </conditionalFormatting>
  <conditionalFormatting sqref="H10:H1048576">
    <cfRule type="cellIs" dxfId="2151" priority="4496" operator="lessThan">
      <formula>0</formula>
    </cfRule>
  </conditionalFormatting>
  <conditionalFormatting sqref="H10:H1048576">
    <cfRule type="cellIs" dxfId="2150" priority="4495" operator="lessThan">
      <formula>0</formula>
    </cfRule>
  </conditionalFormatting>
  <conditionalFormatting sqref="H10:H1048576">
    <cfRule type="cellIs" dxfId="2149" priority="4494" operator="lessThan">
      <formula>0</formula>
    </cfRule>
  </conditionalFormatting>
  <conditionalFormatting sqref="H10:H1048576">
    <cfRule type="cellIs" dxfId="2148" priority="4493" operator="lessThan">
      <formula>0</formula>
    </cfRule>
  </conditionalFormatting>
  <conditionalFormatting sqref="H10:H1048576">
    <cfRule type="cellIs" dxfId="2147" priority="4492" operator="lessThan">
      <formula>0</formula>
    </cfRule>
  </conditionalFormatting>
  <conditionalFormatting sqref="H10:H1048576">
    <cfRule type="cellIs" dxfId="2146" priority="4491" operator="lessThan">
      <formula>0</formula>
    </cfRule>
  </conditionalFormatting>
  <conditionalFormatting sqref="H10:H1048576">
    <cfRule type="cellIs" dxfId="2145" priority="4490" operator="lessThan">
      <formula>0</formula>
    </cfRule>
  </conditionalFormatting>
  <conditionalFormatting sqref="H10:H1048576">
    <cfRule type="cellIs" dxfId="2144" priority="4489" operator="lessThan">
      <formula>0</formula>
    </cfRule>
  </conditionalFormatting>
  <conditionalFormatting sqref="H10:H1048576">
    <cfRule type="cellIs" dxfId="2143" priority="4488" operator="lessThan">
      <formula>0</formula>
    </cfRule>
  </conditionalFormatting>
  <conditionalFormatting sqref="H10:H1048576">
    <cfRule type="cellIs" dxfId="2142" priority="4487" operator="lessThan">
      <formula>0</formula>
    </cfRule>
  </conditionalFormatting>
  <conditionalFormatting sqref="H10:H1048576">
    <cfRule type="cellIs" dxfId="2141" priority="4486" operator="lessThan">
      <formula>0</formula>
    </cfRule>
  </conditionalFormatting>
  <conditionalFormatting sqref="H10:H1048576">
    <cfRule type="cellIs" dxfId="2140" priority="4485" operator="lessThan">
      <formula>0</formula>
    </cfRule>
  </conditionalFormatting>
  <conditionalFormatting sqref="H10:H1048576">
    <cfRule type="cellIs" dxfId="2139" priority="4484" operator="lessThan">
      <formula>0</formula>
    </cfRule>
  </conditionalFormatting>
  <conditionalFormatting sqref="H10:H1048576">
    <cfRule type="cellIs" dxfId="2138" priority="4483" operator="lessThan">
      <formula>0</formula>
    </cfRule>
  </conditionalFormatting>
  <conditionalFormatting sqref="H10:H1048576">
    <cfRule type="cellIs" dxfId="2137" priority="4482" operator="lessThan">
      <formula>0</formula>
    </cfRule>
  </conditionalFormatting>
  <conditionalFormatting sqref="H10:H1048576">
    <cfRule type="cellIs" dxfId="2136" priority="4481" operator="lessThan">
      <formula>0</formula>
    </cfRule>
  </conditionalFormatting>
  <conditionalFormatting sqref="H10:H1048576">
    <cfRule type="cellIs" dxfId="2135" priority="4480" operator="lessThan">
      <formula>0</formula>
    </cfRule>
  </conditionalFormatting>
  <conditionalFormatting sqref="H10:H1048576">
    <cfRule type="cellIs" dxfId="2134" priority="4479" operator="lessThan">
      <formula>0</formula>
    </cfRule>
  </conditionalFormatting>
  <conditionalFormatting sqref="H10:H1048576">
    <cfRule type="cellIs" dxfId="2133" priority="4478" operator="lessThan">
      <formula>0</formula>
    </cfRule>
  </conditionalFormatting>
  <conditionalFormatting sqref="H10:H1048576">
    <cfRule type="cellIs" dxfId="2132" priority="4477" operator="lessThan">
      <formula>0</formula>
    </cfRule>
  </conditionalFormatting>
  <conditionalFormatting sqref="H10:H1048576">
    <cfRule type="cellIs" dxfId="2131" priority="4476" operator="lessThan">
      <formula>0</formula>
    </cfRule>
  </conditionalFormatting>
  <conditionalFormatting sqref="H10:H1048576">
    <cfRule type="cellIs" dxfId="2130" priority="4475" operator="lessThan">
      <formula>0</formula>
    </cfRule>
  </conditionalFormatting>
  <conditionalFormatting sqref="H10:H1048576">
    <cfRule type="cellIs" dxfId="2129" priority="4474" operator="lessThan">
      <formula>0</formula>
    </cfRule>
  </conditionalFormatting>
  <conditionalFormatting sqref="H10:H1048576">
    <cfRule type="cellIs" dxfId="2128" priority="4473" operator="lessThan">
      <formula>0</formula>
    </cfRule>
  </conditionalFormatting>
  <conditionalFormatting sqref="H10:H1048576">
    <cfRule type="cellIs" dxfId="2127" priority="4472" operator="lessThan">
      <formula>0</formula>
    </cfRule>
  </conditionalFormatting>
  <conditionalFormatting sqref="H10:H1048576">
    <cfRule type="cellIs" dxfId="2126" priority="4471" operator="lessThan">
      <formula>0</formula>
    </cfRule>
  </conditionalFormatting>
  <conditionalFormatting sqref="H10:H1048576">
    <cfRule type="cellIs" dxfId="2125" priority="4470" operator="lessThan">
      <formula>0</formula>
    </cfRule>
  </conditionalFormatting>
  <conditionalFormatting sqref="H10:H1048576">
    <cfRule type="cellIs" dxfId="2124" priority="4469" operator="lessThan">
      <formula>0</formula>
    </cfRule>
  </conditionalFormatting>
  <conditionalFormatting sqref="H10:H1048576">
    <cfRule type="cellIs" dxfId="2123" priority="4468" operator="lessThan">
      <formula>0</formula>
    </cfRule>
  </conditionalFormatting>
  <conditionalFormatting sqref="H1:H1048576">
    <cfRule type="cellIs" dxfId="2122" priority="4467" operator="lessThan">
      <formula>0</formula>
    </cfRule>
  </conditionalFormatting>
  <conditionalFormatting sqref="H1:H1048576">
    <cfRule type="cellIs" dxfId="2121" priority="4466" operator="lessThan">
      <formula>0</formula>
    </cfRule>
  </conditionalFormatting>
  <conditionalFormatting sqref="H1:H1048576">
    <cfRule type="cellIs" dxfId="2120" priority="4465" operator="lessThan">
      <formula>0</formula>
    </cfRule>
  </conditionalFormatting>
  <conditionalFormatting sqref="H1:H1048576">
    <cfRule type="cellIs" dxfId="2119" priority="4464" operator="lessThan">
      <formula>0</formula>
    </cfRule>
  </conditionalFormatting>
  <conditionalFormatting sqref="H1:H1048576">
    <cfRule type="cellIs" dxfId="2118" priority="4463" operator="lessThan">
      <formula>0</formula>
    </cfRule>
  </conditionalFormatting>
  <conditionalFormatting sqref="H1:H1048576">
    <cfRule type="cellIs" dxfId="2117" priority="4462" operator="lessThan">
      <formula>0</formula>
    </cfRule>
  </conditionalFormatting>
  <conditionalFormatting sqref="H1:H1048576">
    <cfRule type="cellIs" dxfId="2116" priority="4461" operator="lessThan">
      <formula>0</formula>
    </cfRule>
  </conditionalFormatting>
  <conditionalFormatting sqref="H1:H1048576">
    <cfRule type="cellIs" dxfId="2115" priority="4460" operator="lessThan">
      <formula>0</formula>
    </cfRule>
  </conditionalFormatting>
  <conditionalFormatting sqref="H1:H1048576">
    <cfRule type="cellIs" dxfId="2114" priority="4459" operator="lessThan">
      <formula>0</formula>
    </cfRule>
  </conditionalFormatting>
  <conditionalFormatting sqref="H1:H1048576">
    <cfRule type="cellIs" dxfId="2113" priority="4458" operator="lessThan">
      <formula>0</formula>
    </cfRule>
  </conditionalFormatting>
  <conditionalFormatting sqref="H1:H1048576">
    <cfRule type="cellIs" dxfId="2112" priority="4457" operator="lessThan">
      <formula>0</formula>
    </cfRule>
  </conditionalFormatting>
  <conditionalFormatting sqref="H1:H1048576">
    <cfRule type="cellIs" dxfId="2111" priority="4456" operator="lessThan">
      <formula>0</formula>
    </cfRule>
  </conditionalFormatting>
  <conditionalFormatting sqref="H1:H1048576">
    <cfRule type="cellIs" dxfId="2110" priority="4455" operator="lessThan">
      <formula>0</formula>
    </cfRule>
  </conditionalFormatting>
  <conditionalFormatting sqref="H1:H1048576">
    <cfRule type="cellIs" dxfId="2109" priority="4454" operator="lessThan">
      <formula>0</formula>
    </cfRule>
  </conditionalFormatting>
  <conditionalFormatting sqref="H1:H1048576">
    <cfRule type="cellIs" dxfId="2108" priority="4453" operator="lessThan">
      <formula>0</formula>
    </cfRule>
  </conditionalFormatting>
  <conditionalFormatting sqref="H1:H1048576">
    <cfRule type="cellIs" dxfId="2107" priority="4452" operator="lessThan">
      <formula>0</formula>
    </cfRule>
  </conditionalFormatting>
  <conditionalFormatting sqref="H1:H1048576">
    <cfRule type="cellIs" dxfId="2106" priority="4451" operator="lessThan">
      <formula>0</formula>
    </cfRule>
  </conditionalFormatting>
  <conditionalFormatting sqref="H1:H1048576">
    <cfRule type="cellIs" dxfId="2105" priority="4450" operator="lessThan">
      <formula>0</formula>
    </cfRule>
  </conditionalFormatting>
  <conditionalFormatting sqref="H1:H1048576">
    <cfRule type="cellIs" dxfId="2104" priority="4449" operator="lessThan">
      <formula>0</formula>
    </cfRule>
  </conditionalFormatting>
  <conditionalFormatting sqref="H1:H1048576">
    <cfRule type="cellIs" dxfId="2103" priority="4448" operator="lessThan">
      <formula>0</formula>
    </cfRule>
  </conditionalFormatting>
  <conditionalFormatting sqref="H1:H1048576">
    <cfRule type="cellIs" dxfId="2102" priority="4447" operator="lessThan">
      <formula>0</formula>
    </cfRule>
  </conditionalFormatting>
  <conditionalFormatting sqref="H1:H1048576">
    <cfRule type="cellIs" dxfId="2101" priority="4446" operator="lessThan">
      <formula>0</formula>
    </cfRule>
  </conditionalFormatting>
  <conditionalFormatting sqref="H1:H1048576">
    <cfRule type="cellIs" dxfId="2100" priority="4445" operator="lessThan">
      <formula>0</formula>
    </cfRule>
  </conditionalFormatting>
  <conditionalFormatting sqref="H1:H1048576">
    <cfRule type="cellIs" dxfId="2099" priority="4444" operator="lessThan">
      <formula>0</formula>
    </cfRule>
  </conditionalFormatting>
  <conditionalFormatting sqref="H1:H1048576">
    <cfRule type="cellIs" dxfId="2098" priority="4443" operator="lessThan">
      <formula>0</formula>
    </cfRule>
  </conditionalFormatting>
  <conditionalFormatting sqref="H1:H1048576">
    <cfRule type="cellIs" dxfId="2097" priority="4442" operator="lessThan">
      <formula>0</formula>
    </cfRule>
  </conditionalFormatting>
  <conditionalFormatting sqref="H1:H1048576">
    <cfRule type="cellIs" dxfId="2096" priority="4441" operator="lessThan">
      <formula>0</formula>
    </cfRule>
  </conditionalFormatting>
  <conditionalFormatting sqref="H1:H1048576">
    <cfRule type="cellIs" dxfId="2095" priority="4440" operator="lessThan">
      <formula>0</formula>
    </cfRule>
  </conditionalFormatting>
  <conditionalFormatting sqref="H1:H1048576">
    <cfRule type="cellIs" dxfId="2094" priority="4439" operator="lessThan">
      <formula>0</formula>
    </cfRule>
  </conditionalFormatting>
  <conditionalFormatting sqref="H1:H1048576">
    <cfRule type="cellIs" dxfId="2093" priority="4438" operator="lessThan">
      <formula>0</formula>
    </cfRule>
  </conditionalFormatting>
  <conditionalFormatting sqref="H1:H1048576">
    <cfRule type="cellIs" dxfId="2092" priority="4437" operator="lessThan">
      <formula>0</formula>
    </cfRule>
  </conditionalFormatting>
  <conditionalFormatting sqref="H1:H1048576">
    <cfRule type="cellIs" dxfId="2091" priority="4436" operator="lessThan">
      <formula>0</formula>
    </cfRule>
  </conditionalFormatting>
  <conditionalFormatting sqref="H1:H1048576">
    <cfRule type="cellIs" dxfId="2090" priority="4435" operator="lessThan">
      <formula>0</formula>
    </cfRule>
  </conditionalFormatting>
  <conditionalFormatting sqref="H1:H1048576">
    <cfRule type="cellIs" dxfId="2089" priority="4434" operator="lessThan">
      <formula>0</formula>
    </cfRule>
  </conditionalFormatting>
  <conditionalFormatting sqref="H1:H1048576">
    <cfRule type="cellIs" dxfId="2088" priority="4433" operator="lessThan">
      <formula>0</formula>
    </cfRule>
  </conditionalFormatting>
  <conditionalFormatting sqref="H1:H1048576">
    <cfRule type="cellIs" dxfId="2087" priority="4432" operator="lessThan">
      <formula>0</formula>
    </cfRule>
  </conditionalFormatting>
  <conditionalFormatting sqref="H1:H1048576">
    <cfRule type="cellIs" dxfId="2086" priority="4431" operator="lessThan">
      <formula>0</formula>
    </cfRule>
  </conditionalFormatting>
  <conditionalFormatting sqref="H1:H1048576">
    <cfRule type="cellIs" dxfId="2085" priority="4430" operator="lessThan">
      <formula>0</formula>
    </cfRule>
  </conditionalFormatting>
  <conditionalFormatting sqref="H1:H1048576">
    <cfRule type="cellIs" dxfId="2084" priority="4429" operator="lessThan">
      <formula>0</formula>
    </cfRule>
  </conditionalFormatting>
  <conditionalFormatting sqref="H1:H1048576">
    <cfRule type="cellIs" dxfId="2083" priority="4428" operator="lessThan">
      <formula>0</formula>
    </cfRule>
  </conditionalFormatting>
  <conditionalFormatting sqref="H1:H1048576">
    <cfRule type="cellIs" dxfId="2082" priority="4427" operator="lessThan">
      <formula>0</formula>
    </cfRule>
  </conditionalFormatting>
  <conditionalFormatting sqref="H1:H1048576">
    <cfRule type="cellIs" dxfId="2081" priority="4426" operator="lessThan">
      <formula>0</formula>
    </cfRule>
  </conditionalFormatting>
  <conditionalFormatting sqref="H1:H1048576">
    <cfRule type="cellIs" dxfId="2080" priority="4425" operator="lessThan">
      <formula>0</formula>
    </cfRule>
  </conditionalFormatting>
  <conditionalFormatting sqref="H1:H1048576">
    <cfRule type="cellIs" dxfId="2079" priority="4424" operator="lessThan">
      <formula>0</formula>
    </cfRule>
  </conditionalFormatting>
  <conditionalFormatting sqref="H1:H1048576">
    <cfRule type="cellIs" dxfId="2078" priority="4423" operator="lessThan">
      <formula>0</formula>
    </cfRule>
  </conditionalFormatting>
  <conditionalFormatting sqref="H1:H1048576">
    <cfRule type="cellIs" dxfId="2077" priority="4422" operator="lessThan">
      <formula>0</formula>
    </cfRule>
  </conditionalFormatting>
  <conditionalFormatting sqref="H1:H1048576">
    <cfRule type="cellIs" dxfId="2076" priority="4421" operator="lessThan">
      <formula>0</formula>
    </cfRule>
  </conditionalFormatting>
  <conditionalFormatting sqref="H1:H1048576">
    <cfRule type="cellIs" dxfId="2075" priority="4420" operator="lessThan">
      <formula>0</formula>
    </cfRule>
  </conditionalFormatting>
  <conditionalFormatting sqref="H1:H1048576">
    <cfRule type="cellIs" dxfId="2074" priority="4419" operator="lessThan">
      <formula>0</formula>
    </cfRule>
  </conditionalFormatting>
  <conditionalFormatting sqref="H1:H1048576">
    <cfRule type="cellIs" dxfId="2073" priority="4418" operator="lessThan">
      <formula>0</formula>
    </cfRule>
  </conditionalFormatting>
  <conditionalFormatting sqref="H1:H1048576">
    <cfRule type="cellIs" dxfId="2072" priority="4417" operator="lessThan">
      <formula>0</formula>
    </cfRule>
  </conditionalFormatting>
  <conditionalFormatting sqref="H1:H1048576">
    <cfRule type="cellIs" dxfId="2071" priority="4416" operator="lessThan">
      <formula>0</formula>
    </cfRule>
  </conditionalFormatting>
  <conditionalFormatting sqref="H1:H1048576">
    <cfRule type="cellIs" dxfId="2070" priority="4415" operator="lessThan">
      <formula>0</formula>
    </cfRule>
  </conditionalFormatting>
  <conditionalFormatting sqref="H1:H1048576">
    <cfRule type="cellIs" dxfId="2069" priority="4414" operator="lessThan">
      <formula>0</formula>
    </cfRule>
  </conditionalFormatting>
  <conditionalFormatting sqref="H1:H1048576">
    <cfRule type="cellIs" dxfId="2068" priority="4413" operator="lessThan">
      <formula>0</formula>
    </cfRule>
  </conditionalFormatting>
  <conditionalFormatting sqref="H1:H1048576">
    <cfRule type="cellIs" dxfId="2067" priority="4412" operator="lessThan">
      <formula>0</formula>
    </cfRule>
  </conditionalFormatting>
  <conditionalFormatting sqref="H1:H1048576">
    <cfRule type="cellIs" dxfId="2066" priority="4411" operator="lessThan">
      <formula>0</formula>
    </cfRule>
  </conditionalFormatting>
  <conditionalFormatting sqref="H1:H1048576">
    <cfRule type="cellIs" dxfId="2065" priority="4410" operator="lessThan">
      <formula>0</formula>
    </cfRule>
  </conditionalFormatting>
  <conditionalFormatting sqref="H1:H1048576">
    <cfRule type="cellIs" dxfId="2064" priority="4409" operator="lessThan">
      <formula>0</formula>
    </cfRule>
  </conditionalFormatting>
  <conditionalFormatting sqref="H1:H1048576">
    <cfRule type="cellIs" dxfId="2063" priority="4408" operator="lessThan">
      <formula>0</formula>
    </cfRule>
  </conditionalFormatting>
  <conditionalFormatting sqref="H1:H1048576">
    <cfRule type="cellIs" dxfId="2062" priority="4407" operator="lessThan">
      <formula>0</formula>
    </cfRule>
  </conditionalFormatting>
  <conditionalFormatting sqref="H1:H1048576">
    <cfRule type="cellIs" dxfId="2061" priority="4406" operator="lessThan">
      <formula>0</formula>
    </cfRule>
  </conditionalFormatting>
  <conditionalFormatting sqref="H1:H1048576">
    <cfRule type="cellIs" dxfId="2060" priority="4405" operator="lessThan">
      <formula>0</formula>
    </cfRule>
  </conditionalFormatting>
  <conditionalFormatting sqref="H1:H1048576">
    <cfRule type="cellIs" dxfId="2059" priority="4404" operator="lessThan">
      <formula>0</formula>
    </cfRule>
  </conditionalFormatting>
  <conditionalFormatting sqref="H1:H1048576">
    <cfRule type="cellIs" dxfId="2058" priority="4403" operator="lessThan">
      <formula>0</formula>
    </cfRule>
  </conditionalFormatting>
  <conditionalFormatting sqref="H1:H1048576">
    <cfRule type="cellIs" dxfId="2057" priority="4402" operator="lessThan">
      <formula>0</formula>
    </cfRule>
  </conditionalFormatting>
  <conditionalFormatting sqref="H1:H1048576">
    <cfRule type="cellIs" dxfId="2056" priority="4401" operator="lessThan">
      <formula>0</formula>
    </cfRule>
  </conditionalFormatting>
  <conditionalFormatting sqref="H1:H1048576">
    <cfRule type="cellIs" dxfId="2055" priority="4400" operator="lessThan">
      <formula>0</formula>
    </cfRule>
  </conditionalFormatting>
  <conditionalFormatting sqref="H1:H1048576">
    <cfRule type="cellIs" dxfId="2054" priority="4399" operator="lessThan">
      <formula>0</formula>
    </cfRule>
  </conditionalFormatting>
  <conditionalFormatting sqref="H1:H1048576">
    <cfRule type="cellIs" dxfId="2053" priority="4398" operator="lessThan">
      <formula>0</formula>
    </cfRule>
  </conditionalFormatting>
  <conditionalFormatting sqref="H1:H1048576">
    <cfRule type="cellIs" dxfId="2052" priority="4397" operator="lessThan">
      <formula>0</formula>
    </cfRule>
  </conditionalFormatting>
  <conditionalFormatting sqref="H1:H1048576">
    <cfRule type="cellIs" dxfId="2051" priority="4396" operator="lessThan">
      <formula>0</formula>
    </cfRule>
  </conditionalFormatting>
  <conditionalFormatting sqref="H1:H1048576">
    <cfRule type="cellIs" dxfId="2050" priority="4395" operator="lessThan">
      <formula>0</formula>
    </cfRule>
  </conditionalFormatting>
  <conditionalFormatting sqref="H1:H1048576">
    <cfRule type="cellIs" dxfId="2049" priority="4394" operator="lessThan">
      <formula>0</formula>
    </cfRule>
  </conditionalFormatting>
  <conditionalFormatting sqref="H1:H1048576">
    <cfRule type="cellIs" dxfId="2048" priority="4393" operator="lessThan">
      <formula>0</formula>
    </cfRule>
  </conditionalFormatting>
  <conditionalFormatting sqref="H1:H1048576">
    <cfRule type="cellIs" dxfId="2047" priority="4392" operator="lessThan">
      <formula>0</formula>
    </cfRule>
  </conditionalFormatting>
  <conditionalFormatting sqref="H1:H1048576">
    <cfRule type="cellIs" dxfId="2046" priority="4391" operator="lessThan">
      <formula>0</formula>
    </cfRule>
  </conditionalFormatting>
  <conditionalFormatting sqref="H1:H1048576">
    <cfRule type="cellIs" dxfId="2045" priority="4390" operator="lessThan">
      <formula>0</formula>
    </cfRule>
  </conditionalFormatting>
  <conditionalFormatting sqref="H1:H1048576">
    <cfRule type="cellIs" dxfId="2044" priority="4389" operator="lessThan">
      <formula>0</formula>
    </cfRule>
  </conditionalFormatting>
  <conditionalFormatting sqref="H1:H1048576">
    <cfRule type="cellIs" dxfId="2043" priority="4388" operator="lessThan">
      <formula>0</formula>
    </cfRule>
  </conditionalFormatting>
  <conditionalFormatting sqref="H1:H1048576">
    <cfRule type="cellIs" dxfId="2042" priority="4387" operator="lessThan">
      <formula>0</formula>
    </cfRule>
  </conditionalFormatting>
  <conditionalFormatting sqref="H1:H1048576">
    <cfRule type="cellIs" dxfId="2041" priority="4386" operator="lessThan">
      <formula>0</formula>
    </cfRule>
  </conditionalFormatting>
  <conditionalFormatting sqref="H1:H1048576">
    <cfRule type="cellIs" dxfId="2040" priority="4385" operator="lessThan">
      <formula>0</formula>
    </cfRule>
  </conditionalFormatting>
  <conditionalFormatting sqref="H1:H1048576">
    <cfRule type="cellIs" dxfId="2039" priority="4384" operator="lessThan">
      <formula>0</formula>
    </cfRule>
  </conditionalFormatting>
  <conditionalFormatting sqref="H1:H1048576">
    <cfRule type="cellIs" dxfId="2038" priority="4383" operator="lessThan">
      <formula>0</formula>
    </cfRule>
  </conditionalFormatting>
  <conditionalFormatting sqref="H1:H1048576">
    <cfRule type="cellIs" dxfId="2037" priority="4382" operator="lessThan">
      <formula>0</formula>
    </cfRule>
  </conditionalFormatting>
  <conditionalFormatting sqref="H1:H1048576">
    <cfRule type="cellIs" dxfId="2036" priority="4381" operator="lessThan">
      <formula>0</formula>
    </cfRule>
  </conditionalFormatting>
  <conditionalFormatting sqref="H1:H1048576">
    <cfRule type="cellIs" dxfId="2035" priority="4380" operator="lessThan">
      <formula>0</formula>
    </cfRule>
  </conditionalFormatting>
  <conditionalFormatting sqref="H1:H1048576">
    <cfRule type="cellIs" dxfId="2034" priority="4379" operator="lessThan">
      <formula>0</formula>
    </cfRule>
  </conditionalFormatting>
  <conditionalFormatting sqref="H1:H1048576">
    <cfRule type="cellIs" dxfId="2033" priority="4378" operator="lessThan">
      <formula>0</formula>
    </cfRule>
  </conditionalFormatting>
  <conditionalFormatting sqref="H1:H1048576">
    <cfRule type="cellIs" dxfId="2032" priority="4377" operator="lessThan">
      <formula>0</formula>
    </cfRule>
  </conditionalFormatting>
  <conditionalFormatting sqref="H1:H1048576">
    <cfRule type="cellIs" dxfId="2031" priority="4376" operator="lessThan">
      <formula>0</formula>
    </cfRule>
  </conditionalFormatting>
  <conditionalFormatting sqref="H1:H1048576">
    <cfRule type="cellIs" dxfId="2030" priority="4375" operator="lessThan">
      <formula>0</formula>
    </cfRule>
  </conditionalFormatting>
  <conditionalFormatting sqref="H1:H1048576">
    <cfRule type="cellIs" dxfId="2029" priority="4374" operator="lessThan">
      <formula>0</formula>
    </cfRule>
  </conditionalFormatting>
  <conditionalFormatting sqref="H1:H1048576">
    <cfRule type="cellIs" dxfId="2028" priority="4373" operator="lessThan">
      <formula>0</formula>
    </cfRule>
  </conditionalFormatting>
  <conditionalFormatting sqref="H1:H1048576">
    <cfRule type="cellIs" dxfId="2027" priority="4372" operator="lessThan">
      <formula>0</formula>
    </cfRule>
  </conditionalFormatting>
  <conditionalFormatting sqref="H1:H1048576">
    <cfRule type="cellIs" dxfId="2026" priority="4371" operator="lessThan">
      <formula>0</formula>
    </cfRule>
  </conditionalFormatting>
  <conditionalFormatting sqref="H1:H1048576">
    <cfRule type="cellIs" dxfId="2025" priority="4370" operator="lessThan">
      <formula>0</formula>
    </cfRule>
  </conditionalFormatting>
  <conditionalFormatting sqref="H1:H1048576">
    <cfRule type="cellIs" dxfId="2024" priority="4369" operator="lessThan">
      <formula>0</formula>
    </cfRule>
  </conditionalFormatting>
  <conditionalFormatting sqref="H1:H1048576">
    <cfRule type="cellIs" dxfId="2023" priority="4368" operator="lessThan">
      <formula>0</formula>
    </cfRule>
  </conditionalFormatting>
  <conditionalFormatting sqref="H1:H1048576">
    <cfRule type="cellIs" dxfId="2022" priority="4367" operator="lessThan">
      <formula>0</formula>
    </cfRule>
  </conditionalFormatting>
  <conditionalFormatting sqref="H1:H1048576">
    <cfRule type="cellIs" dxfId="2021" priority="4366" operator="lessThan">
      <formula>0</formula>
    </cfRule>
  </conditionalFormatting>
  <conditionalFormatting sqref="H1:H1048576">
    <cfRule type="cellIs" dxfId="2020" priority="4365" operator="lessThan">
      <formula>0</formula>
    </cfRule>
  </conditionalFormatting>
  <conditionalFormatting sqref="H1:H1048576">
    <cfRule type="cellIs" dxfId="2019" priority="4364" operator="lessThan">
      <formula>0</formula>
    </cfRule>
  </conditionalFormatting>
  <conditionalFormatting sqref="H1:H1048576">
    <cfRule type="cellIs" dxfId="2018" priority="4363" operator="lessThan">
      <formula>0</formula>
    </cfRule>
  </conditionalFormatting>
  <conditionalFormatting sqref="H1:H1048576">
    <cfRule type="cellIs" dxfId="2017" priority="4362" operator="lessThan">
      <formula>0</formula>
    </cfRule>
  </conditionalFormatting>
  <conditionalFormatting sqref="H1:H1048576">
    <cfRule type="cellIs" dxfId="2016" priority="4361" operator="lessThan">
      <formula>0</formula>
    </cfRule>
  </conditionalFormatting>
  <conditionalFormatting sqref="H1:H1048576">
    <cfRule type="cellIs" dxfId="2015" priority="4360" operator="lessThan">
      <formula>0</formula>
    </cfRule>
  </conditionalFormatting>
  <conditionalFormatting sqref="H1:H1048576">
    <cfRule type="cellIs" dxfId="2014" priority="4359" operator="lessThan">
      <formula>0</formula>
    </cfRule>
  </conditionalFormatting>
  <conditionalFormatting sqref="H1:H1048576">
    <cfRule type="cellIs" dxfId="2013" priority="4358" operator="lessThan">
      <formula>0</formula>
    </cfRule>
  </conditionalFormatting>
  <conditionalFormatting sqref="H1:H1048576">
    <cfRule type="cellIs" dxfId="2012" priority="4357" operator="lessThan">
      <formula>0</formula>
    </cfRule>
  </conditionalFormatting>
  <conditionalFormatting sqref="H1:H1048576">
    <cfRule type="cellIs" dxfId="2011" priority="4356" operator="lessThan">
      <formula>0</formula>
    </cfRule>
  </conditionalFormatting>
  <conditionalFormatting sqref="H1:H1048576">
    <cfRule type="cellIs" dxfId="2010" priority="4355" operator="lessThan">
      <formula>0</formula>
    </cfRule>
  </conditionalFormatting>
  <conditionalFormatting sqref="H1:H1048576">
    <cfRule type="cellIs" dxfId="2009" priority="4354" operator="lessThan">
      <formula>0</formula>
    </cfRule>
  </conditionalFormatting>
  <conditionalFormatting sqref="H1:H1048576">
    <cfRule type="cellIs" dxfId="2008" priority="4353" operator="lessThan">
      <formula>0</formula>
    </cfRule>
  </conditionalFormatting>
  <conditionalFormatting sqref="H1:H1048576">
    <cfRule type="cellIs" dxfId="2007" priority="4352" operator="lessThan">
      <formula>0</formula>
    </cfRule>
  </conditionalFormatting>
  <conditionalFormatting sqref="H1:H1048576">
    <cfRule type="cellIs" dxfId="2006" priority="4351" operator="lessThan">
      <formula>0</formula>
    </cfRule>
  </conditionalFormatting>
  <conditionalFormatting sqref="H1:H1048576">
    <cfRule type="cellIs" dxfId="2005" priority="4350" operator="lessThan">
      <formula>0</formula>
    </cfRule>
  </conditionalFormatting>
  <conditionalFormatting sqref="H1:H1048576">
    <cfRule type="cellIs" dxfId="2004" priority="4349" operator="lessThan">
      <formula>0</formula>
    </cfRule>
  </conditionalFormatting>
  <conditionalFormatting sqref="H1:H1048576">
    <cfRule type="cellIs" dxfId="2003" priority="4348" operator="lessThan">
      <formula>0</formula>
    </cfRule>
  </conditionalFormatting>
  <conditionalFormatting sqref="H1:H1048576">
    <cfRule type="cellIs" dxfId="2002" priority="4347" operator="lessThan">
      <formula>0</formula>
    </cfRule>
  </conditionalFormatting>
  <conditionalFormatting sqref="H1:H1048576">
    <cfRule type="cellIs" dxfId="2001" priority="4346" operator="lessThan">
      <formula>0</formula>
    </cfRule>
  </conditionalFormatting>
  <conditionalFormatting sqref="H1:H1048576">
    <cfRule type="cellIs" dxfId="2000" priority="4345" operator="lessThan">
      <formula>0</formula>
    </cfRule>
  </conditionalFormatting>
  <conditionalFormatting sqref="H1:H1048576">
    <cfRule type="cellIs" dxfId="1999" priority="4344" operator="lessThan">
      <formula>0</formula>
    </cfRule>
  </conditionalFormatting>
  <conditionalFormatting sqref="H1:H1048576">
    <cfRule type="cellIs" dxfId="1998" priority="4343" operator="lessThan">
      <formula>0</formula>
    </cfRule>
  </conditionalFormatting>
  <conditionalFormatting sqref="H1:H1048576">
    <cfRule type="cellIs" dxfId="1997" priority="4342" operator="lessThan">
      <formula>0</formula>
    </cfRule>
  </conditionalFormatting>
  <conditionalFormatting sqref="H1:H1048576">
    <cfRule type="cellIs" dxfId="1996" priority="4341" operator="lessThan">
      <formula>0</formula>
    </cfRule>
  </conditionalFormatting>
  <conditionalFormatting sqref="H1:H1048576">
    <cfRule type="cellIs" dxfId="1995" priority="4340" operator="lessThan">
      <formula>0</formula>
    </cfRule>
  </conditionalFormatting>
  <conditionalFormatting sqref="H1:H1048576">
    <cfRule type="cellIs" dxfId="1994" priority="4339" operator="lessThan">
      <formula>0</formula>
    </cfRule>
  </conditionalFormatting>
  <conditionalFormatting sqref="H1:H1048576">
    <cfRule type="cellIs" dxfId="1993" priority="4338" operator="lessThan">
      <formula>0</formula>
    </cfRule>
  </conditionalFormatting>
  <conditionalFormatting sqref="H1:H1048576">
    <cfRule type="cellIs" dxfId="1992" priority="4337" operator="lessThan">
      <formula>0</formula>
    </cfRule>
  </conditionalFormatting>
  <conditionalFormatting sqref="H1:H1048576">
    <cfRule type="cellIs" dxfId="1991" priority="4336" operator="lessThan">
      <formula>0</formula>
    </cfRule>
  </conditionalFormatting>
  <conditionalFormatting sqref="H1:H1048576">
    <cfRule type="cellIs" dxfId="1990" priority="4335" operator="lessThan">
      <formula>0</formula>
    </cfRule>
  </conditionalFormatting>
  <conditionalFormatting sqref="H1:H1048576">
    <cfRule type="cellIs" dxfId="1989" priority="4334" operator="lessThan">
      <formula>0</formula>
    </cfRule>
  </conditionalFormatting>
  <conditionalFormatting sqref="H1:H1048576">
    <cfRule type="cellIs" dxfId="1988" priority="4333" operator="lessThan">
      <formula>0</formula>
    </cfRule>
  </conditionalFormatting>
  <conditionalFormatting sqref="H1:H1048576">
    <cfRule type="cellIs" dxfId="1987" priority="4332" operator="lessThan">
      <formula>0</formula>
    </cfRule>
  </conditionalFormatting>
  <conditionalFormatting sqref="H1:H1048576">
    <cfRule type="cellIs" dxfId="1986" priority="4331" operator="lessThan">
      <formula>0</formula>
    </cfRule>
  </conditionalFormatting>
  <conditionalFormatting sqref="H1:H1048576">
    <cfRule type="cellIs" dxfId="1985" priority="4330" operator="lessThan">
      <formula>0</formula>
    </cfRule>
  </conditionalFormatting>
  <conditionalFormatting sqref="H1:H1048576">
    <cfRule type="cellIs" dxfId="1984" priority="4329" operator="lessThan">
      <formula>0</formula>
    </cfRule>
  </conditionalFormatting>
  <conditionalFormatting sqref="H1:H1048576">
    <cfRule type="cellIs" dxfId="1983" priority="4328" operator="lessThan">
      <formula>0</formula>
    </cfRule>
  </conditionalFormatting>
  <conditionalFormatting sqref="H1:H1048576">
    <cfRule type="cellIs" dxfId="1982" priority="4327" operator="lessThan">
      <formula>0</formula>
    </cfRule>
  </conditionalFormatting>
  <conditionalFormatting sqref="H1:H1048576">
    <cfRule type="cellIs" dxfId="1981" priority="4326" operator="lessThan">
      <formula>0</formula>
    </cfRule>
  </conditionalFormatting>
  <conditionalFormatting sqref="H1:H1048576">
    <cfRule type="cellIs" dxfId="1980" priority="4325" operator="lessThan">
      <formula>0</formula>
    </cfRule>
  </conditionalFormatting>
  <conditionalFormatting sqref="H1:H1048576">
    <cfRule type="cellIs" dxfId="1979" priority="4324" operator="lessThan">
      <formula>0</formula>
    </cfRule>
  </conditionalFormatting>
  <conditionalFormatting sqref="H1:H1048576">
    <cfRule type="cellIs" dxfId="1978" priority="4323" operator="lessThan">
      <formula>0</formula>
    </cfRule>
  </conditionalFormatting>
  <conditionalFormatting sqref="H1:H1048576">
    <cfRule type="cellIs" dxfId="1977" priority="4322" operator="lessThan">
      <formula>0</formula>
    </cfRule>
  </conditionalFormatting>
  <conditionalFormatting sqref="H1:H1048576">
    <cfRule type="cellIs" dxfId="1976" priority="4321" operator="lessThan">
      <formula>0</formula>
    </cfRule>
  </conditionalFormatting>
  <conditionalFormatting sqref="H1:H1048576">
    <cfRule type="cellIs" dxfId="1975" priority="4320" operator="lessThan">
      <formula>0</formula>
    </cfRule>
  </conditionalFormatting>
  <conditionalFormatting sqref="H1:H1048576">
    <cfRule type="cellIs" dxfId="1974" priority="4319" operator="lessThan">
      <formula>0</formula>
    </cfRule>
  </conditionalFormatting>
  <conditionalFormatting sqref="H1:H1048576">
    <cfRule type="cellIs" dxfId="1973" priority="4318" operator="lessThan">
      <formula>0</formula>
    </cfRule>
  </conditionalFormatting>
  <conditionalFormatting sqref="H1:H1048576">
    <cfRule type="cellIs" dxfId="1972" priority="4317" operator="lessThan">
      <formula>0</formula>
    </cfRule>
  </conditionalFormatting>
  <conditionalFormatting sqref="H1:H1048576">
    <cfRule type="cellIs" dxfId="1971" priority="4316" operator="lessThan">
      <formula>0</formula>
    </cfRule>
  </conditionalFormatting>
  <conditionalFormatting sqref="H1:H1048576">
    <cfRule type="cellIs" dxfId="1970" priority="4315" operator="lessThan">
      <formula>0</formula>
    </cfRule>
  </conditionalFormatting>
  <conditionalFormatting sqref="H1:H1048576">
    <cfRule type="cellIs" dxfId="1969" priority="4314" operator="lessThan">
      <formula>0</formula>
    </cfRule>
  </conditionalFormatting>
  <conditionalFormatting sqref="H1:H1048576">
    <cfRule type="cellIs" dxfId="1968" priority="4313" operator="lessThan">
      <formula>0</formula>
    </cfRule>
  </conditionalFormatting>
  <conditionalFormatting sqref="H1:H1048576">
    <cfRule type="cellIs" dxfId="1967" priority="4312" operator="lessThan">
      <formula>0</formula>
    </cfRule>
  </conditionalFormatting>
  <conditionalFormatting sqref="H1:H1048576">
    <cfRule type="cellIs" dxfId="1966" priority="4311" operator="lessThan">
      <formula>0</formula>
    </cfRule>
  </conditionalFormatting>
  <conditionalFormatting sqref="H1:H1048576">
    <cfRule type="cellIs" dxfId="1965" priority="4310" operator="lessThan">
      <formula>0</formula>
    </cfRule>
  </conditionalFormatting>
  <conditionalFormatting sqref="H1:H1048576">
    <cfRule type="cellIs" dxfId="1964" priority="4309" operator="lessThan">
      <formula>0</formula>
    </cfRule>
  </conditionalFormatting>
  <conditionalFormatting sqref="H1:H1048576">
    <cfRule type="cellIs" dxfId="1963" priority="4308" operator="lessThan">
      <formula>0</formula>
    </cfRule>
  </conditionalFormatting>
  <conditionalFormatting sqref="H1:H1048576">
    <cfRule type="cellIs" dxfId="1962" priority="4307" operator="lessThan">
      <formula>0</formula>
    </cfRule>
  </conditionalFormatting>
  <conditionalFormatting sqref="H1:H1048576">
    <cfRule type="cellIs" dxfId="1961" priority="4306" operator="lessThan">
      <formula>0</formula>
    </cfRule>
  </conditionalFormatting>
  <conditionalFormatting sqref="H1:H1048576">
    <cfRule type="cellIs" dxfId="1960" priority="4305" operator="lessThan">
      <formula>0</formula>
    </cfRule>
  </conditionalFormatting>
  <conditionalFormatting sqref="H1:H1048576">
    <cfRule type="cellIs" dxfId="1959" priority="4304" operator="lessThan">
      <formula>0</formula>
    </cfRule>
  </conditionalFormatting>
  <conditionalFormatting sqref="H1:H1048576">
    <cfRule type="cellIs" dxfId="1958" priority="4303" operator="lessThan">
      <formula>0</formula>
    </cfRule>
  </conditionalFormatting>
  <conditionalFormatting sqref="H1:H1048576">
    <cfRule type="cellIs" dxfId="1957" priority="4302" operator="lessThan">
      <formula>0</formula>
    </cfRule>
  </conditionalFormatting>
  <conditionalFormatting sqref="H1:H1048576">
    <cfRule type="cellIs" dxfId="1956" priority="4301" operator="lessThan">
      <formula>0</formula>
    </cfRule>
  </conditionalFormatting>
  <conditionalFormatting sqref="H1:H1048576">
    <cfRule type="cellIs" dxfId="1955" priority="4300" operator="lessThan">
      <formula>0</formula>
    </cfRule>
  </conditionalFormatting>
  <conditionalFormatting sqref="H1:H1048576">
    <cfRule type="cellIs" dxfId="1954" priority="4299" operator="lessThan">
      <formula>0</formula>
    </cfRule>
  </conditionalFormatting>
  <conditionalFormatting sqref="H1:H1048576">
    <cfRule type="cellIs" dxfId="1953" priority="4298" operator="lessThan">
      <formula>0</formula>
    </cfRule>
  </conditionalFormatting>
  <conditionalFormatting sqref="H1:H1048576">
    <cfRule type="cellIs" dxfId="1952" priority="4297" operator="lessThan">
      <formula>0</formula>
    </cfRule>
  </conditionalFormatting>
  <conditionalFormatting sqref="H1:H1048576">
    <cfRule type="cellIs" dxfId="1951" priority="4296" operator="lessThan">
      <formula>0</formula>
    </cfRule>
  </conditionalFormatting>
  <conditionalFormatting sqref="I34">
    <cfRule type="cellIs" dxfId="1950" priority="1935" operator="lessThan">
      <formula>0</formula>
    </cfRule>
  </conditionalFormatting>
  <conditionalFormatting sqref="I34">
    <cfRule type="cellIs" dxfId="1949" priority="1934" operator="lessThan">
      <formula>0</formula>
    </cfRule>
  </conditionalFormatting>
  <conditionalFormatting sqref="I34">
    <cfRule type="cellIs" dxfId="1948" priority="1933" operator="lessThan">
      <formula>0</formula>
    </cfRule>
  </conditionalFormatting>
  <conditionalFormatting sqref="I34">
    <cfRule type="cellIs" dxfId="1947" priority="1932" operator="lessThan">
      <formula>0</formula>
    </cfRule>
  </conditionalFormatting>
  <conditionalFormatting sqref="I34">
    <cfRule type="cellIs" dxfId="1946" priority="1931" operator="lessThan">
      <formula>0</formula>
    </cfRule>
  </conditionalFormatting>
  <conditionalFormatting sqref="I34">
    <cfRule type="cellIs" dxfId="1945" priority="1930" operator="lessThan">
      <formula>0</formula>
    </cfRule>
  </conditionalFormatting>
  <conditionalFormatting sqref="I34">
    <cfRule type="cellIs" dxfId="1944" priority="1929" operator="lessThan">
      <formula>0</formula>
    </cfRule>
  </conditionalFormatting>
  <conditionalFormatting sqref="I34">
    <cfRule type="cellIs" dxfId="1943" priority="1928" operator="lessThan">
      <formula>0</formula>
    </cfRule>
  </conditionalFormatting>
  <conditionalFormatting sqref="I34">
    <cfRule type="cellIs" dxfId="1942" priority="1927" operator="lessThan">
      <formula>0</formula>
    </cfRule>
  </conditionalFormatting>
  <conditionalFormatting sqref="I34">
    <cfRule type="cellIs" dxfId="1941" priority="1926" operator="lessThan">
      <formula>0</formula>
    </cfRule>
  </conditionalFormatting>
  <conditionalFormatting sqref="I34">
    <cfRule type="cellIs" dxfId="1940" priority="1925" operator="lessThan">
      <formula>0</formula>
    </cfRule>
  </conditionalFormatting>
  <conditionalFormatting sqref="I34">
    <cfRule type="cellIs" dxfId="1939" priority="1924" operator="lessThan">
      <formula>0</formula>
    </cfRule>
  </conditionalFormatting>
  <conditionalFormatting sqref="I34">
    <cfRule type="cellIs" dxfId="1938" priority="1923" operator="lessThan">
      <formula>0</formula>
    </cfRule>
  </conditionalFormatting>
  <conditionalFormatting sqref="I34">
    <cfRule type="cellIs" dxfId="1937" priority="1922" operator="lessThan">
      <formula>0</formula>
    </cfRule>
  </conditionalFormatting>
  <conditionalFormatting sqref="I34">
    <cfRule type="cellIs" dxfId="1936" priority="1921" operator="lessThan">
      <formula>0</formula>
    </cfRule>
  </conditionalFormatting>
  <conditionalFormatting sqref="I34">
    <cfRule type="cellIs" dxfId="1935" priority="1920" operator="lessThan">
      <formula>0</formula>
    </cfRule>
  </conditionalFormatting>
  <conditionalFormatting sqref="I34">
    <cfRule type="cellIs" dxfId="1934" priority="1919" operator="lessThan">
      <formula>0</formula>
    </cfRule>
  </conditionalFormatting>
  <conditionalFormatting sqref="I34">
    <cfRule type="cellIs" dxfId="1933" priority="1918" operator="lessThan">
      <formula>0</formula>
    </cfRule>
  </conditionalFormatting>
  <conditionalFormatting sqref="I34">
    <cfRule type="cellIs" dxfId="1932" priority="1917" operator="lessThan">
      <formula>0</formula>
    </cfRule>
  </conditionalFormatting>
  <conditionalFormatting sqref="I34">
    <cfRule type="cellIs" dxfId="1931" priority="1916" operator="lessThan">
      <formula>0</formula>
    </cfRule>
  </conditionalFormatting>
  <conditionalFormatting sqref="I34">
    <cfRule type="cellIs" dxfId="1930" priority="1915" operator="lessThan">
      <formula>0</formula>
    </cfRule>
  </conditionalFormatting>
  <conditionalFormatting sqref="I34">
    <cfRule type="cellIs" dxfId="1929" priority="1914" operator="lessThan">
      <formula>0</formula>
    </cfRule>
  </conditionalFormatting>
  <conditionalFormatting sqref="I34">
    <cfRule type="cellIs" dxfId="1928" priority="1913" operator="lessThan">
      <formula>0</formula>
    </cfRule>
  </conditionalFormatting>
  <conditionalFormatting sqref="I34">
    <cfRule type="cellIs" dxfId="1927" priority="1912" operator="lessThan">
      <formula>0</formula>
    </cfRule>
  </conditionalFormatting>
  <conditionalFormatting sqref="I34">
    <cfRule type="cellIs" dxfId="1926" priority="1911" operator="lessThan">
      <formula>0</formula>
    </cfRule>
  </conditionalFormatting>
  <conditionalFormatting sqref="I34">
    <cfRule type="cellIs" dxfId="1925" priority="1910" operator="lessThan">
      <formula>0</formula>
    </cfRule>
  </conditionalFormatting>
  <conditionalFormatting sqref="I34">
    <cfRule type="cellIs" dxfId="1924" priority="1909" operator="lessThan">
      <formula>0</formula>
    </cfRule>
  </conditionalFormatting>
  <conditionalFormatting sqref="I34">
    <cfRule type="cellIs" dxfId="1923" priority="1908" operator="lessThan">
      <formula>0</formula>
    </cfRule>
  </conditionalFormatting>
  <conditionalFormatting sqref="I34">
    <cfRule type="cellIs" dxfId="1922" priority="1907" operator="lessThan">
      <formula>0</formula>
    </cfRule>
  </conditionalFormatting>
  <conditionalFormatting sqref="I34">
    <cfRule type="cellIs" dxfId="1921" priority="1906" operator="lessThan">
      <formula>0</formula>
    </cfRule>
  </conditionalFormatting>
  <conditionalFormatting sqref="I34">
    <cfRule type="cellIs" dxfId="1920" priority="1905" operator="lessThan">
      <formula>0</formula>
    </cfRule>
  </conditionalFormatting>
  <conditionalFormatting sqref="I34">
    <cfRule type="cellIs" dxfId="1919" priority="1904" operator="lessThan">
      <formula>0</formula>
    </cfRule>
  </conditionalFormatting>
  <conditionalFormatting sqref="I34">
    <cfRule type="cellIs" dxfId="1918" priority="1903" operator="lessThan">
      <formula>0</formula>
    </cfRule>
  </conditionalFormatting>
  <conditionalFormatting sqref="I34">
    <cfRule type="cellIs" dxfId="1917" priority="1902" operator="lessThan">
      <formula>0</formula>
    </cfRule>
  </conditionalFormatting>
  <conditionalFormatting sqref="I34">
    <cfRule type="cellIs" dxfId="1916" priority="1901" operator="lessThan">
      <formula>0</formula>
    </cfRule>
  </conditionalFormatting>
  <conditionalFormatting sqref="I34">
    <cfRule type="cellIs" dxfId="1915" priority="1900" operator="lessThan">
      <formula>0</formula>
    </cfRule>
  </conditionalFormatting>
  <conditionalFormatting sqref="I34">
    <cfRule type="cellIs" dxfId="1914" priority="1899" operator="lessThan">
      <formula>0</formula>
    </cfRule>
  </conditionalFormatting>
  <conditionalFormatting sqref="I34">
    <cfRule type="cellIs" dxfId="1913" priority="1898" operator="lessThan">
      <formula>0</formula>
    </cfRule>
  </conditionalFormatting>
  <conditionalFormatting sqref="I34">
    <cfRule type="cellIs" dxfId="1912" priority="1897" operator="lessThan">
      <formula>0</formula>
    </cfRule>
  </conditionalFormatting>
  <conditionalFormatting sqref="I34">
    <cfRule type="cellIs" dxfId="1911" priority="1896" operator="lessThan">
      <formula>0</formula>
    </cfRule>
  </conditionalFormatting>
  <conditionalFormatting sqref="I34">
    <cfRule type="cellIs" dxfId="1910" priority="1895" operator="lessThan">
      <formula>0</formula>
    </cfRule>
  </conditionalFormatting>
  <conditionalFormatting sqref="I34">
    <cfRule type="cellIs" dxfId="1909" priority="1894" operator="lessThan">
      <formula>0</formula>
    </cfRule>
  </conditionalFormatting>
  <conditionalFormatting sqref="I34">
    <cfRule type="cellIs" dxfId="1908" priority="1893" operator="lessThan">
      <formula>0</formula>
    </cfRule>
  </conditionalFormatting>
  <conditionalFormatting sqref="I34">
    <cfRule type="cellIs" dxfId="1907" priority="1892" operator="lessThan">
      <formula>0</formula>
    </cfRule>
  </conditionalFormatting>
  <conditionalFormatting sqref="I34">
    <cfRule type="cellIs" dxfId="1906" priority="1891" operator="lessThan">
      <formula>0</formula>
    </cfRule>
  </conditionalFormatting>
  <conditionalFormatting sqref="I34">
    <cfRule type="cellIs" dxfId="1905" priority="1890" operator="lessThan">
      <formula>0</formula>
    </cfRule>
  </conditionalFormatting>
  <conditionalFormatting sqref="I34">
    <cfRule type="cellIs" dxfId="1904" priority="1889" operator="lessThan">
      <formula>0</formula>
    </cfRule>
  </conditionalFormatting>
  <conditionalFormatting sqref="I34">
    <cfRule type="cellIs" dxfId="1903" priority="1888" operator="lessThan">
      <formula>0</formula>
    </cfRule>
  </conditionalFormatting>
  <conditionalFormatting sqref="I34">
    <cfRule type="cellIs" dxfId="1902" priority="1887" operator="lessThan">
      <formula>0</formula>
    </cfRule>
  </conditionalFormatting>
  <conditionalFormatting sqref="I34">
    <cfRule type="cellIs" dxfId="1901" priority="1886" operator="lessThan">
      <formula>0</formula>
    </cfRule>
  </conditionalFormatting>
  <conditionalFormatting sqref="I34">
    <cfRule type="cellIs" dxfId="1900" priority="1885" operator="lessThan">
      <formula>0</formula>
    </cfRule>
  </conditionalFormatting>
  <conditionalFormatting sqref="I34">
    <cfRule type="cellIs" dxfId="1899" priority="1884" operator="lessThan">
      <formula>0</formula>
    </cfRule>
  </conditionalFormatting>
  <conditionalFormatting sqref="I34">
    <cfRule type="cellIs" dxfId="1898" priority="1883" operator="lessThan">
      <formula>0</formula>
    </cfRule>
  </conditionalFormatting>
  <conditionalFormatting sqref="I34">
    <cfRule type="cellIs" dxfId="1897" priority="1882" operator="lessThan">
      <formula>0</formula>
    </cfRule>
  </conditionalFormatting>
  <conditionalFormatting sqref="I34">
    <cfRule type="cellIs" dxfId="1896" priority="1881" operator="lessThan">
      <formula>0</formula>
    </cfRule>
  </conditionalFormatting>
  <conditionalFormatting sqref="I34">
    <cfRule type="cellIs" dxfId="1895" priority="1880" operator="lessThan">
      <formula>0</formula>
    </cfRule>
  </conditionalFormatting>
  <conditionalFormatting sqref="I34">
    <cfRule type="cellIs" dxfId="1894" priority="1879" operator="lessThan">
      <formula>0</formula>
    </cfRule>
  </conditionalFormatting>
  <conditionalFormatting sqref="I34">
    <cfRule type="cellIs" dxfId="1893" priority="1878" operator="lessThan">
      <formula>0</formula>
    </cfRule>
  </conditionalFormatting>
  <conditionalFormatting sqref="I34">
    <cfRule type="cellIs" dxfId="1892" priority="1877" operator="lessThan">
      <formula>0</formula>
    </cfRule>
  </conditionalFormatting>
  <conditionalFormatting sqref="I34">
    <cfRule type="cellIs" dxfId="1891" priority="1876" operator="lessThan">
      <formula>0</formula>
    </cfRule>
  </conditionalFormatting>
  <conditionalFormatting sqref="I34">
    <cfRule type="cellIs" dxfId="1890" priority="1875" operator="lessThan">
      <formula>0</formula>
    </cfRule>
  </conditionalFormatting>
  <conditionalFormatting sqref="I34">
    <cfRule type="cellIs" dxfId="1889" priority="1874" operator="lessThan">
      <formula>0</formula>
    </cfRule>
  </conditionalFormatting>
  <conditionalFormatting sqref="I34">
    <cfRule type="cellIs" dxfId="1888" priority="1873" operator="lessThan">
      <formula>0</formula>
    </cfRule>
  </conditionalFormatting>
  <conditionalFormatting sqref="I34">
    <cfRule type="cellIs" dxfId="1887" priority="1872" operator="lessThan">
      <formula>0</formula>
    </cfRule>
  </conditionalFormatting>
  <conditionalFormatting sqref="I34">
    <cfRule type="cellIs" dxfId="1886" priority="1871" operator="lessThan">
      <formula>0</formula>
    </cfRule>
  </conditionalFormatting>
  <conditionalFormatting sqref="I34">
    <cfRule type="cellIs" dxfId="1885" priority="1870" operator="lessThan">
      <formula>0</formula>
    </cfRule>
  </conditionalFormatting>
  <conditionalFormatting sqref="I34">
    <cfRule type="cellIs" dxfId="1884" priority="1869" operator="lessThan">
      <formula>0</formula>
    </cfRule>
  </conditionalFormatting>
  <conditionalFormatting sqref="I34">
    <cfRule type="cellIs" dxfId="1883" priority="1868" operator="lessThan">
      <formula>0</formula>
    </cfRule>
  </conditionalFormatting>
  <conditionalFormatting sqref="I34">
    <cfRule type="cellIs" dxfId="1882" priority="1867" operator="lessThan">
      <formula>0</formula>
    </cfRule>
  </conditionalFormatting>
  <conditionalFormatting sqref="I34">
    <cfRule type="cellIs" dxfId="1881" priority="1866" operator="lessThan">
      <formula>0</formula>
    </cfRule>
  </conditionalFormatting>
  <conditionalFormatting sqref="I34">
    <cfRule type="cellIs" dxfId="1880" priority="1865" operator="lessThan">
      <formula>0</formula>
    </cfRule>
  </conditionalFormatting>
  <conditionalFormatting sqref="I34">
    <cfRule type="cellIs" dxfId="1879" priority="1864" operator="lessThan">
      <formula>0</formula>
    </cfRule>
  </conditionalFormatting>
  <conditionalFormatting sqref="I34">
    <cfRule type="cellIs" dxfId="1878" priority="1863" operator="lessThan">
      <formula>0</formula>
    </cfRule>
  </conditionalFormatting>
  <conditionalFormatting sqref="I34">
    <cfRule type="cellIs" dxfId="1877" priority="1862" operator="lessThan">
      <formula>0</formula>
    </cfRule>
  </conditionalFormatting>
  <conditionalFormatting sqref="I34">
    <cfRule type="cellIs" dxfId="1876" priority="1861" operator="lessThan">
      <formula>0</formula>
    </cfRule>
  </conditionalFormatting>
  <conditionalFormatting sqref="I34">
    <cfRule type="cellIs" dxfId="1875" priority="1860" operator="lessThan">
      <formula>0</formula>
    </cfRule>
  </conditionalFormatting>
  <conditionalFormatting sqref="I34">
    <cfRule type="cellIs" dxfId="1874" priority="1859" operator="lessThan">
      <formula>0</formula>
    </cfRule>
  </conditionalFormatting>
  <conditionalFormatting sqref="I34">
    <cfRule type="cellIs" dxfId="1873" priority="1858" operator="lessThan">
      <formula>0</formula>
    </cfRule>
  </conditionalFormatting>
  <conditionalFormatting sqref="I34">
    <cfRule type="cellIs" dxfId="1872" priority="1857" operator="lessThan">
      <formula>0</formula>
    </cfRule>
  </conditionalFormatting>
  <conditionalFormatting sqref="I34">
    <cfRule type="cellIs" dxfId="1871" priority="1856" operator="lessThan">
      <formula>0</formula>
    </cfRule>
  </conditionalFormatting>
  <conditionalFormatting sqref="I34">
    <cfRule type="cellIs" dxfId="1870" priority="1855" operator="lessThan">
      <formula>0</formula>
    </cfRule>
  </conditionalFormatting>
  <conditionalFormatting sqref="I34">
    <cfRule type="cellIs" dxfId="1869" priority="1854" operator="lessThan">
      <formula>0</formula>
    </cfRule>
  </conditionalFormatting>
  <conditionalFormatting sqref="I34">
    <cfRule type="cellIs" dxfId="1868" priority="1853" operator="lessThan">
      <formula>0</formula>
    </cfRule>
  </conditionalFormatting>
  <conditionalFormatting sqref="I34">
    <cfRule type="cellIs" dxfId="1867" priority="1852" operator="lessThan">
      <formula>0</formula>
    </cfRule>
  </conditionalFormatting>
  <conditionalFormatting sqref="I34">
    <cfRule type="cellIs" dxfId="1866" priority="1851" operator="lessThan">
      <formula>0</formula>
    </cfRule>
  </conditionalFormatting>
  <conditionalFormatting sqref="I34">
    <cfRule type="cellIs" dxfId="1865" priority="1850" operator="lessThan">
      <formula>0</formula>
    </cfRule>
  </conditionalFormatting>
  <conditionalFormatting sqref="I34">
    <cfRule type="cellIs" dxfId="1864" priority="1849" operator="lessThan">
      <formula>0</formula>
    </cfRule>
  </conditionalFormatting>
  <conditionalFormatting sqref="I34">
    <cfRule type="cellIs" dxfId="1863" priority="1848" operator="lessThan">
      <formula>0</formula>
    </cfRule>
  </conditionalFormatting>
  <conditionalFormatting sqref="I34">
    <cfRule type="cellIs" dxfId="1862" priority="1847" operator="lessThan">
      <formula>0</formula>
    </cfRule>
  </conditionalFormatting>
  <conditionalFormatting sqref="I34">
    <cfRule type="cellIs" dxfId="1861" priority="1846" operator="lessThan">
      <formula>0</formula>
    </cfRule>
  </conditionalFormatting>
  <conditionalFormatting sqref="I34">
    <cfRule type="cellIs" dxfId="1860" priority="1845" operator="lessThan">
      <formula>0</formula>
    </cfRule>
  </conditionalFormatting>
  <conditionalFormatting sqref="I34">
    <cfRule type="cellIs" dxfId="1859" priority="1844" operator="lessThan">
      <formula>0</formula>
    </cfRule>
  </conditionalFormatting>
  <conditionalFormatting sqref="I34">
    <cfRule type="cellIs" dxfId="1858" priority="1843" operator="lessThan">
      <formula>0</formula>
    </cfRule>
  </conditionalFormatting>
  <conditionalFormatting sqref="I34">
    <cfRule type="cellIs" dxfId="1857" priority="1842" operator="lessThan">
      <formula>0</formula>
    </cfRule>
  </conditionalFormatting>
  <conditionalFormatting sqref="I34">
    <cfRule type="cellIs" dxfId="1856" priority="1841" operator="lessThan">
      <formula>0</formula>
    </cfRule>
  </conditionalFormatting>
  <conditionalFormatting sqref="I34">
    <cfRule type="cellIs" dxfId="1855" priority="1840" operator="lessThan">
      <formula>0</formula>
    </cfRule>
  </conditionalFormatting>
  <conditionalFormatting sqref="I34">
    <cfRule type="cellIs" dxfId="1854" priority="1839" operator="lessThan">
      <formula>0</formula>
    </cfRule>
  </conditionalFormatting>
  <conditionalFormatting sqref="I34">
    <cfRule type="cellIs" dxfId="1853" priority="1838" operator="lessThan">
      <formula>0</formula>
    </cfRule>
  </conditionalFormatting>
  <conditionalFormatting sqref="I34">
    <cfRule type="cellIs" dxfId="1852" priority="1837" operator="lessThan">
      <formula>0</formula>
    </cfRule>
  </conditionalFormatting>
  <conditionalFormatting sqref="I34">
    <cfRule type="cellIs" dxfId="1851" priority="1836" operator="lessThan">
      <formula>0</formula>
    </cfRule>
  </conditionalFormatting>
  <conditionalFormatting sqref="I34">
    <cfRule type="cellIs" dxfId="1850" priority="1835" operator="lessThan">
      <formula>0</formula>
    </cfRule>
  </conditionalFormatting>
  <conditionalFormatting sqref="I34">
    <cfRule type="cellIs" dxfId="1849" priority="1834" operator="lessThan">
      <formula>0</formula>
    </cfRule>
  </conditionalFormatting>
  <conditionalFormatting sqref="I34">
    <cfRule type="cellIs" dxfId="1848" priority="1833" operator="lessThan">
      <formula>0</formula>
    </cfRule>
  </conditionalFormatting>
  <conditionalFormatting sqref="I34">
    <cfRule type="cellIs" dxfId="1847" priority="1832" operator="lessThan">
      <formula>0</formula>
    </cfRule>
  </conditionalFormatting>
  <conditionalFormatting sqref="I34">
    <cfRule type="cellIs" dxfId="1846" priority="1831" operator="lessThan">
      <formula>0</formula>
    </cfRule>
  </conditionalFormatting>
  <conditionalFormatting sqref="I34">
    <cfRule type="cellIs" dxfId="1845" priority="1830" operator="lessThan">
      <formula>0</formula>
    </cfRule>
  </conditionalFormatting>
  <conditionalFormatting sqref="I34">
    <cfRule type="cellIs" dxfId="1844" priority="1829" operator="lessThan">
      <formula>0</formula>
    </cfRule>
  </conditionalFormatting>
  <conditionalFormatting sqref="I34">
    <cfRule type="cellIs" dxfId="1843" priority="1828" operator="lessThan">
      <formula>0</formula>
    </cfRule>
  </conditionalFormatting>
  <conditionalFormatting sqref="I34">
    <cfRule type="cellIs" dxfId="1842" priority="1827" operator="lessThan">
      <formula>0</formula>
    </cfRule>
  </conditionalFormatting>
  <conditionalFormatting sqref="I34">
    <cfRule type="cellIs" dxfId="1841" priority="1826" operator="lessThan">
      <formula>0</formula>
    </cfRule>
  </conditionalFormatting>
  <conditionalFormatting sqref="I34">
    <cfRule type="cellIs" dxfId="1840" priority="1825" operator="lessThan">
      <formula>0</formula>
    </cfRule>
  </conditionalFormatting>
  <conditionalFormatting sqref="I34">
    <cfRule type="cellIs" dxfId="1839" priority="1824" operator="lessThan">
      <formula>0</formula>
    </cfRule>
  </conditionalFormatting>
  <conditionalFormatting sqref="I34">
    <cfRule type="cellIs" dxfId="1838" priority="1823" operator="lessThan">
      <formula>0</formula>
    </cfRule>
  </conditionalFormatting>
  <conditionalFormatting sqref="I34">
    <cfRule type="cellIs" dxfId="1837" priority="1822" operator="lessThan">
      <formula>0</formula>
    </cfRule>
  </conditionalFormatting>
  <conditionalFormatting sqref="I34">
    <cfRule type="cellIs" dxfId="1836" priority="1821" operator="lessThan">
      <formula>0</formula>
    </cfRule>
  </conditionalFormatting>
  <conditionalFormatting sqref="I34">
    <cfRule type="cellIs" dxfId="1835" priority="1820" operator="lessThan">
      <formula>0</formula>
    </cfRule>
  </conditionalFormatting>
  <conditionalFormatting sqref="I34">
    <cfRule type="cellIs" dxfId="1834" priority="1819" operator="lessThan">
      <formula>0</formula>
    </cfRule>
  </conditionalFormatting>
  <conditionalFormatting sqref="I34">
    <cfRule type="cellIs" dxfId="1833" priority="1818" operator="lessThan">
      <formula>0</formula>
    </cfRule>
  </conditionalFormatting>
  <conditionalFormatting sqref="I34">
    <cfRule type="cellIs" dxfId="1832" priority="1817" operator="lessThan">
      <formula>0</formula>
    </cfRule>
  </conditionalFormatting>
  <conditionalFormatting sqref="I34">
    <cfRule type="cellIs" dxfId="1831" priority="1816" operator="lessThan">
      <formula>0</formula>
    </cfRule>
  </conditionalFormatting>
  <conditionalFormatting sqref="I34">
    <cfRule type="cellIs" dxfId="1830" priority="1815" operator="lessThan">
      <formula>0</formula>
    </cfRule>
  </conditionalFormatting>
  <conditionalFormatting sqref="I34">
    <cfRule type="cellIs" dxfId="1829" priority="1814" operator="lessThan">
      <formula>0</formula>
    </cfRule>
  </conditionalFormatting>
  <conditionalFormatting sqref="I34">
    <cfRule type="cellIs" dxfId="1828" priority="1813" operator="lessThan">
      <formula>0</formula>
    </cfRule>
  </conditionalFormatting>
  <conditionalFormatting sqref="I34">
    <cfRule type="cellIs" dxfId="1827" priority="1812" operator="lessThan">
      <formula>0</formula>
    </cfRule>
  </conditionalFormatting>
  <conditionalFormatting sqref="I34">
    <cfRule type="cellIs" dxfId="1826" priority="1811" operator="lessThan">
      <formula>0</formula>
    </cfRule>
  </conditionalFormatting>
  <conditionalFormatting sqref="I34">
    <cfRule type="cellIs" dxfId="1825" priority="1810" operator="lessThan">
      <formula>0</formula>
    </cfRule>
  </conditionalFormatting>
  <conditionalFormatting sqref="I34">
    <cfRule type="cellIs" dxfId="1824" priority="1809" operator="lessThan">
      <formula>0</formula>
    </cfRule>
  </conditionalFormatting>
  <conditionalFormatting sqref="I34">
    <cfRule type="cellIs" dxfId="1823" priority="1808" operator="lessThan">
      <formula>0</formula>
    </cfRule>
  </conditionalFormatting>
  <conditionalFormatting sqref="I34">
    <cfRule type="cellIs" dxfId="1822" priority="1807" operator="lessThan">
      <formula>0</formula>
    </cfRule>
  </conditionalFormatting>
  <conditionalFormatting sqref="I34">
    <cfRule type="cellIs" dxfId="1821" priority="1806" operator="lessThan">
      <formula>0</formula>
    </cfRule>
  </conditionalFormatting>
  <conditionalFormatting sqref="I34">
    <cfRule type="cellIs" dxfId="1820" priority="1805" operator="lessThan">
      <formula>0</formula>
    </cfRule>
  </conditionalFormatting>
  <conditionalFormatting sqref="I34">
    <cfRule type="cellIs" dxfId="1819" priority="1804" operator="lessThan">
      <formula>0</formula>
    </cfRule>
  </conditionalFormatting>
  <conditionalFormatting sqref="I34">
    <cfRule type="cellIs" dxfId="1818" priority="1803" operator="lessThan">
      <formula>0</formula>
    </cfRule>
  </conditionalFormatting>
  <conditionalFormatting sqref="I34">
    <cfRule type="cellIs" dxfId="1817" priority="1802" operator="lessThan">
      <formula>0</formula>
    </cfRule>
  </conditionalFormatting>
  <conditionalFormatting sqref="I34">
    <cfRule type="cellIs" dxfId="1816" priority="1801" operator="lessThan">
      <formula>0</formula>
    </cfRule>
  </conditionalFormatting>
  <conditionalFormatting sqref="I34">
    <cfRule type="cellIs" dxfId="1815" priority="1800" operator="lessThan">
      <formula>0</formula>
    </cfRule>
  </conditionalFormatting>
  <conditionalFormatting sqref="I34">
    <cfRule type="cellIs" dxfId="1814" priority="1799" operator="lessThan">
      <formula>0</formula>
    </cfRule>
  </conditionalFormatting>
  <conditionalFormatting sqref="I34">
    <cfRule type="cellIs" dxfId="1813" priority="1798" operator="lessThan">
      <formula>0</formula>
    </cfRule>
  </conditionalFormatting>
  <conditionalFormatting sqref="I34">
    <cfRule type="cellIs" dxfId="1812" priority="1797" operator="lessThan">
      <formula>0</formula>
    </cfRule>
  </conditionalFormatting>
  <conditionalFormatting sqref="I34">
    <cfRule type="cellIs" dxfId="1811" priority="1796" operator="lessThan">
      <formula>0</formula>
    </cfRule>
  </conditionalFormatting>
  <conditionalFormatting sqref="I34">
    <cfRule type="cellIs" dxfId="1810" priority="1795" operator="lessThan">
      <formula>0</formula>
    </cfRule>
  </conditionalFormatting>
  <conditionalFormatting sqref="I34">
    <cfRule type="cellIs" dxfId="1809" priority="1794" operator="lessThan">
      <formula>0</formula>
    </cfRule>
  </conditionalFormatting>
  <conditionalFormatting sqref="I34">
    <cfRule type="cellIs" dxfId="1808" priority="1793" operator="lessThan">
      <formula>0</formula>
    </cfRule>
  </conditionalFormatting>
  <conditionalFormatting sqref="I34">
    <cfRule type="cellIs" dxfId="1807" priority="1792" operator="lessThan">
      <formula>0</formula>
    </cfRule>
  </conditionalFormatting>
  <conditionalFormatting sqref="I34">
    <cfRule type="cellIs" dxfId="1806" priority="1791" operator="lessThan">
      <formula>0</formula>
    </cfRule>
  </conditionalFormatting>
  <conditionalFormatting sqref="I34">
    <cfRule type="cellIs" dxfId="1805" priority="1790" operator="lessThan">
      <formula>0</formula>
    </cfRule>
  </conditionalFormatting>
  <conditionalFormatting sqref="I34">
    <cfRule type="cellIs" dxfId="1804" priority="1789" operator="lessThan">
      <formula>0</formula>
    </cfRule>
  </conditionalFormatting>
  <conditionalFormatting sqref="I34">
    <cfRule type="cellIs" dxfId="1803" priority="1788" operator="lessThan">
      <formula>0</formula>
    </cfRule>
  </conditionalFormatting>
  <conditionalFormatting sqref="I34">
    <cfRule type="cellIs" dxfId="1802" priority="1787" operator="lessThan">
      <formula>0</formula>
    </cfRule>
  </conditionalFormatting>
  <conditionalFormatting sqref="I34">
    <cfRule type="cellIs" dxfId="1801" priority="1786" operator="lessThan">
      <formula>0</formula>
    </cfRule>
  </conditionalFormatting>
  <conditionalFormatting sqref="I34">
    <cfRule type="cellIs" dxfId="1800" priority="1785" operator="lessThan">
      <formula>0</formula>
    </cfRule>
  </conditionalFormatting>
  <conditionalFormatting sqref="I34">
    <cfRule type="cellIs" dxfId="1799" priority="1784" operator="lessThan">
      <formula>0</formula>
    </cfRule>
  </conditionalFormatting>
  <conditionalFormatting sqref="I34">
    <cfRule type="cellIs" dxfId="1798" priority="1783" operator="lessThan">
      <formula>0</formula>
    </cfRule>
  </conditionalFormatting>
  <conditionalFormatting sqref="I34">
    <cfRule type="cellIs" dxfId="1797" priority="1782" operator="lessThan">
      <formula>0</formula>
    </cfRule>
  </conditionalFormatting>
  <conditionalFormatting sqref="I34">
    <cfRule type="cellIs" dxfId="1796" priority="1781" operator="lessThan">
      <formula>0</formula>
    </cfRule>
  </conditionalFormatting>
  <conditionalFormatting sqref="I34">
    <cfRule type="cellIs" dxfId="1795" priority="1780" operator="lessThan">
      <formula>0</formula>
    </cfRule>
  </conditionalFormatting>
  <conditionalFormatting sqref="I34">
    <cfRule type="cellIs" dxfId="1794" priority="1779" operator="lessThan">
      <formula>0</formula>
    </cfRule>
  </conditionalFormatting>
  <conditionalFormatting sqref="I34">
    <cfRule type="cellIs" dxfId="1793" priority="1778" operator="lessThan">
      <formula>0</formula>
    </cfRule>
  </conditionalFormatting>
  <conditionalFormatting sqref="I34">
    <cfRule type="cellIs" dxfId="1792" priority="1777" operator="lessThan">
      <formula>0</formula>
    </cfRule>
  </conditionalFormatting>
  <conditionalFormatting sqref="I34">
    <cfRule type="cellIs" dxfId="1791" priority="1776" operator="lessThan">
      <formula>0</formula>
    </cfRule>
  </conditionalFormatting>
  <conditionalFormatting sqref="I34">
    <cfRule type="cellIs" dxfId="1790" priority="1775" operator="lessThan">
      <formula>0</formula>
    </cfRule>
  </conditionalFormatting>
  <conditionalFormatting sqref="I34">
    <cfRule type="cellIs" dxfId="1789" priority="1774" operator="lessThan">
      <formula>0</formula>
    </cfRule>
  </conditionalFormatting>
  <conditionalFormatting sqref="I34">
    <cfRule type="cellIs" dxfId="1788" priority="1773" operator="lessThan">
      <formula>0</formula>
    </cfRule>
  </conditionalFormatting>
  <conditionalFormatting sqref="I34">
    <cfRule type="cellIs" dxfId="1787" priority="1772" operator="lessThan">
      <formula>0</formula>
    </cfRule>
  </conditionalFormatting>
  <conditionalFormatting sqref="I34">
    <cfRule type="cellIs" dxfId="1786" priority="1771" operator="lessThan">
      <formula>0</formula>
    </cfRule>
  </conditionalFormatting>
  <conditionalFormatting sqref="I34">
    <cfRule type="cellIs" dxfId="1785" priority="1770" operator="lessThan">
      <formula>0</formula>
    </cfRule>
  </conditionalFormatting>
  <conditionalFormatting sqref="I34">
    <cfRule type="cellIs" dxfId="1784" priority="1769" operator="lessThan">
      <formula>0</formula>
    </cfRule>
  </conditionalFormatting>
  <conditionalFormatting sqref="I34">
    <cfRule type="cellIs" dxfId="1783" priority="1768" operator="lessThan">
      <formula>0</formula>
    </cfRule>
  </conditionalFormatting>
  <conditionalFormatting sqref="I34">
    <cfRule type="cellIs" dxfId="1782" priority="1767" operator="lessThan">
      <formula>0</formula>
    </cfRule>
  </conditionalFormatting>
  <conditionalFormatting sqref="I34">
    <cfRule type="cellIs" dxfId="1781" priority="1766" operator="lessThan">
      <formula>0</formula>
    </cfRule>
  </conditionalFormatting>
  <conditionalFormatting sqref="I34">
    <cfRule type="cellIs" dxfId="1780" priority="1765" operator="lessThan">
      <formula>0</formula>
    </cfRule>
  </conditionalFormatting>
  <conditionalFormatting sqref="I34">
    <cfRule type="cellIs" dxfId="1779" priority="1764" operator="lessThan">
      <formula>0</formula>
    </cfRule>
  </conditionalFormatting>
  <conditionalFormatting sqref="I34">
    <cfRule type="cellIs" dxfId="1778" priority="1763" operator="lessThan">
      <formula>0</formula>
    </cfRule>
  </conditionalFormatting>
  <conditionalFormatting sqref="I34">
    <cfRule type="cellIs" dxfId="1777" priority="1762" operator="lessThan">
      <formula>0</formula>
    </cfRule>
  </conditionalFormatting>
  <conditionalFormatting sqref="I34">
    <cfRule type="cellIs" dxfId="1776" priority="1761" operator="lessThan">
      <formula>0</formula>
    </cfRule>
  </conditionalFormatting>
  <conditionalFormatting sqref="I34">
    <cfRule type="cellIs" dxfId="1775" priority="1760" operator="lessThan">
      <formula>0</formula>
    </cfRule>
  </conditionalFormatting>
  <conditionalFormatting sqref="I34">
    <cfRule type="cellIs" dxfId="1774" priority="1759" operator="lessThan">
      <formula>0</formula>
    </cfRule>
  </conditionalFormatting>
  <conditionalFormatting sqref="I34">
    <cfRule type="cellIs" dxfId="1773" priority="1758" operator="lessThan">
      <formula>0</formula>
    </cfRule>
  </conditionalFormatting>
  <conditionalFormatting sqref="I34">
    <cfRule type="cellIs" dxfId="1772" priority="1757" operator="lessThan">
      <formula>0</formula>
    </cfRule>
  </conditionalFormatting>
  <conditionalFormatting sqref="I34">
    <cfRule type="cellIs" dxfId="1771" priority="1756" operator="lessThan">
      <formula>0</formula>
    </cfRule>
  </conditionalFormatting>
  <conditionalFormatting sqref="I34">
    <cfRule type="cellIs" dxfId="1770" priority="1755" operator="lessThan">
      <formula>0</formula>
    </cfRule>
  </conditionalFormatting>
  <conditionalFormatting sqref="I34">
    <cfRule type="cellIs" dxfId="1769" priority="1754" operator="lessThan">
      <formula>0</formula>
    </cfRule>
  </conditionalFormatting>
  <conditionalFormatting sqref="I34">
    <cfRule type="cellIs" dxfId="1768" priority="1753" operator="lessThan">
      <formula>0</formula>
    </cfRule>
  </conditionalFormatting>
  <conditionalFormatting sqref="I34">
    <cfRule type="cellIs" dxfId="1767" priority="1752" operator="lessThan">
      <formula>0</formula>
    </cfRule>
  </conditionalFormatting>
  <conditionalFormatting sqref="I34">
    <cfRule type="cellIs" dxfId="1766" priority="1751" operator="lessThan">
      <formula>0</formula>
    </cfRule>
  </conditionalFormatting>
  <conditionalFormatting sqref="I34">
    <cfRule type="cellIs" dxfId="1765" priority="1750" operator="lessThan">
      <formula>0</formula>
    </cfRule>
  </conditionalFormatting>
  <conditionalFormatting sqref="I34">
    <cfRule type="cellIs" dxfId="1764" priority="1749" operator="lessThan">
      <formula>0</formula>
    </cfRule>
  </conditionalFormatting>
  <conditionalFormatting sqref="I34">
    <cfRule type="cellIs" dxfId="1763" priority="1748" operator="lessThan">
      <formula>0</formula>
    </cfRule>
  </conditionalFormatting>
  <conditionalFormatting sqref="I34">
    <cfRule type="cellIs" dxfId="1762" priority="1747" operator="lessThan">
      <formula>0</formula>
    </cfRule>
  </conditionalFormatting>
  <conditionalFormatting sqref="I34">
    <cfRule type="cellIs" dxfId="1761" priority="1746" operator="lessThan">
      <formula>0</formula>
    </cfRule>
  </conditionalFormatting>
  <conditionalFormatting sqref="I34">
    <cfRule type="cellIs" dxfId="1760" priority="1745" operator="lessThan">
      <formula>0</formula>
    </cfRule>
  </conditionalFormatting>
  <conditionalFormatting sqref="I34">
    <cfRule type="cellIs" dxfId="1759" priority="1744" operator="lessThan">
      <formula>0</formula>
    </cfRule>
  </conditionalFormatting>
  <conditionalFormatting sqref="I34">
    <cfRule type="cellIs" dxfId="1758" priority="1743" operator="lessThan">
      <formula>0</formula>
    </cfRule>
  </conditionalFormatting>
  <conditionalFormatting sqref="I34">
    <cfRule type="cellIs" dxfId="1757" priority="1742" operator="lessThan">
      <formula>0</formula>
    </cfRule>
  </conditionalFormatting>
  <conditionalFormatting sqref="I34">
    <cfRule type="cellIs" dxfId="1756" priority="1741" operator="lessThan">
      <formula>0</formula>
    </cfRule>
  </conditionalFormatting>
  <conditionalFormatting sqref="I34">
    <cfRule type="cellIs" dxfId="1755" priority="1740" operator="lessThan">
      <formula>0</formula>
    </cfRule>
  </conditionalFormatting>
  <conditionalFormatting sqref="I34">
    <cfRule type="cellIs" dxfId="1754" priority="1739" operator="lessThan">
      <formula>0</formula>
    </cfRule>
  </conditionalFormatting>
  <conditionalFormatting sqref="I34">
    <cfRule type="cellIs" dxfId="1753" priority="1738" operator="lessThan">
      <formula>0</formula>
    </cfRule>
  </conditionalFormatting>
  <conditionalFormatting sqref="I34">
    <cfRule type="cellIs" dxfId="1752" priority="1737" operator="lessThan">
      <formula>0</formula>
    </cfRule>
  </conditionalFormatting>
  <conditionalFormatting sqref="I34">
    <cfRule type="cellIs" dxfId="1751" priority="1736" operator="lessThan">
      <formula>0</formula>
    </cfRule>
  </conditionalFormatting>
  <conditionalFormatting sqref="I34">
    <cfRule type="cellIs" dxfId="1750" priority="1735" operator="lessThan">
      <formula>0</formula>
    </cfRule>
  </conditionalFormatting>
  <conditionalFormatting sqref="I34">
    <cfRule type="cellIs" dxfId="1749" priority="1734" operator="lessThan">
      <formula>0</formula>
    </cfRule>
  </conditionalFormatting>
  <conditionalFormatting sqref="I34">
    <cfRule type="cellIs" dxfId="1748" priority="1733" operator="lessThan">
      <formula>0</formula>
    </cfRule>
  </conditionalFormatting>
  <conditionalFormatting sqref="I34">
    <cfRule type="cellIs" dxfId="1747" priority="1732" operator="lessThan">
      <formula>0</formula>
    </cfRule>
  </conditionalFormatting>
  <conditionalFormatting sqref="I34">
    <cfRule type="cellIs" dxfId="1746" priority="1731" operator="lessThan">
      <formula>0</formula>
    </cfRule>
  </conditionalFormatting>
  <conditionalFormatting sqref="I34">
    <cfRule type="cellIs" dxfId="1745" priority="1730" operator="lessThan">
      <formula>0</formula>
    </cfRule>
  </conditionalFormatting>
  <conditionalFormatting sqref="I34">
    <cfRule type="cellIs" dxfId="1744" priority="1729" operator="lessThan">
      <formula>0</formula>
    </cfRule>
  </conditionalFormatting>
  <conditionalFormatting sqref="I34">
    <cfRule type="cellIs" dxfId="1743" priority="1728" operator="lessThan">
      <formula>0</formula>
    </cfRule>
  </conditionalFormatting>
  <conditionalFormatting sqref="I34">
    <cfRule type="cellIs" dxfId="1742" priority="1727" operator="lessThan">
      <formula>0</formula>
    </cfRule>
  </conditionalFormatting>
  <conditionalFormatting sqref="I34">
    <cfRule type="cellIs" dxfId="1741" priority="1726" operator="lessThan">
      <formula>0</formula>
    </cfRule>
  </conditionalFormatting>
  <conditionalFormatting sqref="I34">
    <cfRule type="cellIs" dxfId="1740" priority="1725" operator="lessThan">
      <formula>0</formula>
    </cfRule>
  </conditionalFormatting>
  <conditionalFormatting sqref="I34">
    <cfRule type="cellIs" dxfId="1739" priority="1724" operator="lessThan">
      <formula>0</formula>
    </cfRule>
  </conditionalFormatting>
  <conditionalFormatting sqref="I34">
    <cfRule type="cellIs" dxfId="1738" priority="1723" operator="lessThan">
      <formula>0</formula>
    </cfRule>
  </conditionalFormatting>
  <conditionalFormatting sqref="I34">
    <cfRule type="cellIs" dxfId="1737" priority="1722" operator="lessThan">
      <formula>0</formula>
    </cfRule>
  </conditionalFormatting>
  <conditionalFormatting sqref="I34">
    <cfRule type="cellIs" dxfId="1736" priority="1721" operator="lessThan">
      <formula>0</formula>
    </cfRule>
  </conditionalFormatting>
  <conditionalFormatting sqref="I34">
    <cfRule type="cellIs" dxfId="1735" priority="1720" operator="lessThan">
      <formula>0</formula>
    </cfRule>
  </conditionalFormatting>
  <conditionalFormatting sqref="I34">
    <cfRule type="cellIs" dxfId="1734" priority="1719" operator="lessThan">
      <formula>0</formula>
    </cfRule>
  </conditionalFormatting>
  <conditionalFormatting sqref="I34">
    <cfRule type="cellIs" dxfId="1733" priority="1718" operator="lessThan">
      <formula>0</formula>
    </cfRule>
  </conditionalFormatting>
  <conditionalFormatting sqref="I34">
    <cfRule type="cellIs" dxfId="1732" priority="1717" operator="lessThan">
      <formula>0</formula>
    </cfRule>
  </conditionalFormatting>
  <conditionalFormatting sqref="I34">
    <cfRule type="cellIs" dxfId="1731" priority="1716" operator="lessThan">
      <formula>0</formula>
    </cfRule>
  </conditionalFormatting>
  <conditionalFormatting sqref="I34">
    <cfRule type="cellIs" dxfId="1730" priority="1715" operator="lessThan">
      <formula>0</formula>
    </cfRule>
  </conditionalFormatting>
  <conditionalFormatting sqref="I34">
    <cfRule type="cellIs" dxfId="1729" priority="1714" operator="lessThan">
      <formula>0</formula>
    </cfRule>
  </conditionalFormatting>
  <conditionalFormatting sqref="I34">
    <cfRule type="cellIs" dxfId="1728" priority="1713" operator="lessThan">
      <formula>0</formula>
    </cfRule>
  </conditionalFormatting>
  <conditionalFormatting sqref="I34">
    <cfRule type="cellIs" dxfId="1727" priority="1712" operator="lessThan">
      <formula>0</formula>
    </cfRule>
  </conditionalFormatting>
  <conditionalFormatting sqref="I34">
    <cfRule type="cellIs" dxfId="1726" priority="1711" operator="lessThan">
      <formula>0</formula>
    </cfRule>
  </conditionalFormatting>
  <conditionalFormatting sqref="I34">
    <cfRule type="cellIs" dxfId="1725" priority="1710" operator="lessThan">
      <formula>0</formula>
    </cfRule>
  </conditionalFormatting>
  <conditionalFormatting sqref="I34">
    <cfRule type="cellIs" dxfId="1724" priority="1709" operator="lessThan">
      <formula>0</formula>
    </cfRule>
  </conditionalFormatting>
  <conditionalFormatting sqref="I34">
    <cfRule type="cellIs" dxfId="1723" priority="1708" operator="lessThan">
      <formula>0</formula>
    </cfRule>
  </conditionalFormatting>
  <conditionalFormatting sqref="I34">
    <cfRule type="cellIs" dxfId="1722" priority="1707" operator="lessThan">
      <formula>0</formula>
    </cfRule>
  </conditionalFormatting>
  <conditionalFormatting sqref="I34">
    <cfRule type="cellIs" dxfId="1721" priority="1706" operator="lessThan">
      <formula>0</formula>
    </cfRule>
  </conditionalFormatting>
  <conditionalFormatting sqref="I34">
    <cfRule type="cellIs" dxfId="1720" priority="1705" operator="lessThan">
      <formula>0</formula>
    </cfRule>
  </conditionalFormatting>
  <conditionalFormatting sqref="I34">
    <cfRule type="cellIs" dxfId="1719" priority="1704" operator="lessThan">
      <formula>0</formula>
    </cfRule>
  </conditionalFormatting>
  <conditionalFormatting sqref="I34">
    <cfRule type="cellIs" dxfId="1718" priority="1703" operator="lessThan">
      <formula>0</formula>
    </cfRule>
  </conditionalFormatting>
  <conditionalFormatting sqref="I34">
    <cfRule type="cellIs" dxfId="1717" priority="1702" operator="lessThan">
      <formula>0</formula>
    </cfRule>
  </conditionalFormatting>
  <conditionalFormatting sqref="I34">
    <cfRule type="cellIs" dxfId="1716" priority="1701" operator="lessThan">
      <formula>0</formula>
    </cfRule>
  </conditionalFormatting>
  <conditionalFormatting sqref="I34">
    <cfRule type="cellIs" dxfId="1715" priority="1700" operator="lessThan">
      <formula>0</formula>
    </cfRule>
  </conditionalFormatting>
  <conditionalFormatting sqref="I34">
    <cfRule type="cellIs" dxfId="1714" priority="1699" operator="lessThan">
      <formula>0</formula>
    </cfRule>
  </conditionalFormatting>
  <conditionalFormatting sqref="I34">
    <cfRule type="cellIs" dxfId="1713" priority="1698" operator="lessThan">
      <formula>0</formula>
    </cfRule>
  </conditionalFormatting>
  <conditionalFormatting sqref="I34">
    <cfRule type="cellIs" dxfId="1712" priority="1697" operator="lessThan">
      <formula>0</formula>
    </cfRule>
  </conditionalFormatting>
  <conditionalFormatting sqref="I34">
    <cfRule type="cellIs" dxfId="1711" priority="1696" operator="lessThan">
      <formula>0</formula>
    </cfRule>
  </conditionalFormatting>
  <conditionalFormatting sqref="I34">
    <cfRule type="cellIs" dxfId="1710" priority="1695" operator="lessThan">
      <formula>0</formula>
    </cfRule>
  </conditionalFormatting>
  <conditionalFormatting sqref="I34">
    <cfRule type="cellIs" dxfId="1709" priority="1694" operator="lessThan">
      <formula>0</formula>
    </cfRule>
  </conditionalFormatting>
  <conditionalFormatting sqref="I34">
    <cfRule type="cellIs" dxfId="1708" priority="1693" operator="lessThan">
      <formula>0</formula>
    </cfRule>
  </conditionalFormatting>
  <conditionalFormatting sqref="I34">
    <cfRule type="cellIs" dxfId="1707" priority="1692" operator="lessThan">
      <formula>0</formula>
    </cfRule>
  </conditionalFormatting>
  <conditionalFormatting sqref="I34">
    <cfRule type="cellIs" dxfId="1706" priority="1691" operator="lessThan">
      <formula>0</formula>
    </cfRule>
  </conditionalFormatting>
  <conditionalFormatting sqref="I34">
    <cfRule type="cellIs" dxfId="1705" priority="1690" operator="lessThan">
      <formula>0</formula>
    </cfRule>
  </conditionalFormatting>
  <conditionalFormatting sqref="I34">
    <cfRule type="cellIs" dxfId="1704" priority="1689" operator="lessThan">
      <formula>0</formula>
    </cfRule>
  </conditionalFormatting>
  <conditionalFormatting sqref="I34">
    <cfRule type="cellIs" dxfId="1703" priority="1688" operator="lessThan">
      <formula>0</formula>
    </cfRule>
  </conditionalFormatting>
  <conditionalFormatting sqref="I34">
    <cfRule type="cellIs" dxfId="1702" priority="1687" operator="lessThan">
      <formula>0</formula>
    </cfRule>
  </conditionalFormatting>
  <conditionalFormatting sqref="I34">
    <cfRule type="cellIs" dxfId="1701" priority="1686" operator="lessThan">
      <formula>0</formula>
    </cfRule>
  </conditionalFormatting>
  <conditionalFormatting sqref="I34">
    <cfRule type="cellIs" dxfId="1700" priority="1685" operator="lessThan">
      <formula>0</formula>
    </cfRule>
  </conditionalFormatting>
  <conditionalFormatting sqref="I34">
    <cfRule type="cellIs" dxfId="1699" priority="1684" operator="lessThan">
      <formula>0</formula>
    </cfRule>
  </conditionalFormatting>
  <conditionalFormatting sqref="I34">
    <cfRule type="cellIs" dxfId="1698" priority="1683" operator="lessThan">
      <formula>0</formula>
    </cfRule>
  </conditionalFormatting>
  <conditionalFormatting sqref="I34">
    <cfRule type="cellIs" dxfId="1697" priority="1682" operator="lessThan">
      <formula>0</formula>
    </cfRule>
  </conditionalFormatting>
  <conditionalFormatting sqref="I34">
    <cfRule type="cellIs" dxfId="1696" priority="1681" operator="lessThan">
      <formula>0</formula>
    </cfRule>
  </conditionalFormatting>
  <conditionalFormatting sqref="I34">
    <cfRule type="cellIs" dxfId="1695" priority="1680" operator="lessThan">
      <formula>0</formula>
    </cfRule>
  </conditionalFormatting>
  <conditionalFormatting sqref="I34">
    <cfRule type="cellIs" dxfId="1694" priority="1679" operator="lessThan">
      <formula>0</formula>
    </cfRule>
  </conditionalFormatting>
  <conditionalFormatting sqref="I34">
    <cfRule type="cellIs" dxfId="1693" priority="1678" operator="lessThan">
      <formula>0</formula>
    </cfRule>
  </conditionalFormatting>
  <conditionalFormatting sqref="I34">
    <cfRule type="cellIs" dxfId="1692" priority="1677" operator="lessThan">
      <formula>0</formula>
    </cfRule>
  </conditionalFormatting>
  <conditionalFormatting sqref="I34">
    <cfRule type="cellIs" dxfId="1691" priority="1676" operator="lessThan">
      <formula>0</formula>
    </cfRule>
  </conditionalFormatting>
  <conditionalFormatting sqref="I34">
    <cfRule type="cellIs" dxfId="1690" priority="1675" operator="lessThan">
      <formula>0</formula>
    </cfRule>
  </conditionalFormatting>
  <conditionalFormatting sqref="I34">
    <cfRule type="cellIs" dxfId="1689" priority="1674" operator="lessThan">
      <formula>0</formula>
    </cfRule>
  </conditionalFormatting>
  <conditionalFormatting sqref="I34">
    <cfRule type="cellIs" dxfId="1688" priority="1673" operator="lessThan">
      <formula>0</formula>
    </cfRule>
  </conditionalFormatting>
  <conditionalFormatting sqref="I34">
    <cfRule type="cellIs" dxfId="1687" priority="1672" operator="lessThan">
      <formula>0</formula>
    </cfRule>
  </conditionalFormatting>
  <conditionalFormatting sqref="I34">
    <cfRule type="cellIs" dxfId="1686" priority="1671" operator="lessThan">
      <formula>0</formula>
    </cfRule>
  </conditionalFormatting>
  <conditionalFormatting sqref="I34">
    <cfRule type="cellIs" dxfId="1685" priority="1670" operator="lessThan">
      <formula>0</formula>
    </cfRule>
  </conditionalFormatting>
  <conditionalFormatting sqref="I34">
    <cfRule type="cellIs" dxfId="1684" priority="1669" operator="lessThan">
      <formula>0</formula>
    </cfRule>
  </conditionalFormatting>
  <conditionalFormatting sqref="I34">
    <cfRule type="cellIs" dxfId="1683" priority="1668" operator="lessThan">
      <formula>0</formula>
    </cfRule>
  </conditionalFormatting>
  <conditionalFormatting sqref="I34">
    <cfRule type="cellIs" dxfId="1682" priority="1667" operator="lessThan">
      <formula>0</formula>
    </cfRule>
  </conditionalFormatting>
  <conditionalFormatting sqref="I34">
    <cfRule type="cellIs" dxfId="1681" priority="1666" operator="lessThan">
      <formula>0</formula>
    </cfRule>
  </conditionalFormatting>
  <conditionalFormatting sqref="I34">
    <cfRule type="cellIs" dxfId="1680" priority="1665" operator="lessThan">
      <formula>0</formula>
    </cfRule>
  </conditionalFormatting>
  <conditionalFormatting sqref="I34">
    <cfRule type="cellIs" dxfId="1679" priority="1664" operator="lessThan">
      <formula>0</formula>
    </cfRule>
  </conditionalFormatting>
  <conditionalFormatting sqref="I34">
    <cfRule type="cellIs" dxfId="1678" priority="1663" operator="lessThan">
      <formula>0</formula>
    </cfRule>
  </conditionalFormatting>
  <conditionalFormatting sqref="I34">
    <cfRule type="cellIs" dxfId="1677" priority="1662" operator="lessThan">
      <formula>0</formula>
    </cfRule>
  </conditionalFormatting>
  <conditionalFormatting sqref="I34">
    <cfRule type="cellIs" dxfId="1676" priority="1661" operator="lessThan">
      <formula>0</formula>
    </cfRule>
  </conditionalFormatting>
  <conditionalFormatting sqref="I34">
    <cfRule type="cellIs" dxfId="1675" priority="1660" operator="lessThan">
      <formula>0</formula>
    </cfRule>
  </conditionalFormatting>
  <conditionalFormatting sqref="I34">
    <cfRule type="cellIs" dxfId="1674" priority="1659" operator="lessThan">
      <formula>0</formula>
    </cfRule>
  </conditionalFormatting>
  <conditionalFormatting sqref="I34">
    <cfRule type="cellIs" dxfId="1673" priority="1658" operator="lessThan">
      <formula>0</formula>
    </cfRule>
  </conditionalFormatting>
  <conditionalFormatting sqref="I34">
    <cfRule type="cellIs" dxfId="1672" priority="1657" operator="lessThan">
      <formula>0</formula>
    </cfRule>
  </conditionalFormatting>
  <conditionalFormatting sqref="I34">
    <cfRule type="cellIs" dxfId="1671" priority="1656" operator="lessThan">
      <formula>0</formula>
    </cfRule>
  </conditionalFormatting>
  <conditionalFormatting sqref="I34">
    <cfRule type="cellIs" dxfId="1670" priority="1655" operator="lessThan">
      <formula>0</formula>
    </cfRule>
  </conditionalFormatting>
  <conditionalFormatting sqref="I34">
    <cfRule type="cellIs" dxfId="1669" priority="1654" operator="lessThan">
      <formula>0</formula>
    </cfRule>
  </conditionalFormatting>
  <conditionalFormatting sqref="I34">
    <cfRule type="cellIs" dxfId="1668" priority="1653" operator="lessThan">
      <formula>0</formula>
    </cfRule>
  </conditionalFormatting>
  <conditionalFormatting sqref="I34">
    <cfRule type="cellIs" dxfId="1667" priority="1652" operator="lessThan">
      <formula>0</formula>
    </cfRule>
  </conditionalFormatting>
  <conditionalFormatting sqref="I34">
    <cfRule type="cellIs" dxfId="1666" priority="1651" operator="lessThan">
      <formula>0</formula>
    </cfRule>
  </conditionalFormatting>
  <conditionalFormatting sqref="I34">
    <cfRule type="cellIs" dxfId="1665" priority="1650" operator="lessThan">
      <formula>0</formula>
    </cfRule>
  </conditionalFormatting>
  <conditionalFormatting sqref="I34">
    <cfRule type="cellIs" dxfId="1664" priority="1649" operator="lessThan">
      <formula>0</formula>
    </cfRule>
  </conditionalFormatting>
  <conditionalFormatting sqref="I34">
    <cfRule type="cellIs" dxfId="1663" priority="1648" operator="lessThan">
      <formula>0</formula>
    </cfRule>
  </conditionalFormatting>
  <conditionalFormatting sqref="I34">
    <cfRule type="cellIs" dxfId="1662" priority="1647" operator="lessThan">
      <formula>0</formula>
    </cfRule>
  </conditionalFormatting>
  <conditionalFormatting sqref="I34">
    <cfRule type="cellIs" dxfId="1661" priority="1646" operator="lessThan">
      <formula>0</formula>
    </cfRule>
  </conditionalFormatting>
  <conditionalFormatting sqref="I34">
    <cfRule type="cellIs" dxfId="1660" priority="1645" operator="lessThan">
      <formula>0</formula>
    </cfRule>
  </conditionalFormatting>
  <conditionalFormatting sqref="I34">
    <cfRule type="cellIs" dxfId="1659" priority="1644" operator="lessThan">
      <formula>0</formula>
    </cfRule>
  </conditionalFormatting>
  <conditionalFormatting sqref="I34">
    <cfRule type="cellIs" dxfId="1658" priority="1643" operator="lessThan">
      <formula>0</formula>
    </cfRule>
  </conditionalFormatting>
  <conditionalFormatting sqref="I34">
    <cfRule type="cellIs" dxfId="1657" priority="1642" operator="lessThan">
      <formula>0</formula>
    </cfRule>
  </conditionalFormatting>
  <conditionalFormatting sqref="I34">
    <cfRule type="cellIs" dxfId="1656" priority="1641" operator="lessThan">
      <formula>0</formula>
    </cfRule>
  </conditionalFormatting>
  <conditionalFormatting sqref="I34">
    <cfRule type="cellIs" dxfId="1655" priority="1640" operator="lessThan">
      <formula>0</formula>
    </cfRule>
  </conditionalFormatting>
  <conditionalFormatting sqref="I34">
    <cfRule type="cellIs" dxfId="1654" priority="1639" operator="lessThan">
      <formula>0</formula>
    </cfRule>
  </conditionalFormatting>
  <conditionalFormatting sqref="I34">
    <cfRule type="cellIs" dxfId="1653" priority="1638" operator="lessThan">
      <formula>0</formula>
    </cfRule>
  </conditionalFormatting>
  <conditionalFormatting sqref="I34">
    <cfRule type="cellIs" dxfId="1652" priority="1637" operator="lessThan">
      <formula>0</formula>
    </cfRule>
  </conditionalFormatting>
  <conditionalFormatting sqref="I34">
    <cfRule type="cellIs" dxfId="1651" priority="1636" operator="lessThan">
      <formula>0</formula>
    </cfRule>
  </conditionalFormatting>
  <conditionalFormatting sqref="I34">
    <cfRule type="cellIs" dxfId="1650" priority="1635" operator="lessThan">
      <formula>0</formula>
    </cfRule>
  </conditionalFormatting>
  <conditionalFormatting sqref="I34">
    <cfRule type="cellIs" dxfId="1649" priority="1634" operator="lessThan">
      <formula>0</formula>
    </cfRule>
  </conditionalFormatting>
  <conditionalFormatting sqref="I34">
    <cfRule type="cellIs" dxfId="1648" priority="1633" operator="lessThan">
      <formula>0</formula>
    </cfRule>
  </conditionalFormatting>
  <conditionalFormatting sqref="I34">
    <cfRule type="cellIs" dxfId="1647" priority="1632" operator="lessThan">
      <formula>0</formula>
    </cfRule>
  </conditionalFormatting>
  <conditionalFormatting sqref="I34">
    <cfRule type="cellIs" dxfId="1646" priority="1631" operator="lessThan">
      <formula>0</formula>
    </cfRule>
  </conditionalFormatting>
  <conditionalFormatting sqref="I34">
    <cfRule type="cellIs" dxfId="1645" priority="1630" operator="lessThan">
      <formula>0</formula>
    </cfRule>
  </conditionalFormatting>
  <conditionalFormatting sqref="I34">
    <cfRule type="cellIs" dxfId="1644" priority="1629" operator="lessThan">
      <formula>0</formula>
    </cfRule>
  </conditionalFormatting>
  <conditionalFormatting sqref="I34">
    <cfRule type="cellIs" dxfId="1643" priority="1628" operator="lessThan">
      <formula>0</formula>
    </cfRule>
  </conditionalFormatting>
  <conditionalFormatting sqref="I34">
    <cfRule type="cellIs" dxfId="1642" priority="1627" operator="lessThan">
      <formula>0</formula>
    </cfRule>
  </conditionalFormatting>
  <conditionalFormatting sqref="I34">
    <cfRule type="cellIs" dxfId="1641" priority="1626" operator="lessThan">
      <formula>0</formula>
    </cfRule>
  </conditionalFormatting>
  <conditionalFormatting sqref="I34">
    <cfRule type="cellIs" dxfId="1640" priority="1625" operator="lessThan">
      <formula>0</formula>
    </cfRule>
  </conditionalFormatting>
  <conditionalFormatting sqref="I34">
    <cfRule type="cellIs" dxfId="1639" priority="1624" operator="lessThan">
      <formula>0</formula>
    </cfRule>
  </conditionalFormatting>
  <conditionalFormatting sqref="I34">
    <cfRule type="cellIs" dxfId="1638" priority="1623" operator="lessThan">
      <formula>0</formula>
    </cfRule>
  </conditionalFormatting>
  <conditionalFormatting sqref="I34">
    <cfRule type="cellIs" dxfId="1637" priority="1622" operator="lessThan">
      <formula>0</formula>
    </cfRule>
  </conditionalFormatting>
  <conditionalFormatting sqref="I34">
    <cfRule type="cellIs" dxfId="1636" priority="1621" operator="lessThan">
      <formula>0</formula>
    </cfRule>
  </conditionalFormatting>
  <conditionalFormatting sqref="I34">
    <cfRule type="cellIs" dxfId="1635" priority="1620" operator="lessThan">
      <formula>0</formula>
    </cfRule>
  </conditionalFormatting>
  <conditionalFormatting sqref="I34">
    <cfRule type="cellIs" dxfId="1634" priority="1619" operator="lessThan">
      <formula>0</formula>
    </cfRule>
  </conditionalFormatting>
  <conditionalFormatting sqref="I34">
    <cfRule type="cellIs" dxfId="1633" priority="1618" operator="lessThan">
      <formula>0</formula>
    </cfRule>
  </conditionalFormatting>
  <conditionalFormatting sqref="I34">
    <cfRule type="cellIs" dxfId="1632" priority="1617" operator="lessThan">
      <formula>0</formula>
    </cfRule>
  </conditionalFormatting>
  <conditionalFormatting sqref="I34">
    <cfRule type="cellIs" dxfId="1631" priority="1616" operator="lessThan">
      <formula>0</formula>
    </cfRule>
  </conditionalFormatting>
  <conditionalFormatting sqref="I34">
    <cfRule type="cellIs" dxfId="1630" priority="1615" operator="lessThan">
      <formula>0</formula>
    </cfRule>
  </conditionalFormatting>
  <conditionalFormatting sqref="I34">
    <cfRule type="cellIs" dxfId="1629" priority="1614" operator="lessThan">
      <formula>0</formula>
    </cfRule>
  </conditionalFormatting>
  <conditionalFormatting sqref="I34">
    <cfRule type="cellIs" dxfId="1628" priority="1613" operator="lessThan">
      <formula>0</formula>
    </cfRule>
  </conditionalFormatting>
  <conditionalFormatting sqref="I34">
    <cfRule type="cellIs" dxfId="1627" priority="1612" operator="lessThan">
      <formula>0</formula>
    </cfRule>
  </conditionalFormatting>
  <conditionalFormatting sqref="I34">
    <cfRule type="cellIs" dxfId="1626" priority="1611" operator="lessThan">
      <formula>0</formula>
    </cfRule>
  </conditionalFormatting>
  <conditionalFormatting sqref="I34">
    <cfRule type="cellIs" dxfId="1625" priority="1610" operator="lessThan">
      <formula>0</formula>
    </cfRule>
  </conditionalFormatting>
  <conditionalFormatting sqref="I34">
    <cfRule type="cellIs" dxfId="1624" priority="1609" operator="lessThan">
      <formula>0</formula>
    </cfRule>
  </conditionalFormatting>
  <conditionalFormatting sqref="I34">
    <cfRule type="cellIs" dxfId="1623" priority="1608" operator="lessThan">
      <formula>0</formula>
    </cfRule>
  </conditionalFormatting>
  <conditionalFormatting sqref="I34">
    <cfRule type="cellIs" dxfId="1622" priority="1607" operator="lessThan">
      <formula>0</formula>
    </cfRule>
  </conditionalFormatting>
  <conditionalFormatting sqref="I34">
    <cfRule type="cellIs" dxfId="1621" priority="1606" operator="lessThan">
      <formula>0</formula>
    </cfRule>
  </conditionalFormatting>
  <conditionalFormatting sqref="I34">
    <cfRule type="cellIs" dxfId="1620" priority="1605" operator="lessThan">
      <formula>0</formula>
    </cfRule>
  </conditionalFormatting>
  <conditionalFormatting sqref="I34">
    <cfRule type="cellIs" dxfId="1619" priority="1604" operator="lessThan">
      <formula>0</formula>
    </cfRule>
  </conditionalFormatting>
  <conditionalFormatting sqref="I34">
    <cfRule type="cellIs" dxfId="1618" priority="1603" operator="lessThan">
      <formula>0</formula>
    </cfRule>
  </conditionalFormatting>
  <conditionalFormatting sqref="I34">
    <cfRule type="cellIs" dxfId="1617" priority="1602" operator="lessThan">
      <formula>0</formula>
    </cfRule>
  </conditionalFormatting>
  <conditionalFormatting sqref="I34">
    <cfRule type="cellIs" dxfId="1616" priority="1601" operator="lessThan">
      <formula>0</formula>
    </cfRule>
  </conditionalFormatting>
  <conditionalFormatting sqref="I34">
    <cfRule type="cellIs" dxfId="1615" priority="1600" operator="lessThan">
      <formula>0</formula>
    </cfRule>
  </conditionalFormatting>
  <conditionalFormatting sqref="I34">
    <cfRule type="cellIs" dxfId="1614" priority="1599" operator="lessThan">
      <formula>0</formula>
    </cfRule>
  </conditionalFormatting>
  <conditionalFormatting sqref="I34">
    <cfRule type="cellIs" dxfId="1613" priority="1598" operator="lessThan">
      <formula>0</formula>
    </cfRule>
  </conditionalFormatting>
  <conditionalFormatting sqref="I34">
    <cfRule type="cellIs" dxfId="1612" priority="1597" operator="lessThan">
      <formula>0</formula>
    </cfRule>
  </conditionalFormatting>
  <conditionalFormatting sqref="I34">
    <cfRule type="cellIs" dxfId="1611" priority="1596" operator="lessThan">
      <formula>0</formula>
    </cfRule>
  </conditionalFormatting>
  <conditionalFormatting sqref="I34">
    <cfRule type="cellIs" dxfId="1610" priority="1595" operator="lessThan">
      <formula>0</formula>
    </cfRule>
  </conditionalFormatting>
  <conditionalFormatting sqref="I34">
    <cfRule type="cellIs" dxfId="1609" priority="1594" operator="lessThan">
      <formula>0</formula>
    </cfRule>
  </conditionalFormatting>
  <conditionalFormatting sqref="I34">
    <cfRule type="cellIs" dxfId="1608" priority="1593" operator="lessThan">
      <formula>0</formula>
    </cfRule>
  </conditionalFormatting>
  <conditionalFormatting sqref="I34">
    <cfRule type="cellIs" dxfId="1607" priority="1592" operator="lessThan">
      <formula>0</formula>
    </cfRule>
  </conditionalFormatting>
  <conditionalFormatting sqref="I34">
    <cfRule type="cellIs" dxfId="1606" priority="1591" operator="lessThan">
      <formula>0</formula>
    </cfRule>
  </conditionalFormatting>
  <conditionalFormatting sqref="I34">
    <cfRule type="cellIs" dxfId="1605" priority="1590" operator="lessThan">
      <formula>0</formula>
    </cfRule>
  </conditionalFormatting>
  <conditionalFormatting sqref="I34">
    <cfRule type="cellIs" dxfId="1604" priority="1589" operator="lessThan">
      <formula>0</formula>
    </cfRule>
  </conditionalFormatting>
  <conditionalFormatting sqref="I34">
    <cfRule type="cellIs" dxfId="1603" priority="1588" operator="lessThan">
      <formula>0</formula>
    </cfRule>
  </conditionalFormatting>
  <conditionalFormatting sqref="I34">
    <cfRule type="cellIs" dxfId="1602" priority="1587" operator="lessThan">
      <formula>0</formula>
    </cfRule>
  </conditionalFormatting>
  <conditionalFormatting sqref="I34">
    <cfRule type="cellIs" dxfId="1601" priority="1586" operator="lessThan">
      <formula>0</formula>
    </cfRule>
  </conditionalFormatting>
  <conditionalFormatting sqref="I34">
    <cfRule type="cellIs" dxfId="1600" priority="1585" operator="lessThan">
      <formula>0</formula>
    </cfRule>
  </conditionalFormatting>
  <conditionalFormatting sqref="I34">
    <cfRule type="cellIs" dxfId="1599" priority="1584" operator="lessThan">
      <formula>0</formula>
    </cfRule>
  </conditionalFormatting>
  <conditionalFormatting sqref="I34">
    <cfRule type="cellIs" dxfId="1598" priority="1583" operator="lessThan">
      <formula>0</formula>
    </cfRule>
  </conditionalFormatting>
  <conditionalFormatting sqref="I34">
    <cfRule type="cellIs" dxfId="1597" priority="1582" operator="lessThan">
      <formula>0</formula>
    </cfRule>
  </conditionalFormatting>
  <conditionalFormatting sqref="I34">
    <cfRule type="cellIs" dxfId="1596" priority="1581" operator="lessThan">
      <formula>0</formula>
    </cfRule>
  </conditionalFormatting>
  <conditionalFormatting sqref="I34">
    <cfRule type="cellIs" dxfId="1595" priority="1580" operator="lessThan">
      <formula>0</formula>
    </cfRule>
  </conditionalFormatting>
  <conditionalFormatting sqref="I34">
    <cfRule type="cellIs" dxfId="1594" priority="1579" operator="lessThan">
      <formula>0</formula>
    </cfRule>
  </conditionalFormatting>
  <conditionalFormatting sqref="I34">
    <cfRule type="cellIs" dxfId="1593" priority="1578" operator="lessThan">
      <formula>0</formula>
    </cfRule>
  </conditionalFormatting>
  <conditionalFormatting sqref="I34">
    <cfRule type="cellIs" dxfId="1592" priority="1577" operator="lessThan">
      <formula>0</formula>
    </cfRule>
  </conditionalFormatting>
  <conditionalFormatting sqref="I34">
    <cfRule type="cellIs" dxfId="1591" priority="1576" operator="lessThan">
      <formula>0</formula>
    </cfRule>
  </conditionalFormatting>
  <conditionalFormatting sqref="I34">
    <cfRule type="cellIs" dxfId="1590" priority="1575" operator="lessThan">
      <formula>0</formula>
    </cfRule>
  </conditionalFormatting>
  <conditionalFormatting sqref="I34">
    <cfRule type="cellIs" dxfId="1589" priority="1574" operator="lessThan">
      <formula>0</formula>
    </cfRule>
  </conditionalFormatting>
  <conditionalFormatting sqref="I34">
    <cfRule type="cellIs" dxfId="1588" priority="1573" operator="lessThan">
      <formula>0</formula>
    </cfRule>
  </conditionalFormatting>
  <conditionalFormatting sqref="I34">
    <cfRule type="cellIs" dxfId="1587" priority="1572" operator="lessThan">
      <formula>0</formula>
    </cfRule>
  </conditionalFormatting>
  <conditionalFormatting sqref="I34">
    <cfRule type="cellIs" dxfId="1586" priority="1571" operator="lessThan">
      <formula>0</formula>
    </cfRule>
  </conditionalFormatting>
  <conditionalFormatting sqref="I34">
    <cfRule type="cellIs" dxfId="1585" priority="1570" operator="lessThan">
      <formula>0</formula>
    </cfRule>
  </conditionalFormatting>
  <conditionalFormatting sqref="I34">
    <cfRule type="cellIs" dxfId="1584" priority="1569" operator="lessThan">
      <formula>0</formula>
    </cfRule>
  </conditionalFormatting>
  <conditionalFormatting sqref="I34">
    <cfRule type="cellIs" dxfId="1583" priority="1568" operator="lessThan">
      <formula>0</formula>
    </cfRule>
  </conditionalFormatting>
  <conditionalFormatting sqref="I34">
    <cfRule type="cellIs" dxfId="1582" priority="1567" operator="lessThan">
      <formula>0</formula>
    </cfRule>
  </conditionalFormatting>
  <conditionalFormatting sqref="I34">
    <cfRule type="cellIs" dxfId="1581" priority="1566" operator="lessThan">
      <formula>0</formula>
    </cfRule>
  </conditionalFormatting>
  <conditionalFormatting sqref="I34">
    <cfRule type="cellIs" dxfId="1580" priority="1565" operator="lessThan">
      <formula>0</formula>
    </cfRule>
  </conditionalFormatting>
  <conditionalFormatting sqref="I34">
    <cfRule type="cellIs" dxfId="1579" priority="1564" operator="lessThan">
      <formula>0</formula>
    </cfRule>
  </conditionalFormatting>
  <conditionalFormatting sqref="I34">
    <cfRule type="cellIs" dxfId="1578" priority="1563" operator="lessThan">
      <formula>0</formula>
    </cfRule>
  </conditionalFormatting>
  <conditionalFormatting sqref="I34">
    <cfRule type="cellIs" dxfId="1577" priority="1562" operator="lessThan">
      <formula>0</formula>
    </cfRule>
  </conditionalFormatting>
  <conditionalFormatting sqref="I34">
    <cfRule type="cellIs" dxfId="1576" priority="1561" operator="lessThan">
      <formula>0</formula>
    </cfRule>
  </conditionalFormatting>
  <conditionalFormatting sqref="I34">
    <cfRule type="cellIs" dxfId="1575" priority="1560" operator="lessThan">
      <formula>0</formula>
    </cfRule>
  </conditionalFormatting>
  <conditionalFormatting sqref="I34">
    <cfRule type="cellIs" dxfId="1574" priority="1559" operator="lessThan">
      <formula>0</formula>
    </cfRule>
  </conditionalFormatting>
  <conditionalFormatting sqref="I34">
    <cfRule type="cellIs" dxfId="1573" priority="1558" operator="lessThan">
      <formula>0</formula>
    </cfRule>
  </conditionalFormatting>
  <conditionalFormatting sqref="I34">
    <cfRule type="cellIs" dxfId="1572" priority="1557" operator="lessThan">
      <formula>0</formula>
    </cfRule>
  </conditionalFormatting>
  <conditionalFormatting sqref="I34">
    <cfRule type="cellIs" dxfId="1571" priority="1556" operator="lessThan">
      <formula>0</formula>
    </cfRule>
  </conditionalFormatting>
  <conditionalFormatting sqref="I34">
    <cfRule type="cellIs" dxfId="1570" priority="1555" operator="lessThan">
      <formula>0</formula>
    </cfRule>
  </conditionalFormatting>
  <conditionalFormatting sqref="I34">
    <cfRule type="cellIs" dxfId="1569" priority="1554" operator="lessThan">
      <formula>0</formula>
    </cfRule>
  </conditionalFormatting>
  <conditionalFormatting sqref="I34">
    <cfRule type="cellIs" dxfId="1568" priority="1553" operator="lessThan">
      <formula>0</formula>
    </cfRule>
  </conditionalFormatting>
  <conditionalFormatting sqref="I34">
    <cfRule type="cellIs" dxfId="1567" priority="1552" operator="lessThan">
      <formula>0</formula>
    </cfRule>
  </conditionalFormatting>
  <conditionalFormatting sqref="I34">
    <cfRule type="cellIs" dxfId="1566" priority="1551" operator="lessThan">
      <formula>0</formula>
    </cfRule>
  </conditionalFormatting>
  <conditionalFormatting sqref="I34">
    <cfRule type="cellIs" dxfId="1565" priority="1550" operator="lessThan">
      <formula>0</formula>
    </cfRule>
  </conditionalFormatting>
  <conditionalFormatting sqref="I34">
    <cfRule type="cellIs" dxfId="1564" priority="1549" operator="lessThan">
      <formula>0</formula>
    </cfRule>
  </conditionalFormatting>
  <conditionalFormatting sqref="I34">
    <cfRule type="cellIs" dxfId="1563" priority="1548" operator="lessThan">
      <formula>0</formula>
    </cfRule>
  </conditionalFormatting>
  <conditionalFormatting sqref="I34">
    <cfRule type="cellIs" dxfId="1562" priority="1547" operator="lessThan">
      <formula>0</formula>
    </cfRule>
  </conditionalFormatting>
  <conditionalFormatting sqref="I34">
    <cfRule type="cellIs" dxfId="1561" priority="1546" operator="lessThan">
      <formula>0</formula>
    </cfRule>
  </conditionalFormatting>
  <conditionalFormatting sqref="I34">
    <cfRule type="cellIs" dxfId="1560" priority="1545" operator="lessThan">
      <formula>0</formula>
    </cfRule>
  </conditionalFormatting>
  <conditionalFormatting sqref="I34">
    <cfRule type="cellIs" dxfId="1559" priority="1544" operator="lessThan">
      <formula>0</formula>
    </cfRule>
  </conditionalFormatting>
  <conditionalFormatting sqref="I34">
    <cfRule type="cellIs" dxfId="1558" priority="1543" operator="lessThan">
      <formula>0</formula>
    </cfRule>
  </conditionalFormatting>
  <conditionalFormatting sqref="I34">
    <cfRule type="cellIs" dxfId="1557" priority="1542" operator="lessThan">
      <formula>0</formula>
    </cfRule>
  </conditionalFormatting>
  <conditionalFormatting sqref="I34">
    <cfRule type="cellIs" dxfId="1556" priority="1541" operator="lessThan">
      <formula>0</formula>
    </cfRule>
  </conditionalFormatting>
  <conditionalFormatting sqref="I34">
    <cfRule type="cellIs" dxfId="1555" priority="1540" operator="lessThan">
      <formula>0</formula>
    </cfRule>
  </conditionalFormatting>
  <conditionalFormatting sqref="I34">
    <cfRule type="cellIs" dxfId="1554" priority="1539" operator="lessThan">
      <formula>0</formula>
    </cfRule>
  </conditionalFormatting>
  <conditionalFormatting sqref="I34">
    <cfRule type="cellIs" dxfId="1553" priority="1538" operator="lessThan">
      <formula>0</formula>
    </cfRule>
  </conditionalFormatting>
  <conditionalFormatting sqref="I34">
    <cfRule type="cellIs" dxfId="1552" priority="1537" operator="lessThan">
      <formula>0</formula>
    </cfRule>
  </conditionalFormatting>
  <conditionalFormatting sqref="I34">
    <cfRule type="cellIs" dxfId="1551" priority="1536" operator="lessThan">
      <formula>0</formula>
    </cfRule>
  </conditionalFormatting>
  <conditionalFormatting sqref="I34">
    <cfRule type="cellIs" dxfId="1550" priority="1535" operator="lessThan">
      <formula>0</formula>
    </cfRule>
  </conditionalFormatting>
  <conditionalFormatting sqref="I34">
    <cfRule type="cellIs" dxfId="1549" priority="1534" operator="lessThan">
      <formula>0</formula>
    </cfRule>
  </conditionalFormatting>
  <conditionalFormatting sqref="I34">
    <cfRule type="cellIs" dxfId="1548" priority="1533" operator="lessThan">
      <formula>0</formula>
    </cfRule>
  </conditionalFormatting>
  <conditionalFormatting sqref="I34">
    <cfRule type="cellIs" dxfId="1547" priority="1532" operator="lessThan">
      <formula>0</formula>
    </cfRule>
  </conditionalFormatting>
  <conditionalFormatting sqref="I34">
    <cfRule type="cellIs" dxfId="1546" priority="1531" operator="lessThan">
      <formula>0</formula>
    </cfRule>
  </conditionalFormatting>
  <conditionalFormatting sqref="I34">
    <cfRule type="cellIs" dxfId="1545" priority="1530" operator="lessThan">
      <formula>0</formula>
    </cfRule>
  </conditionalFormatting>
  <conditionalFormatting sqref="I34">
    <cfRule type="cellIs" dxfId="1544" priority="1529" operator="lessThan">
      <formula>0</formula>
    </cfRule>
  </conditionalFormatting>
  <conditionalFormatting sqref="I34">
    <cfRule type="cellIs" dxfId="1543" priority="1528" operator="lessThan">
      <formula>0</formula>
    </cfRule>
  </conditionalFormatting>
  <conditionalFormatting sqref="I34">
    <cfRule type="cellIs" dxfId="1542" priority="1527" operator="lessThan">
      <formula>0</formula>
    </cfRule>
  </conditionalFormatting>
  <conditionalFormatting sqref="I34">
    <cfRule type="cellIs" dxfId="1541" priority="1526" operator="lessThan">
      <formula>0</formula>
    </cfRule>
  </conditionalFormatting>
  <conditionalFormatting sqref="I34">
    <cfRule type="cellIs" dxfId="1540" priority="1525" operator="lessThan">
      <formula>0</formula>
    </cfRule>
  </conditionalFormatting>
  <conditionalFormatting sqref="I34">
    <cfRule type="cellIs" dxfId="1539" priority="1524" operator="lessThan">
      <formula>0</formula>
    </cfRule>
  </conditionalFormatting>
  <conditionalFormatting sqref="I34">
    <cfRule type="cellIs" dxfId="1538" priority="1523" operator="lessThan">
      <formula>0</formula>
    </cfRule>
  </conditionalFormatting>
  <conditionalFormatting sqref="I34">
    <cfRule type="cellIs" dxfId="1537" priority="1522" operator="lessThan">
      <formula>0</formula>
    </cfRule>
  </conditionalFormatting>
  <conditionalFormatting sqref="I34">
    <cfRule type="cellIs" dxfId="1536" priority="1521" operator="lessThan">
      <formula>0</formula>
    </cfRule>
  </conditionalFormatting>
  <conditionalFormatting sqref="I34">
    <cfRule type="cellIs" dxfId="1535" priority="1520" operator="lessThan">
      <formula>0</formula>
    </cfRule>
  </conditionalFormatting>
  <conditionalFormatting sqref="I34">
    <cfRule type="cellIs" dxfId="1534" priority="1519" operator="lessThan">
      <formula>0</formula>
    </cfRule>
  </conditionalFormatting>
  <conditionalFormatting sqref="I34">
    <cfRule type="cellIs" dxfId="1533" priority="1518" operator="lessThan">
      <formula>0</formula>
    </cfRule>
  </conditionalFormatting>
  <conditionalFormatting sqref="I34">
    <cfRule type="cellIs" dxfId="1532" priority="1517" operator="lessThan">
      <formula>0</formula>
    </cfRule>
  </conditionalFormatting>
  <conditionalFormatting sqref="I34">
    <cfRule type="cellIs" dxfId="1531" priority="1516" operator="lessThan">
      <formula>0</formula>
    </cfRule>
  </conditionalFormatting>
  <conditionalFormatting sqref="I34">
    <cfRule type="cellIs" dxfId="1530" priority="1515" operator="lessThan">
      <formula>0</formula>
    </cfRule>
  </conditionalFormatting>
  <conditionalFormatting sqref="I34">
    <cfRule type="cellIs" dxfId="1529" priority="1514" operator="lessThan">
      <formula>0</formula>
    </cfRule>
  </conditionalFormatting>
  <conditionalFormatting sqref="I34">
    <cfRule type="cellIs" dxfId="1528" priority="1513" operator="lessThan">
      <formula>0</formula>
    </cfRule>
  </conditionalFormatting>
  <conditionalFormatting sqref="I34">
    <cfRule type="cellIs" dxfId="1527" priority="1512" operator="lessThan">
      <formula>0</formula>
    </cfRule>
  </conditionalFormatting>
  <conditionalFormatting sqref="I34">
    <cfRule type="cellIs" dxfId="1526" priority="1511" operator="lessThan">
      <formula>0</formula>
    </cfRule>
  </conditionalFormatting>
  <conditionalFormatting sqref="I34">
    <cfRule type="cellIs" dxfId="1525" priority="1510" operator="lessThan">
      <formula>0</formula>
    </cfRule>
  </conditionalFormatting>
  <conditionalFormatting sqref="I34">
    <cfRule type="cellIs" dxfId="1524" priority="1509" operator="lessThan">
      <formula>0</formula>
    </cfRule>
  </conditionalFormatting>
  <conditionalFormatting sqref="I34">
    <cfRule type="cellIs" dxfId="1523" priority="1508" operator="lessThan">
      <formula>0</formula>
    </cfRule>
  </conditionalFormatting>
  <conditionalFormatting sqref="I34">
    <cfRule type="cellIs" dxfId="1522" priority="1507" operator="lessThan">
      <formula>0</formula>
    </cfRule>
  </conditionalFormatting>
  <conditionalFormatting sqref="I34">
    <cfRule type="cellIs" dxfId="1521" priority="1506" operator="lessThan">
      <formula>0</formula>
    </cfRule>
  </conditionalFormatting>
  <conditionalFormatting sqref="I34">
    <cfRule type="cellIs" dxfId="1520" priority="1505" operator="lessThan">
      <formula>0</formula>
    </cfRule>
  </conditionalFormatting>
  <conditionalFormatting sqref="I34">
    <cfRule type="cellIs" dxfId="1519" priority="1504" operator="lessThan">
      <formula>0</formula>
    </cfRule>
  </conditionalFormatting>
  <conditionalFormatting sqref="I34">
    <cfRule type="cellIs" dxfId="1518" priority="1503" operator="lessThan">
      <formula>0</formula>
    </cfRule>
  </conditionalFormatting>
  <conditionalFormatting sqref="I34">
    <cfRule type="cellIs" dxfId="1517" priority="1502" operator="lessThan">
      <formula>0</formula>
    </cfRule>
  </conditionalFormatting>
  <conditionalFormatting sqref="I34">
    <cfRule type="cellIs" dxfId="1516" priority="1501" operator="lessThan">
      <formula>0</formula>
    </cfRule>
  </conditionalFormatting>
  <conditionalFormatting sqref="I34">
    <cfRule type="cellIs" dxfId="1515" priority="1500" operator="lessThan">
      <formula>0</formula>
    </cfRule>
  </conditionalFormatting>
  <conditionalFormatting sqref="I34">
    <cfRule type="cellIs" dxfId="1514" priority="1499" operator="lessThan">
      <formula>0</formula>
    </cfRule>
  </conditionalFormatting>
  <conditionalFormatting sqref="I34">
    <cfRule type="cellIs" dxfId="1513" priority="1498" operator="lessThan">
      <formula>0</formula>
    </cfRule>
  </conditionalFormatting>
  <conditionalFormatting sqref="I34">
    <cfRule type="cellIs" dxfId="1512" priority="1497" operator="lessThan">
      <formula>0</formula>
    </cfRule>
  </conditionalFormatting>
  <conditionalFormatting sqref="I34">
    <cfRule type="cellIs" dxfId="1511" priority="1496" operator="lessThan">
      <formula>0</formula>
    </cfRule>
  </conditionalFormatting>
  <conditionalFormatting sqref="I34">
    <cfRule type="cellIs" dxfId="1510" priority="1495" operator="lessThan">
      <formula>0</formula>
    </cfRule>
  </conditionalFormatting>
  <conditionalFormatting sqref="I34">
    <cfRule type="cellIs" dxfId="1509" priority="1494" operator="lessThan">
      <formula>0</formula>
    </cfRule>
  </conditionalFormatting>
  <conditionalFormatting sqref="I34">
    <cfRule type="cellIs" dxfId="1508" priority="1493" operator="lessThan">
      <formula>0</formula>
    </cfRule>
  </conditionalFormatting>
  <conditionalFormatting sqref="I34">
    <cfRule type="cellIs" dxfId="1507" priority="1492" operator="lessThan">
      <formula>0</formula>
    </cfRule>
  </conditionalFormatting>
  <conditionalFormatting sqref="I34">
    <cfRule type="cellIs" dxfId="1506" priority="1491" operator="lessThan">
      <formula>0</formula>
    </cfRule>
  </conditionalFormatting>
  <conditionalFormatting sqref="I34">
    <cfRule type="cellIs" dxfId="1505" priority="1490" operator="lessThan">
      <formula>0</formula>
    </cfRule>
  </conditionalFormatting>
  <conditionalFormatting sqref="I34">
    <cfRule type="cellIs" dxfId="1504" priority="1489" operator="lessThan">
      <formula>0</formula>
    </cfRule>
  </conditionalFormatting>
  <conditionalFormatting sqref="I34">
    <cfRule type="cellIs" dxfId="1503" priority="1488" operator="lessThan">
      <formula>0</formula>
    </cfRule>
  </conditionalFormatting>
  <conditionalFormatting sqref="I34">
    <cfRule type="cellIs" dxfId="1502" priority="1487" operator="lessThan">
      <formula>0</formula>
    </cfRule>
  </conditionalFormatting>
  <conditionalFormatting sqref="I34">
    <cfRule type="cellIs" dxfId="1501" priority="1486" operator="lessThan">
      <formula>0</formula>
    </cfRule>
  </conditionalFormatting>
  <conditionalFormatting sqref="I34">
    <cfRule type="cellIs" dxfId="1500" priority="1485" operator="lessThan">
      <formula>0</formula>
    </cfRule>
  </conditionalFormatting>
  <conditionalFormatting sqref="I34">
    <cfRule type="cellIs" dxfId="1499" priority="1484" operator="lessThan">
      <formula>0</formula>
    </cfRule>
  </conditionalFormatting>
  <conditionalFormatting sqref="I34">
    <cfRule type="cellIs" dxfId="1498" priority="1483" operator="lessThan">
      <formula>0</formula>
    </cfRule>
  </conditionalFormatting>
  <conditionalFormatting sqref="I34">
    <cfRule type="cellIs" dxfId="1497" priority="1482" operator="lessThan">
      <formula>0</formula>
    </cfRule>
  </conditionalFormatting>
  <conditionalFormatting sqref="I34">
    <cfRule type="cellIs" dxfId="1496" priority="1481" operator="lessThan">
      <formula>0</formula>
    </cfRule>
  </conditionalFormatting>
  <conditionalFormatting sqref="I34">
    <cfRule type="cellIs" dxfId="1495" priority="1480" operator="lessThan">
      <formula>0</formula>
    </cfRule>
  </conditionalFormatting>
  <conditionalFormatting sqref="I34">
    <cfRule type="cellIs" dxfId="1494" priority="1479" operator="lessThan">
      <formula>0</formula>
    </cfRule>
  </conditionalFormatting>
  <conditionalFormatting sqref="I34">
    <cfRule type="cellIs" dxfId="1493" priority="1478" operator="lessThan">
      <formula>0</formula>
    </cfRule>
  </conditionalFormatting>
  <conditionalFormatting sqref="I34">
    <cfRule type="cellIs" dxfId="1492" priority="1477" operator="lessThan">
      <formula>0</formula>
    </cfRule>
  </conditionalFormatting>
  <conditionalFormatting sqref="I34">
    <cfRule type="cellIs" dxfId="1491" priority="1476" operator="lessThan">
      <formula>0</formula>
    </cfRule>
  </conditionalFormatting>
  <conditionalFormatting sqref="I34">
    <cfRule type="cellIs" dxfId="1490" priority="1475" operator="lessThan">
      <formula>0</formula>
    </cfRule>
  </conditionalFormatting>
  <conditionalFormatting sqref="I34">
    <cfRule type="cellIs" dxfId="1489" priority="1474" operator="lessThan">
      <formula>0</formula>
    </cfRule>
  </conditionalFormatting>
  <conditionalFormatting sqref="I34">
    <cfRule type="cellIs" dxfId="1488" priority="1473" operator="lessThan">
      <formula>0</formula>
    </cfRule>
  </conditionalFormatting>
  <conditionalFormatting sqref="I34">
    <cfRule type="cellIs" dxfId="1487" priority="1472" operator="lessThan">
      <formula>0</formula>
    </cfRule>
  </conditionalFormatting>
  <conditionalFormatting sqref="I34">
    <cfRule type="cellIs" dxfId="1486" priority="1471" operator="lessThan">
      <formula>0</formula>
    </cfRule>
  </conditionalFormatting>
  <conditionalFormatting sqref="I34">
    <cfRule type="cellIs" dxfId="1485" priority="1470" operator="lessThan">
      <formula>0</formula>
    </cfRule>
  </conditionalFormatting>
  <conditionalFormatting sqref="I34">
    <cfRule type="cellIs" dxfId="1484" priority="1469" operator="lessThan">
      <formula>0</formula>
    </cfRule>
  </conditionalFormatting>
  <conditionalFormatting sqref="I34">
    <cfRule type="cellIs" dxfId="1483" priority="1468" operator="lessThan">
      <formula>0</formula>
    </cfRule>
  </conditionalFormatting>
  <conditionalFormatting sqref="I34">
    <cfRule type="cellIs" dxfId="1482" priority="1467" operator="lessThan">
      <formula>0</formula>
    </cfRule>
  </conditionalFormatting>
  <conditionalFormatting sqref="I34">
    <cfRule type="cellIs" dxfId="1481" priority="1466" operator="lessThan">
      <formula>0</formula>
    </cfRule>
  </conditionalFormatting>
  <conditionalFormatting sqref="I34">
    <cfRule type="cellIs" dxfId="1480" priority="1465" operator="lessThan">
      <formula>0</formula>
    </cfRule>
  </conditionalFormatting>
  <conditionalFormatting sqref="I34">
    <cfRule type="cellIs" dxfId="1479" priority="1464" operator="lessThan">
      <formula>0</formula>
    </cfRule>
  </conditionalFormatting>
  <conditionalFormatting sqref="I34">
    <cfRule type="cellIs" dxfId="1478" priority="1463" operator="lessThan">
      <formula>0</formula>
    </cfRule>
  </conditionalFormatting>
  <conditionalFormatting sqref="I34">
    <cfRule type="cellIs" dxfId="1477" priority="1462" operator="lessThan">
      <formula>0</formula>
    </cfRule>
  </conditionalFormatting>
  <conditionalFormatting sqref="I34">
    <cfRule type="cellIs" dxfId="1476" priority="1461" operator="lessThan">
      <formula>0</formula>
    </cfRule>
  </conditionalFormatting>
  <conditionalFormatting sqref="I34">
    <cfRule type="cellIs" dxfId="1475" priority="1460" operator="lessThan">
      <formula>0</formula>
    </cfRule>
  </conditionalFormatting>
  <conditionalFormatting sqref="I34">
    <cfRule type="cellIs" dxfId="1474" priority="1459" operator="lessThan">
      <formula>0</formula>
    </cfRule>
  </conditionalFormatting>
  <conditionalFormatting sqref="I34">
    <cfRule type="cellIs" dxfId="1473" priority="1458" operator="lessThan">
      <formula>0</formula>
    </cfRule>
  </conditionalFormatting>
  <conditionalFormatting sqref="I34">
    <cfRule type="cellIs" dxfId="1472" priority="1457" operator="lessThan">
      <formula>0</formula>
    </cfRule>
  </conditionalFormatting>
  <conditionalFormatting sqref="I34">
    <cfRule type="cellIs" dxfId="1471" priority="1456" operator="lessThan">
      <formula>0</formula>
    </cfRule>
  </conditionalFormatting>
  <conditionalFormatting sqref="I34">
    <cfRule type="cellIs" dxfId="1470" priority="1455" operator="lessThan">
      <formula>0</formula>
    </cfRule>
  </conditionalFormatting>
  <conditionalFormatting sqref="I34">
    <cfRule type="cellIs" dxfId="1469" priority="1454" operator="lessThan">
      <formula>0</formula>
    </cfRule>
  </conditionalFormatting>
  <conditionalFormatting sqref="I34">
    <cfRule type="cellIs" dxfId="1468" priority="1453" operator="lessThan">
      <formula>0</formula>
    </cfRule>
  </conditionalFormatting>
  <conditionalFormatting sqref="I34">
    <cfRule type="cellIs" dxfId="1467" priority="1452" operator="lessThan">
      <formula>0</formula>
    </cfRule>
  </conditionalFormatting>
  <conditionalFormatting sqref="I34">
    <cfRule type="cellIs" dxfId="1466" priority="1451" operator="lessThan">
      <formula>0</formula>
    </cfRule>
  </conditionalFormatting>
  <conditionalFormatting sqref="I34">
    <cfRule type="cellIs" dxfId="1465" priority="1450" operator="lessThan">
      <formula>0</formula>
    </cfRule>
  </conditionalFormatting>
  <conditionalFormatting sqref="I34">
    <cfRule type="cellIs" dxfId="1464" priority="1449" operator="lessThan">
      <formula>0</formula>
    </cfRule>
  </conditionalFormatting>
  <conditionalFormatting sqref="I34">
    <cfRule type="cellIs" dxfId="1463" priority="1448" operator="lessThan">
      <formula>0</formula>
    </cfRule>
  </conditionalFormatting>
  <conditionalFormatting sqref="I34">
    <cfRule type="cellIs" dxfId="1462" priority="1447" operator="lessThan">
      <formula>0</formula>
    </cfRule>
  </conditionalFormatting>
  <conditionalFormatting sqref="I34">
    <cfRule type="cellIs" dxfId="1461" priority="1446" operator="lessThan">
      <formula>0</formula>
    </cfRule>
  </conditionalFormatting>
  <conditionalFormatting sqref="I34">
    <cfRule type="cellIs" dxfId="1460" priority="1445" operator="lessThan">
      <formula>0</formula>
    </cfRule>
  </conditionalFormatting>
  <conditionalFormatting sqref="I34">
    <cfRule type="cellIs" dxfId="1459" priority="1444" operator="lessThan">
      <formula>0</formula>
    </cfRule>
  </conditionalFormatting>
  <conditionalFormatting sqref="I34">
    <cfRule type="cellIs" dxfId="1458" priority="1443" operator="lessThan">
      <formula>0</formula>
    </cfRule>
  </conditionalFormatting>
  <conditionalFormatting sqref="I34">
    <cfRule type="cellIs" dxfId="1457" priority="1442" operator="lessThan">
      <formula>0</formula>
    </cfRule>
  </conditionalFormatting>
  <conditionalFormatting sqref="I34">
    <cfRule type="cellIs" dxfId="1456" priority="1441" operator="lessThan">
      <formula>0</formula>
    </cfRule>
  </conditionalFormatting>
  <conditionalFormatting sqref="I34">
    <cfRule type="cellIs" dxfId="1455" priority="1440" operator="lessThan">
      <formula>0</formula>
    </cfRule>
  </conditionalFormatting>
  <conditionalFormatting sqref="I34">
    <cfRule type="cellIs" dxfId="1454" priority="1439" operator="lessThan">
      <formula>0</formula>
    </cfRule>
  </conditionalFormatting>
  <conditionalFormatting sqref="I34">
    <cfRule type="cellIs" dxfId="1453" priority="1438" operator="lessThan">
      <formula>0</formula>
    </cfRule>
  </conditionalFormatting>
  <conditionalFormatting sqref="I34">
    <cfRule type="cellIs" dxfId="1452" priority="1437" operator="lessThan">
      <formula>0</formula>
    </cfRule>
  </conditionalFormatting>
  <conditionalFormatting sqref="I34">
    <cfRule type="cellIs" dxfId="1451" priority="1436" operator="lessThan">
      <formula>0</formula>
    </cfRule>
  </conditionalFormatting>
  <conditionalFormatting sqref="I34">
    <cfRule type="cellIs" dxfId="1450" priority="1435" operator="lessThan">
      <formula>0</formula>
    </cfRule>
  </conditionalFormatting>
  <conditionalFormatting sqref="I34">
    <cfRule type="cellIs" dxfId="1449" priority="1434" operator="lessThan">
      <formula>0</formula>
    </cfRule>
  </conditionalFormatting>
  <conditionalFormatting sqref="I34">
    <cfRule type="cellIs" dxfId="1448" priority="1433" operator="lessThan">
      <formula>0</formula>
    </cfRule>
  </conditionalFormatting>
  <conditionalFormatting sqref="I34">
    <cfRule type="cellIs" dxfId="1447" priority="1432" operator="lessThan">
      <formula>0</formula>
    </cfRule>
  </conditionalFormatting>
  <conditionalFormatting sqref="I34">
    <cfRule type="cellIs" dxfId="1446" priority="1431" operator="lessThan">
      <formula>0</formula>
    </cfRule>
  </conditionalFormatting>
  <conditionalFormatting sqref="I34">
    <cfRule type="cellIs" dxfId="1445" priority="1430" operator="lessThan">
      <formula>0</formula>
    </cfRule>
  </conditionalFormatting>
  <conditionalFormatting sqref="I34">
    <cfRule type="cellIs" dxfId="1444" priority="1429" operator="lessThan">
      <formula>0</formula>
    </cfRule>
  </conditionalFormatting>
  <conditionalFormatting sqref="I34">
    <cfRule type="cellIs" dxfId="1443" priority="1428" operator="lessThan">
      <formula>0</formula>
    </cfRule>
  </conditionalFormatting>
  <conditionalFormatting sqref="I34">
    <cfRule type="cellIs" dxfId="1442" priority="1427" operator="lessThan">
      <formula>0</formula>
    </cfRule>
  </conditionalFormatting>
  <conditionalFormatting sqref="I34">
    <cfRule type="cellIs" dxfId="1441" priority="1426" operator="lessThan">
      <formula>0</formula>
    </cfRule>
  </conditionalFormatting>
  <conditionalFormatting sqref="I34">
    <cfRule type="cellIs" dxfId="1440" priority="1425" operator="lessThan">
      <formula>0</formula>
    </cfRule>
  </conditionalFormatting>
  <conditionalFormatting sqref="I34">
    <cfRule type="cellIs" dxfId="1439" priority="1424" operator="lessThan">
      <formula>0</formula>
    </cfRule>
  </conditionalFormatting>
  <conditionalFormatting sqref="I34">
    <cfRule type="cellIs" dxfId="1438" priority="1423" operator="lessThan">
      <formula>0</formula>
    </cfRule>
  </conditionalFormatting>
  <conditionalFormatting sqref="I34">
    <cfRule type="cellIs" dxfId="1437" priority="1422" operator="lessThan">
      <formula>0</formula>
    </cfRule>
  </conditionalFormatting>
  <conditionalFormatting sqref="I34">
    <cfRule type="cellIs" dxfId="1436" priority="1421" operator="lessThan">
      <formula>0</formula>
    </cfRule>
  </conditionalFormatting>
  <conditionalFormatting sqref="I34">
    <cfRule type="cellIs" dxfId="1435" priority="1420" operator="lessThan">
      <formula>0</formula>
    </cfRule>
  </conditionalFormatting>
  <conditionalFormatting sqref="I34">
    <cfRule type="cellIs" dxfId="1434" priority="1419" operator="lessThan">
      <formula>0</formula>
    </cfRule>
  </conditionalFormatting>
  <conditionalFormatting sqref="I34">
    <cfRule type="cellIs" dxfId="1433" priority="1418" operator="lessThan">
      <formula>0</formula>
    </cfRule>
  </conditionalFormatting>
  <conditionalFormatting sqref="I34">
    <cfRule type="cellIs" dxfId="1432" priority="1417" operator="lessThan">
      <formula>0</formula>
    </cfRule>
  </conditionalFormatting>
  <conditionalFormatting sqref="I34">
    <cfRule type="cellIs" dxfId="1431" priority="1416" operator="lessThan">
      <formula>0</formula>
    </cfRule>
  </conditionalFormatting>
  <conditionalFormatting sqref="I34">
    <cfRule type="cellIs" dxfId="1430" priority="1415" operator="lessThan">
      <formula>0</formula>
    </cfRule>
  </conditionalFormatting>
  <conditionalFormatting sqref="I34">
    <cfRule type="cellIs" dxfId="1429" priority="1414" operator="lessThan">
      <formula>0</formula>
    </cfRule>
  </conditionalFormatting>
  <conditionalFormatting sqref="I34">
    <cfRule type="cellIs" dxfId="1428" priority="1413" operator="lessThan">
      <formula>0</formula>
    </cfRule>
  </conditionalFormatting>
  <conditionalFormatting sqref="I34">
    <cfRule type="cellIs" dxfId="1427" priority="1412" operator="lessThan">
      <formula>0</formula>
    </cfRule>
  </conditionalFormatting>
  <conditionalFormatting sqref="I34">
    <cfRule type="cellIs" dxfId="1426" priority="1411" operator="lessThan">
      <formula>0</formula>
    </cfRule>
  </conditionalFormatting>
  <conditionalFormatting sqref="I34">
    <cfRule type="cellIs" dxfId="1425" priority="1410" operator="lessThan">
      <formula>0</formula>
    </cfRule>
  </conditionalFormatting>
  <conditionalFormatting sqref="I34">
    <cfRule type="cellIs" dxfId="1424" priority="1409" operator="lessThan">
      <formula>0</formula>
    </cfRule>
  </conditionalFormatting>
  <conditionalFormatting sqref="I34">
    <cfRule type="cellIs" dxfId="1423" priority="1408" operator="lessThan">
      <formula>0</formula>
    </cfRule>
  </conditionalFormatting>
  <conditionalFormatting sqref="I34">
    <cfRule type="cellIs" dxfId="1422" priority="1407" operator="lessThan">
      <formula>0</formula>
    </cfRule>
  </conditionalFormatting>
  <conditionalFormatting sqref="I34">
    <cfRule type="cellIs" dxfId="1421" priority="1406" operator="lessThan">
      <formula>0</formula>
    </cfRule>
  </conditionalFormatting>
  <conditionalFormatting sqref="I34">
    <cfRule type="cellIs" dxfId="1420" priority="1405" operator="lessThan">
      <formula>0</formula>
    </cfRule>
  </conditionalFormatting>
  <conditionalFormatting sqref="I34">
    <cfRule type="cellIs" dxfId="1419" priority="1404" operator="lessThan">
      <formula>0</formula>
    </cfRule>
  </conditionalFormatting>
  <conditionalFormatting sqref="I34">
    <cfRule type="cellIs" dxfId="1418" priority="1403" operator="lessThan">
      <formula>0</formula>
    </cfRule>
  </conditionalFormatting>
  <conditionalFormatting sqref="I34">
    <cfRule type="cellIs" dxfId="1417" priority="1402" operator="lessThan">
      <formula>0</formula>
    </cfRule>
  </conditionalFormatting>
  <conditionalFormatting sqref="I34">
    <cfRule type="cellIs" dxfId="1416" priority="1401" operator="lessThan">
      <formula>0</formula>
    </cfRule>
  </conditionalFormatting>
  <conditionalFormatting sqref="I34">
    <cfRule type="cellIs" dxfId="1415" priority="1400" operator="lessThan">
      <formula>0</formula>
    </cfRule>
  </conditionalFormatting>
  <conditionalFormatting sqref="I34">
    <cfRule type="cellIs" dxfId="1414" priority="1399" operator="lessThan">
      <formula>0</formula>
    </cfRule>
  </conditionalFormatting>
  <conditionalFormatting sqref="I34">
    <cfRule type="cellIs" dxfId="1413" priority="1398" operator="lessThan">
      <formula>0</formula>
    </cfRule>
  </conditionalFormatting>
  <conditionalFormatting sqref="I34">
    <cfRule type="cellIs" dxfId="1412" priority="1397" operator="lessThan">
      <formula>0</formula>
    </cfRule>
  </conditionalFormatting>
  <conditionalFormatting sqref="I34">
    <cfRule type="cellIs" dxfId="1411" priority="1396" operator="lessThan">
      <formula>0</formula>
    </cfRule>
  </conditionalFormatting>
  <conditionalFormatting sqref="I34">
    <cfRule type="cellIs" dxfId="1410" priority="1395" operator="lessThan">
      <formula>0</formula>
    </cfRule>
  </conditionalFormatting>
  <conditionalFormatting sqref="I34">
    <cfRule type="cellIs" dxfId="1409" priority="1394" operator="lessThan">
      <formula>0</formula>
    </cfRule>
  </conditionalFormatting>
  <conditionalFormatting sqref="I34">
    <cfRule type="cellIs" dxfId="1408" priority="1393" operator="lessThan">
      <formula>0</formula>
    </cfRule>
  </conditionalFormatting>
  <conditionalFormatting sqref="I34">
    <cfRule type="cellIs" dxfId="1407" priority="1392" operator="lessThan">
      <formula>0</formula>
    </cfRule>
  </conditionalFormatting>
  <conditionalFormatting sqref="I34">
    <cfRule type="cellIs" dxfId="1406" priority="1391" operator="lessThan">
      <formula>0</formula>
    </cfRule>
  </conditionalFormatting>
  <conditionalFormatting sqref="I34">
    <cfRule type="cellIs" dxfId="1405" priority="1390" operator="lessThan">
      <formula>0</formula>
    </cfRule>
  </conditionalFormatting>
  <conditionalFormatting sqref="I34">
    <cfRule type="cellIs" dxfId="1404" priority="1389" operator="lessThan">
      <formula>0</formula>
    </cfRule>
  </conditionalFormatting>
  <conditionalFormatting sqref="I34">
    <cfRule type="cellIs" dxfId="1403" priority="1388" operator="lessThan">
      <formula>0</formula>
    </cfRule>
  </conditionalFormatting>
  <conditionalFormatting sqref="I34">
    <cfRule type="cellIs" dxfId="1402" priority="1387" operator="lessThan">
      <formula>0</formula>
    </cfRule>
  </conditionalFormatting>
  <conditionalFormatting sqref="I34">
    <cfRule type="cellIs" dxfId="1401" priority="1386" operator="lessThan">
      <formula>0</formula>
    </cfRule>
  </conditionalFormatting>
  <conditionalFormatting sqref="I34">
    <cfRule type="cellIs" dxfId="1400" priority="1385" operator="lessThan">
      <formula>0</formula>
    </cfRule>
  </conditionalFormatting>
  <conditionalFormatting sqref="I34">
    <cfRule type="cellIs" dxfId="1399" priority="1384" operator="lessThan">
      <formula>0</formula>
    </cfRule>
  </conditionalFormatting>
  <conditionalFormatting sqref="I34">
    <cfRule type="cellIs" dxfId="1398" priority="1383" operator="lessThan">
      <formula>0</formula>
    </cfRule>
  </conditionalFormatting>
  <conditionalFormatting sqref="I34">
    <cfRule type="cellIs" dxfId="1397" priority="1382" operator="lessThan">
      <formula>0</formula>
    </cfRule>
  </conditionalFormatting>
  <conditionalFormatting sqref="I34">
    <cfRule type="cellIs" dxfId="1396" priority="1381" operator="lessThan">
      <formula>0</formula>
    </cfRule>
  </conditionalFormatting>
  <conditionalFormatting sqref="I34">
    <cfRule type="cellIs" dxfId="1395" priority="1380" operator="lessThan">
      <formula>0</formula>
    </cfRule>
  </conditionalFormatting>
  <conditionalFormatting sqref="I34">
    <cfRule type="cellIs" dxfId="1394" priority="1379" operator="lessThan">
      <formula>0</formula>
    </cfRule>
  </conditionalFormatting>
  <conditionalFormatting sqref="I34">
    <cfRule type="cellIs" dxfId="1393" priority="1378" operator="lessThan">
      <formula>0</formula>
    </cfRule>
  </conditionalFormatting>
  <conditionalFormatting sqref="I34">
    <cfRule type="cellIs" dxfId="1392" priority="1377" operator="lessThan">
      <formula>0</formula>
    </cfRule>
  </conditionalFormatting>
  <conditionalFormatting sqref="I34">
    <cfRule type="cellIs" dxfId="1391" priority="1376" operator="lessThan">
      <formula>0</formula>
    </cfRule>
  </conditionalFormatting>
  <conditionalFormatting sqref="I34">
    <cfRule type="cellIs" dxfId="1390" priority="1375" operator="lessThan">
      <formula>0</formula>
    </cfRule>
  </conditionalFormatting>
  <conditionalFormatting sqref="I34">
    <cfRule type="cellIs" dxfId="1389" priority="1374" operator="lessThan">
      <formula>0</formula>
    </cfRule>
  </conditionalFormatting>
  <conditionalFormatting sqref="I34">
    <cfRule type="cellIs" dxfId="1388" priority="1373" operator="lessThan">
      <formula>0</formula>
    </cfRule>
  </conditionalFormatting>
  <conditionalFormatting sqref="I34">
    <cfRule type="cellIs" dxfId="1387" priority="1372" operator="lessThan">
      <formula>0</formula>
    </cfRule>
  </conditionalFormatting>
  <conditionalFormatting sqref="I34">
    <cfRule type="cellIs" dxfId="1386" priority="1371" operator="lessThan">
      <formula>0</formula>
    </cfRule>
  </conditionalFormatting>
  <conditionalFormatting sqref="I34">
    <cfRule type="cellIs" dxfId="1385" priority="1370" operator="lessThan">
      <formula>0</formula>
    </cfRule>
  </conditionalFormatting>
  <conditionalFormatting sqref="I34">
    <cfRule type="cellIs" dxfId="1384" priority="1369" operator="lessThan">
      <formula>0</formula>
    </cfRule>
  </conditionalFormatting>
  <conditionalFormatting sqref="I34">
    <cfRule type="cellIs" dxfId="1383" priority="1368" operator="lessThan">
      <formula>0</formula>
    </cfRule>
  </conditionalFormatting>
  <conditionalFormatting sqref="I34">
    <cfRule type="cellIs" dxfId="1382" priority="1367" operator="lessThan">
      <formula>0</formula>
    </cfRule>
  </conditionalFormatting>
  <conditionalFormatting sqref="I34">
    <cfRule type="cellIs" dxfId="1381" priority="1366" operator="lessThan">
      <formula>0</formula>
    </cfRule>
  </conditionalFormatting>
  <conditionalFormatting sqref="I34">
    <cfRule type="cellIs" dxfId="1380" priority="1365" operator="lessThan">
      <formula>0</formula>
    </cfRule>
  </conditionalFormatting>
  <conditionalFormatting sqref="I34">
    <cfRule type="cellIs" dxfId="1379" priority="1364" operator="lessThan">
      <formula>0</formula>
    </cfRule>
  </conditionalFormatting>
  <conditionalFormatting sqref="I34">
    <cfRule type="cellIs" dxfId="1378" priority="1363" operator="lessThan">
      <formula>0</formula>
    </cfRule>
  </conditionalFormatting>
  <conditionalFormatting sqref="I34">
    <cfRule type="cellIs" dxfId="1377" priority="1362" operator="lessThan">
      <formula>0</formula>
    </cfRule>
  </conditionalFormatting>
  <conditionalFormatting sqref="I34">
    <cfRule type="cellIs" dxfId="1376" priority="1361" operator="lessThan">
      <formula>0</formula>
    </cfRule>
  </conditionalFormatting>
  <conditionalFormatting sqref="I34">
    <cfRule type="cellIs" dxfId="1375" priority="1360" operator="lessThan">
      <formula>0</formula>
    </cfRule>
  </conditionalFormatting>
  <conditionalFormatting sqref="I34">
    <cfRule type="cellIs" dxfId="1374" priority="1359" operator="lessThan">
      <formula>0</formula>
    </cfRule>
  </conditionalFormatting>
  <conditionalFormatting sqref="I34">
    <cfRule type="cellIs" dxfId="1373" priority="1358" operator="lessThan">
      <formula>0</formula>
    </cfRule>
  </conditionalFormatting>
  <conditionalFormatting sqref="I34">
    <cfRule type="cellIs" dxfId="1372" priority="1357" operator="lessThan">
      <formula>0</formula>
    </cfRule>
  </conditionalFormatting>
  <conditionalFormatting sqref="I34">
    <cfRule type="cellIs" dxfId="1371" priority="1356" operator="lessThan">
      <formula>0</formula>
    </cfRule>
  </conditionalFormatting>
  <conditionalFormatting sqref="I34">
    <cfRule type="cellIs" dxfId="1370" priority="1355" operator="lessThan">
      <formula>0</formula>
    </cfRule>
  </conditionalFormatting>
  <conditionalFormatting sqref="I34">
    <cfRule type="cellIs" dxfId="1369" priority="1354" operator="lessThan">
      <formula>0</formula>
    </cfRule>
  </conditionalFormatting>
  <conditionalFormatting sqref="I34">
    <cfRule type="cellIs" dxfId="1368" priority="1353" operator="lessThan">
      <formula>0</formula>
    </cfRule>
  </conditionalFormatting>
  <conditionalFormatting sqref="I34">
    <cfRule type="cellIs" dxfId="1367" priority="1352" operator="lessThan">
      <formula>0</formula>
    </cfRule>
  </conditionalFormatting>
  <conditionalFormatting sqref="I34">
    <cfRule type="cellIs" dxfId="1366" priority="1351" operator="lessThan">
      <formula>0</formula>
    </cfRule>
  </conditionalFormatting>
  <conditionalFormatting sqref="I34">
    <cfRule type="cellIs" dxfId="1365" priority="1350" operator="lessThan">
      <formula>0</formula>
    </cfRule>
  </conditionalFormatting>
  <conditionalFormatting sqref="I34">
    <cfRule type="cellIs" dxfId="1364" priority="1349" operator="lessThan">
      <formula>0</formula>
    </cfRule>
  </conditionalFormatting>
  <conditionalFormatting sqref="I34">
    <cfRule type="cellIs" dxfId="1363" priority="1348" operator="lessThan">
      <formula>0</formula>
    </cfRule>
  </conditionalFormatting>
  <conditionalFormatting sqref="I34">
    <cfRule type="cellIs" dxfId="1362" priority="1347" operator="lessThan">
      <formula>0</formula>
    </cfRule>
  </conditionalFormatting>
  <conditionalFormatting sqref="I34">
    <cfRule type="cellIs" dxfId="1361" priority="1346" operator="lessThan">
      <formula>0</formula>
    </cfRule>
  </conditionalFormatting>
  <conditionalFormatting sqref="I34">
    <cfRule type="cellIs" dxfId="1360" priority="1345" operator="lessThan">
      <formula>0</formula>
    </cfRule>
  </conditionalFormatting>
  <conditionalFormatting sqref="I34">
    <cfRule type="cellIs" dxfId="1359" priority="1344" operator="lessThan">
      <formula>0</formula>
    </cfRule>
  </conditionalFormatting>
  <conditionalFormatting sqref="I34">
    <cfRule type="cellIs" dxfId="1358" priority="1343" operator="lessThan">
      <formula>0</formula>
    </cfRule>
  </conditionalFormatting>
  <conditionalFormatting sqref="I34">
    <cfRule type="cellIs" dxfId="1357" priority="1342" operator="lessThan">
      <formula>0</formula>
    </cfRule>
  </conditionalFormatting>
  <conditionalFormatting sqref="I34">
    <cfRule type="cellIs" dxfId="1356" priority="1341" operator="lessThan">
      <formula>0</formula>
    </cfRule>
  </conditionalFormatting>
  <conditionalFormatting sqref="I34">
    <cfRule type="cellIs" dxfId="1355" priority="1340" operator="lessThan">
      <formula>0</formula>
    </cfRule>
  </conditionalFormatting>
  <conditionalFormatting sqref="I34">
    <cfRule type="cellIs" dxfId="1354" priority="1339" operator="lessThan">
      <formula>0</formula>
    </cfRule>
  </conditionalFormatting>
  <conditionalFormatting sqref="I34">
    <cfRule type="cellIs" dxfId="1353" priority="1338" operator="lessThan">
      <formula>0</formula>
    </cfRule>
  </conditionalFormatting>
  <conditionalFormatting sqref="I34">
    <cfRule type="cellIs" dxfId="1352" priority="1337" operator="lessThan">
      <formula>0</formula>
    </cfRule>
  </conditionalFormatting>
  <conditionalFormatting sqref="I34">
    <cfRule type="cellIs" dxfId="1351" priority="1336" operator="lessThan">
      <formula>0</formula>
    </cfRule>
  </conditionalFormatting>
  <conditionalFormatting sqref="I34">
    <cfRule type="cellIs" dxfId="1350" priority="1335" operator="lessThan">
      <formula>0</formula>
    </cfRule>
  </conditionalFormatting>
  <conditionalFormatting sqref="I34">
    <cfRule type="cellIs" dxfId="1349" priority="1334" operator="lessThan">
      <formula>0</formula>
    </cfRule>
  </conditionalFormatting>
  <conditionalFormatting sqref="I34">
    <cfRule type="cellIs" dxfId="1348" priority="1333" operator="lessThan">
      <formula>0</formula>
    </cfRule>
  </conditionalFormatting>
  <conditionalFormatting sqref="I34">
    <cfRule type="cellIs" dxfId="1347" priority="1332" operator="lessThan">
      <formula>0</formula>
    </cfRule>
  </conditionalFormatting>
  <conditionalFormatting sqref="I34">
    <cfRule type="cellIs" dxfId="1346" priority="1331" operator="lessThan">
      <formula>0</formula>
    </cfRule>
  </conditionalFormatting>
  <conditionalFormatting sqref="I34">
    <cfRule type="cellIs" dxfId="1345" priority="1330" operator="lessThan">
      <formula>0</formula>
    </cfRule>
  </conditionalFormatting>
  <conditionalFormatting sqref="I34">
    <cfRule type="cellIs" dxfId="1344" priority="1329" operator="lessThan">
      <formula>0</formula>
    </cfRule>
  </conditionalFormatting>
  <conditionalFormatting sqref="I34">
    <cfRule type="cellIs" dxfId="1343" priority="1328" operator="lessThan">
      <formula>0</formula>
    </cfRule>
  </conditionalFormatting>
  <conditionalFormatting sqref="I34">
    <cfRule type="cellIs" dxfId="1342" priority="1327" operator="lessThan">
      <formula>0</formula>
    </cfRule>
  </conditionalFormatting>
  <conditionalFormatting sqref="I34">
    <cfRule type="cellIs" dxfId="1341" priority="1326" operator="lessThan">
      <formula>0</formula>
    </cfRule>
  </conditionalFormatting>
  <conditionalFormatting sqref="I34">
    <cfRule type="cellIs" dxfId="1340" priority="1325" operator="lessThan">
      <formula>0</formula>
    </cfRule>
  </conditionalFormatting>
  <conditionalFormatting sqref="I34">
    <cfRule type="cellIs" dxfId="1339" priority="1324" operator="lessThan">
      <formula>0</formula>
    </cfRule>
  </conditionalFormatting>
  <conditionalFormatting sqref="I34">
    <cfRule type="cellIs" dxfId="1338" priority="1323" operator="lessThan">
      <formula>0</formula>
    </cfRule>
  </conditionalFormatting>
  <conditionalFormatting sqref="I34">
    <cfRule type="cellIs" dxfId="1337" priority="1322" operator="lessThan">
      <formula>0</formula>
    </cfRule>
  </conditionalFormatting>
  <conditionalFormatting sqref="I34">
    <cfRule type="cellIs" dxfId="1336" priority="1321" operator="lessThan">
      <formula>0</formula>
    </cfRule>
  </conditionalFormatting>
  <conditionalFormatting sqref="I34">
    <cfRule type="cellIs" dxfId="1335" priority="1320" operator="lessThan">
      <formula>0</formula>
    </cfRule>
  </conditionalFormatting>
  <conditionalFormatting sqref="I34">
    <cfRule type="cellIs" dxfId="1334" priority="1319" operator="lessThan">
      <formula>0</formula>
    </cfRule>
  </conditionalFormatting>
  <conditionalFormatting sqref="I34">
    <cfRule type="cellIs" dxfId="1333" priority="1318" operator="lessThan">
      <formula>0</formula>
    </cfRule>
  </conditionalFormatting>
  <conditionalFormatting sqref="I34">
    <cfRule type="cellIs" dxfId="1332" priority="1317" operator="lessThan">
      <formula>0</formula>
    </cfRule>
  </conditionalFormatting>
  <conditionalFormatting sqref="I34">
    <cfRule type="cellIs" dxfId="1331" priority="1316" operator="lessThan">
      <formula>0</formula>
    </cfRule>
  </conditionalFormatting>
  <conditionalFormatting sqref="I34">
    <cfRule type="cellIs" dxfId="1330" priority="1315" operator="lessThan">
      <formula>0</formula>
    </cfRule>
  </conditionalFormatting>
  <conditionalFormatting sqref="I34">
    <cfRule type="cellIs" dxfId="1329" priority="1314" operator="lessThan">
      <formula>0</formula>
    </cfRule>
  </conditionalFormatting>
  <conditionalFormatting sqref="I34">
    <cfRule type="cellIs" dxfId="1328" priority="1313" operator="lessThan">
      <formula>0</formula>
    </cfRule>
  </conditionalFormatting>
  <conditionalFormatting sqref="I34">
    <cfRule type="cellIs" dxfId="1327" priority="1312" operator="lessThan">
      <formula>0</formula>
    </cfRule>
  </conditionalFormatting>
  <conditionalFormatting sqref="I34">
    <cfRule type="cellIs" dxfId="1326" priority="1311" operator="lessThan">
      <formula>0</formula>
    </cfRule>
  </conditionalFormatting>
  <conditionalFormatting sqref="I34">
    <cfRule type="cellIs" dxfId="1325" priority="1310" operator="lessThan">
      <formula>0</formula>
    </cfRule>
  </conditionalFormatting>
  <conditionalFormatting sqref="I34">
    <cfRule type="cellIs" dxfId="1324" priority="1309" operator="lessThan">
      <formula>0</formula>
    </cfRule>
  </conditionalFormatting>
  <conditionalFormatting sqref="I34">
    <cfRule type="cellIs" dxfId="1323" priority="1308" operator="lessThan">
      <formula>0</formula>
    </cfRule>
  </conditionalFormatting>
  <conditionalFormatting sqref="I34">
    <cfRule type="cellIs" dxfId="1322" priority="1307" operator="lessThan">
      <formula>0</formula>
    </cfRule>
  </conditionalFormatting>
  <conditionalFormatting sqref="I34">
    <cfRule type="cellIs" dxfId="1321" priority="1306" operator="lessThan">
      <formula>0</formula>
    </cfRule>
  </conditionalFormatting>
  <conditionalFormatting sqref="I34">
    <cfRule type="cellIs" dxfId="1320" priority="1305" operator="lessThan">
      <formula>0</formula>
    </cfRule>
  </conditionalFormatting>
  <conditionalFormatting sqref="I34">
    <cfRule type="cellIs" dxfId="1319" priority="1304" operator="lessThan">
      <formula>0</formula>
    </cfRule>
  </conditionalFormatting>
  <conditionalFormatting sqref="I34">
    <cfRule type="cellIs" dxfId="1318" priority="1303" operator="lessThan">
      <formula>0</formula>
    </cfRule>
  </conditionalFormatting>
  <conditionalFormatting sqref="I34">
    <cfRule type="cellIs" dxfId="1317" priority="1302" operator="lessThan">
      <formula>0</formula>
    </cfRule>
  </conditionalFormatting>
  <conditionalFormatting sqref="I34">
    <cfRule type="cellIs" dxfId="1316" priority="1301" operator="lessThan">
      <formula>0</formula>
    </cfRule>
  </conditionalFormatting>
  <conditionalFormatting sqref="I34">
    <cfRule type="cellIs" dxfId="1315" priority="1300" operator="lessThan">
      <formula>0</formula>
    </cfRule>
  </conditionalFormatting>
  <conditionalFormatting sqref="I34">
    <cfRule type="cellIs" dxfId="1314" priority="1299" operator="lessThan">
      <formula>0</formula>
    </cfRule>
  </conditionalFormatting>
  <conditionalFormatting sqref="I34">
    <cfRule type="cellIs" dxfId="1313" priority="1298" operator="lessThan">
      <formula>0</formula>
    </cfRule>
  </conditionalFormatting>
  <conditionalFormatting sqref="I34">
    <cfRule type="cellIs" dxfId="1312" priority="1297" operator="lessThan">
      <formula>0</formula>
    </cfRule>
  </conditionalFormatting>
  <conditionalFormatting sqref="I34">
    <cfRule type="cellIs" dxfId="1311" priority="1296" operator="lessThan">
      <formula>0</formula>
    </cfRule>
  </conditionalFormatting>
  <conditionalFormatting sqref="I34">
    <cfRule type="cellIs" dxfId="1310" priority="1295" operator="lessThan">
      <formula>0</formula>
    </cfRule>
  </conditionalFormatting>
  <conditionalFormatting sqref="I34">
    <cfRule type="cellIs" dxfId="1309" priority="1294" operator="lessThan">
      <formula>0</formula>
    </cfRule>
  </conditionalFormatting>
  <conditionalFormatting sqref="I34">
    <cfRule type="cellIs" dxfId="1308" priority="1293" operator="lessThan">
      <formula>0</formula>
    </cfRule>
  </conditionalFormatting>
  <conditionalFormatting sqref="I34">
    <cfRule type="cellIs" dxfId="1307" priority="1292" operator="lessThan">
      <formula>0</formula>
    </cfRule>
  </conditionalFormatting>
  <conditionalFormatting sqref="I34">
    <cfRule type="cellIs" dxfId="1306" priority="1291" operator="lessThan">
      <formula>0</formula>
    </cfRule>
  </conditionalFormatting>
  <conditionalFormatting sqref="I34">
    <cfRule type="cellIs" dxfId="1305" priority="1290" operator="lessThan">
      <formula>0</formula>
    </cfRule>
  </conditionalFormatting>
  <conditionalFormatting sqref="I34">
    <cfRule type="cellIs" dxfId="1304" priority="1289" operator="lessThan">
      <formula>0</formula>
    </cfRule>
  </conditionalFormatting>
  <conditionalFormatting sqref="I34">
    <cfRule type="cellIs" dxfId="1303" priority="1288" operator="lessThan">
      <formula>0</formula>
    </cfRule>
  </conditionalFormatting>
  <conditionalFormatting sqref="I34">
    <cfRule type="cellIs" dxfId="1302" priority="1287" operator="lessThan">
      <formula>0</formula>
    </cfRule>
  </conditionalFormatting>
  <conditionalFormatting sqref="I34">
    <cfRule type="cellIs" dxfId="1301" priority="1286" operator="lessThan">
      <formula>0</formula>
    </cfRule>
  </conditionalFormatting>
  <conditionalFormatting sqref="I34">
    <cfRule type="cellIs" dxfId="1300" priority="1285" operator="lessThan">
      <formula>0</formula>
    </cfRule>
  </conditionalFormatting>
  <conditionalFormatting sqref="I34">
    <cfRule type="cellIs" dxfId="1299" priority="1284" operator="lessThan">
      <formula>0</formula>
    </cfRule>
  </conditionalFormatting>
  <conditionalFormatting sqref="I34">
    <cfRule type="cellIs" dxfId="1298" priority="1283" operator="lessThan">
      <formula>0</formula>
    </cfRule>
  </conditionalFormatting>
  <conditionalFormatting sqref="I34">
    <cfRule type="cellIs" dxfId="1297" priority="1282" operator="lessThan">
      <formula>0</formula>
    </cfRule>
  </conditionalFormatting>
  <conditionalFormatting sqref="I34">
    <cfRule type="cellIs" dxfId="1296" priority="1281" operator="lessThan">
      <formula>0</formula>
    </cfRule>
  </conditionalFormatting>
  <conditionalFormatting sqref="I34">
    <cfRule type="cellIs" dxfId="1295" priority="1280" operator="lessThan">
      <formula>0</formula>
    </cfRule>
  </conditionalFormatting>
  <conditionalFormatting sqref="I34">
    <cfRule type="cellIs" dxfId="1294" priority="1279" operator="lessThan">
      <formula>0</formula>
    </cfRule>
  </conditionalFormatting>
  <conditionalFormatting sqref="I34">
    <cfRule type="cellIs" dxfId="1293" priority="1278" operator="lessThan">
      <formula>0</formula>
    </cfRule>
  </conditionalFormatting>
  <conditionalFormatting sqref="I34">
    <cfRule type="cellIs" dxfId="1292" priority="1277" operator="lessThan">
      <formula>0</formula>
    </cfRule>
  </conditionalFormatting>
  <conditionalFormatting sqref="I34">
    <cfRule type="cellIs" dxfId="1291" priority="1276" operator="lessThan">
      <formula>0</formula>
    </cfRule>
  </conditionalFormatting>
  <conditionalFormatting sqref="I34">
    <cfRule type="cellIs" dxfId="1290" priority="1275" operator="lessThan">
      <formula>0</formula>
    </cfRule>
  </conditionalFormatting>
  <conditionalFormatting sqref="I34">
    <cfRule type="cellIs" dxfId="1289" priority="1274" operator="lessThan">
      <formula>0</formula>
    </cfRule>
  </conditionalFormatting>
  <conditionalFormatting sqref="I34">
    <cfRule type="cellIs" dxfId="1288" priority="1273" operator="lessThan">
      <formula>0</formula>
    </cfRule>
  </conditionalFormatting>
  <conditionalFormatting sqref="I34">
    <cfRule type="cellIs" dxfId="1287" priority="1272" operator="lessThan">
      <formula>0</formula>
    </cfRule>
  </conditionalFormatting>
  <conditionalFormatting sqref="I34">
    <cfRule type="cellIs" dxfId="1286" priority="1271" operator="lessThan">
      <formula>0</formula>
    </cfRule>
  </conditionalFormatting>
  <conditionalFormatting sqref="I34">
    <cfRule type="cellIs" dxfId="1285" priority="1270" operator="lessThan">
      <formula>0</formula>
    </cfRule>
  </conditionalFormatting>
  <conditionalFormatting sqref="I34">
    <cfRule type="cellIs" dxfId="1284" priority="1269" operator="lessThan">
      <formula>0</formula>
    </cfRule>
  </conditionalFormatting>
  <conditionalFormatting sqref="I34">
    <cfRule type="cellIs" dxfId="1283" priority="1268" operator="lessThan">
      <formula>0</formula>
    </cfRule>
  </conditionalFormatting>
  <conditionalFormatting sqref="I34">
    <cfRule type="cellIs" dxfId="1282" priority="1267" operator="lessThan">
      <formula>0</formula>
    </cfRule>
  </conditionalFormatting>
  <conditionalFormatting sqref="I34">
    <cfRule type="cellIs" dxfId="1281" priority="1266" operator="lessThan">
      <formula>0</formula>
    </cfRule>
  </conditionalFormatting>
  <conditionalFormatting sqref="I34">
    <cfRule type="cellIs" dxfId="1280" priority="1265" operator="lessThan">
      <formula>0</formula>
    </cfRule>
  </conditionalFormatting>
  <conditionalFormatting sqref="I34">
    <cfRule type="cellIs" dxfId="1279" priority="1264" operator="lessThan">
      <formula>0</formula>
    </cfRule>
  </conditionalFormatting>
  <conditionalFormatting sqref="I34">
    <cfRule type="cellIs" dxfId="1278" priority="1263" operator="lessThan">
      <formula>0</formula>
    </cfRule>
  </conditionalFormatting>
  <conditionalFormatting sqref="I34">
    <cfRule type="cellIs" dxfId="1277" priority="1262" operator="lessThan">
      <formula>0</formula>
    </cfRule>
  </conditionalFormatting>
  <conditionalFormatting sqref="I34">
    <cfRule type="cellIs" dxfId="1276" priority="1261" operator="lessThan">
      <formula>0</formula>
    </cfRule>
  </conditionalFormatting>
  <conditionalFormatting sqref="I34">
    <cfRule type="cellIs" dxfId="1275" priority="1260" operator="lessThan">
      <formula>0</formula>
    </cfRule>
  </conditionalFormatting>
  <conditionalFormatting sqref="I34">
    <cfRule type="cellIs" dxfId="1274" priority="1259" operator="lessThan">
      <formula>0</formula>
    </cfRule>
  </conditionalFormatting>
  <conditionalFormatting sqref="I34">
    <cfRule type="cellIs" dxfId="1273" priority="1258" operator="lessThan">
      <formula>0</formula>
    </cfRule>
  </conditionalFormatting>
  <conditionalFormatting sqref="I34">
    <cfRule type="cellIs" dxfId="1272" priority="1257" operator="lessThan">
      <formula>0</formula>
    </cfRule>
  </conditionalFormatting>
  <conditionalFormatting sqref="I34">
    <cfRule type="cellIs" dxfId="1271" priority="1256" operator="lessThan">
      <formula>0</formula>
    </cfRule>
  </conditionalFormatting>
  <conditionalFormatting sqref="I34">
    <cfRule type="cellIs" dxfId="1270" priority="1255" operator="lessThan">
      <formula>0</formula>
    </cfRule>
  </conditionalFormatting>
  <conditionalFormatting sqref="I34">
    <cfRule type="cellIs" dxfId="1269" priority="1254" operator="lessThan">
      <formula>0</formula>
    </cfRule>
  </conditionalFormatting>
  <conditionalFormatting sqref="I34">
    <cfRule type="cellIs" dxfId="1268" priority="1253" operator="lessThan">
      <formula>0</formula>
    </cfRule>
  </conditionalFormatting>
  <conditionalFormatting sqref="I34">
    <cfRule type="cellIs" dxfId="1267" priority="1252" operator="lessThan">
      <formula>0</formula>
    </cfRule>
  </conditionalFormatting>
  <conditionalFormatting sqref="I34">
    <cfRule type="cellIs" dxfId="1266" priority="1251" operator="lessThan">
      <formula>0</formula>
    </cfRule>
  </conditionalFormatting>
  <conditionalFormatting sqref="I34">
    <cfRule type="cellIs" dxfId="1265" priority="1250" operator="lessThan">
      <formula>0</formula>
    </cfRule>
  </conditionalFormatting>
  <conditionalFormatting sqref="I34">
    <cfRule type="cellIs" dxfId="1264" priority="1249" operator="lessThan">
      <formula>0</formula>
    </cfRule>
  </conditionalFormatting>
  <conditionalFormatting sqref="I34">
    <cfRule type="cellIs" dxfId="1263" priority="1248" operator="lessThan">
      <formula>0</formula>
    </cfRule>
  </conditionalFormatting>
  <conditionalFormatting sqref="I34">
    <cfRule type="cellIs" dxfId="1262" priority="1247" operator="lessThan">
      <formula>0</formula>
    </cfRule>
  </conditionalFormatting>
  <conditionalFormatting sqref="I34">
    <cfRule type="cellIs" dxfId="1261" priority="1246" operator="lessThan">
      <formula>0</formula>
    </cfRule>
  </conditionalFormatting>
  <conditionalFormatting sqref="I34">
    <cfRule type="cellIs" dxfId="1260" priority="1245" operator="lessThan">
      <formula>0</formula>
    </cfRule>
  </conditionalFormatting>
  <conditionalFormatting sqref="I34">
    <cfRule type="cellIs" dxfId="1259" priority="1244" operator="lessThan">
      <formula>0</formula>
    </cfRule>
  </conditionalFormatting>
  <conditionalFormatting sqref="I34">
    <cfRule type="cellIs" dxfId="1258" priority="1243" operator="lessThan">
      <formula>0</formula>
    </cfRule>
  </conditionalFormatting>
  <conditionalFormatting sqref="I34">
    <cfRule type="cellIs" dxfId="1257" priority="1242" operator="lessThan">
      <formula>0</formula>
    </cfRule>
  </conditionalFormatting>
  <conditionalFormatting sqref="I34">
    <cfRule type="cellIs" dxfId="1256" priority="1241" operator="lessThan">
      <formula>0</formula>
    </cfRule>
  </conditionalFormatting>
  <conditionalFormatting sqref="I34">
    <cfRule type="cellIs" dxfId="1255" priority="1240" operator="lessThan">
      <formula>0</formula>
    </cfRule>
  </conditionalFormatting>
  <conditionalFormatting sqref="I34">
    <cfRule type="cellIs" dxfId="1254" priority="1239" operator="lessThan">
      <formula>0</formula>
    </cfRule>
  </conditionalFormatting>
  <conditionalFormatting sqref="I34">
    <cfRule type="cellIs" dxfId="1253" priority="1238" operator="lessThan">
      <formula>0</formula>
    </cfRule>
  </conditionalFormatting>
  <conditionalFormatting sqref="I34">
    <cfRule type="cellIs" dxfId="1252" priority="1237" operator="lessThan">
      <formula>0</formula>
    </cfRule>
  </conditionalFormatting>
  <conditionalFormatting sqref="I34">
    <cfRule type="cellIs" dxfId="1251" priority="1236" operator="lessThan">
      <formula>0</formula>
    </cfRule>
  </conditionalFormatting>
  <conditionalFormatting sqref="I34">
    <cfRule type="cellIs" dxfId="1250" priority="1235" operator="lessThan">
      <formula>0</formula>
    </cfRule>
  </conditionalFormatting>
  <conditionalFormatting sqref="I34">
    <cfRule type="cellIs" dxfId="1249" priority="1234" operator="lessThan">
      <formula>0</formula>
    </cfRule>
  </conditionalFormatting>
  <conditionalFormatting sqref="I34">
    <cfRule type="cellIs" dxfId="1248" priority="1233" operator="lessThan">
      <formula>0</formula>
    </cfRule>
  </conditionalFormatting>
  <conditionalFormatting sqref="I34">
    <cfRule type="cellIs" dxfId="1247" priority="1232" operator="lessThan">
      <formula>0</formula>
    </cfRule>
  </conditionalFormatting>
  <conditionalFormatting sqref="I34">
    <cfRule type="cellIs" dxfId="1246" priority="1231" operator="lessThan">
      <formula>0</formula>
    </cfRule>
  </conditionalFormatting>
  <conditionalFormatting sqref="I34">
    <cfRule type="cellIs" dxfId="1245" priority="1230" operator="lessThan">
      <formula>0</formula>
    </cfRule>
  </conditionalFormatting>
  <conditionalFormatting sqref="I34">
    <cfRule type="cellIs" dxfId="1244" priority="1229" operator="lessThan">
      <formula>0</formula>
    </cfRule>
  </conditionalFormatting>
  <conditionalFormatting sqref="I34">
    <cfRule type="cellIs" dxfId="1243" priority="1228" operator="lessThan">
      <formula>0</formula>
    </cfRule>
  </conditionalFormatting>
  <conditionalFormatting sqref="I34">
    <cfRule type="cellIs" dxfId="1242" priority="1227" operator="lessThan">
      <formula>0</formula>
    </cfRule>
  </conditionalFormatting>
  <conditionalFormatting sqref="I34">
    <cfRule type="cellIs" dxfId="1241" priority="1226" operator="lessThan">
      <formula>0</formula>
    </cfRule>
  </conditionalFormatting>
  <conditionalFormatting sqref="I34">
    <cfRule type="cellIs" dxfId="1240" priority="1225" operator="lessThan">
      <formula>0</formula>
    </cfRule>
  </conditionalFormatting>
  <conditionalFormatting sqref="I34">
    <cfRule type="cellIs" dxfId="1239" priority="1224" operator="lessThan">
      <formula>0</formula>
    </cfRule>
  </conditionalFormatting>
  <conditionalFormatting sqref="I34">
    <cfRule type="cellIs" dxfId="1238" priority="1223" operator="lessThan">
      <formula>0</formula>
    </cfRule>
  </conditionalFormatting>
  <conditionalFormatting sqref="I34">
    <cfRule type="cellIs" dxfId="1237" priority="1222" operator="lessThan">
      <formula>0</formula>
    </cfRule>
  </conditionalFormatting>
  <conditionalFormatting sqref="I34">
    <cfRule type="cellIs" dxfId="1236" priority="1221" operator="lessThan">
      <formula>0</formula>
    </cfRule>
  </conditionalFormatting>
  <conditionalFormatting sqref="I34">
    <cfRule type="cellIs" dxfId="1235" priority="1220" operator="lessThan">
      <formula>0</formula>
    </cfRule>
  </conditionalFormatting>
  <conditionalFormatting sqref="I34">
    <cfRule type="cellIs" dxfId="1234" priority="1219" operator="lessThan">
      <formula>0</formula>
    </cfRule>
  </conditionalFormatting>
  <conditionalFormatting sqref="I34">
    <cfRule type="cellIs" dxfId="1233" priority="1218" operator="lessThan">
      <formula>0</formula>
    </cfRule>
  </conditionalFormatting>
  <conditionalFormatting sqref="I34">
    <cfRule type="cellIs" dxfId="1232" priority="1217" operator="lessThan">
      <formula>0</formula>
    </cfRule>
  </conditionalFormatting>
  <conditionalFormatting sqref="I34">
    <cfRule type="cellIs" dxfId="1231" priority="1216" operator="lessThan">
      <formula>0</formula>
    </cfRule>
  </conditionalFormatting>
  <conditionalFormatting sqref="I34">
    <cfRule type="cellIs" dxfId="1230" priority="1215" operator="lessThan">
      <formula>0</formula>
    </cfRule>
  </conditionalFormatting>
  <conditionalFormatting sqref="I34">
    <cfRule type="cellIs" dxfId="1229" priority="1214" operator="lessThan">
      <formula>0</formula>
    </cfRule>
  </conditionalFormatting>
  <conditionalFormatting sqref="I34">
    <cfRule type="cellIs" dxfId="1228" priority="1213" operator="lessThan">
      <formula>0</formula>
    </cfRule>
  </conditionalFormatting>
  <conditionalFormatting sqref="I34">
    <cfRule type="cellIs" dxfId="1227" priority="1212" operator="lessThan">
      <formula>0</formula>
    </cfRule>
  </conditionalFormatting>
  <conditionalFormatting sqref="I34">
    <cfRule type="cellIs" dxfId="1226" priority="1211" operator="lessThan">
      <formula>0</formula>
    </cfRule>
  </conditionalFormatting>
  <conditionalFormatting sqref="I34">
    <cfRule type="cellIs" dxfId="1225" priority="1210" operator="lessThan">
      <formula>0</formula>
    </cfRule>
  </conditionalFormatting>
  <conditionalFormatting sqref="I34">
    <cfRule type="cellIs" dxfId="1224" priority="1209" operator="lessThan">
      <formula>0</formula>
    </cfRule>
  </conditionalFormatting>
  <conditionalFormatting sqref="I34">
    <cfRule type="cellIs" dxfId="1223" priority="1208" operator="lessThan">
      <formula>0</formula>
    </cfRule>
  </conditionalFormatting>
  <conditionalFormatting sqref="I34">
    <cfRule type="cellIs" dxfId="1222" priority="1207" operator="lessThan">
      <formula>0</formula>
    </cfRule>
  </conditionalFormatting>
  <conditionalFormatting sqref="I34">
    <cfRule type="cellIs" dxfId="1221" priority="1206" operator="lessThan">
      <formula>0</formula>
    </cfRule>
  </conditionalFormatting>
  <conditionalFormatting sqref="I34">
    <cfRule type="cellIs" dxfId="1220" priority="1205" operator="lessThan">
      <formula>0</formula>
    </cfRule>
  </conditionalFormatting>
  <conditionalFormatting sqref="I34">
    <cfRule type="cellIs" dxfId="1219" priority="1204" operator="lessThan">
      <formula>0</formula>
    </cfRule>
  </conditionalFormatting>
  <conditionalFormatting sqref="I34">
    <cfRule type="cellIs" dxfId="1218" priority="1203" operator="lessThan">
      <formula>0</formula>
    </cfRule>
  </conditionalFormatting>
  <conditionalFormatting sqref="I34">
    <cfRule type="cellIs" dxfId="1217" priority="1202" operator="lessThan">
      <formula>0</formula>
    </cfRule>
  </conditionalFormatting>
  <conditionalFormatting sqref="I34">
    <cfRule type="cellIs" dxfId="1216" priority="1201" operator="lessThan">
      <formula>0</formula>
    </cfRule>
  </conditionalFormatting>
  <conditionalFormatting sqref="I34">
    <cfRule type="cellIs" dxfId="1215" priority="1200" operator="lessThan">
      <formula>0</formula>
    </cfRule>
  </conditionalFormatting>
  <conditionalFormatting sqref="I34">
    <cfRule type="cellIs" dxfId="1214" priority="1199" operator="lessThan">
      <formula>0</formula>
    </cfRule>
  </conditionalFormatting>
  <conditionalFormatting sqref="I34">
    <cfRule type="cellIs" dxfId="1213" priority="1198" operator="lessThan">
      <formula>0</formula>
    </cfRule>
  </conditionalFormatting>
  <conditionalFormatting sqref="I34">
    <cfRule type="cellIs" dxfId="1212" priority="1197" operator="lessThan">
      <formula>0</formula>
    </cfRule>
  </conditionalFormatting>
  <conditionalFormatting sqref="I34">
    <cfRule type="cellIs" dxfId="1211" priority="1196" operator="lessThan">
      <formula>0</formula>
    </cfRule>
  </conditionalFormatting>
  <conditionalFormatting sqref="I34">
    <cfRule type="cellIs" dxfId="1210" priority="1195" operator="lessThan">
      <formula>0</formula>
    </cfRule>
  </conditionalFormatting>
  <conditionalFormatting sqref="I34">
    <cfRule type="cellIs" dxfId="1209" priority="1194" operator="lessThan">
      <formula>0</formula>
    </cfRule>
  </conditionalFormatting>
  <conditionalFormatting sqref="I34">
    <cfRule type="cellIs" dxfId="1208" priority="1193" operator="lessThan">
      <formula>0</formula>
    </cfRule>
  </conditionalFormatting>
  <conditionalFormatting sqref="I34">
    <cfRule type="cellIs" dxfId="1207" priority="1192" operator="lessThan">
      <formula>0</formula>
    </cfRule>
  </conditionalFormatting>
  <conditionalFormatting sqref="I34">
    <cfRule type="cellIs" dxfId="1206" priority="1191" operator="lessThan">
      <formula>0</formula>
    </cfRule>
  </conditionalFormatting>
  <conditionalFormatting sqref="I34">
    <cfRule type="cellIs" dxfId="1205" priority="1190" operator="lessThan">
      <formula>0</formula>
    </cfRule>
  </conditionalFormatting>
  <conditionalFormatting sqref="I34">
    <cfRule type="cellIs" dxfId="1204" priority="1189" operator="lessThan">
      <formula>0</formula>
    </cfRule>
  </conditionalFormatting>
  <conditionalFormatting sqref="I34">
    <cfRule type="cellIs" dxfId="1203" priority="1188" operator="lessThan">
      <formula>0</formula>
    </cfRule>
  </conditionalFormatting>
  <conditionalFormatting sqref="I34">
    <cfRule type="cellIs" dxfId="1202" priority="1187" operator="lessThan">
      <formula>0</formula>
    </cfRule>
  </conditionalFormatting>
  <conditionalFormatting sqref="I34">
    <cfRule type="cellIs" dxfId="1201" priority="1186" operator="lessThan">
      <formula>0</formula>
    </cfRule>
  </conditionalFormatting>
  <conditionalFormatting sqref="I34">
    <cfRule type="cellIs" dxfId="1200" priority="1185" operator="lessThan">
      <formula>0</formula>
    </cfRule>
  </conditionalFormatting>
  <conditionalFormatting sqref="I34">
    <cfRule type="cellIs" dxfId="1199" priority="1184" operator="lessThan">
      <formula>0</formula>
    </cfRule>
  </conditionalFormatting>
  <conditionalFormatting sqref="I34">
    <cfRule type="cellIs" dxfId="1198" priority="1183" operator="lessThan">
      <formula>0</formula>
    </cfRule>
  </conditionalFormatting>
  <conditionalFormatting sqref="I34">
    <cfRule type="cellIs" dxfId="1197" priority="1182" operator="lessThan">
      <formula>0</formula>
    </cfRule>
  </conditionalFormatting>
  <conditionalFormatting sqref="I34">
    <cfRule type="cellIs" dxfId="1196" priority="1181" operator="lessThan">
      <formula>0</formula>
    </cfRule>
  </conditionalFormatting>
  <conditionalFormatting sqref="I34">
    <cfRule type="cellIs" dxfId="1195" priority="1180" operator="lessThan">
      <formula>0</formula>
    </cfRule>
  </conditionalFormatting>
  <conditionalFormatting sqref="I34">
    <cfRule type="cellIs" dxfId="1194" priority="1179" operator="lessThan">
      <formula>0</formula>
    </cfRule>
  </conditionalFormatting>
  <conditionalFormatting sqref="I34">
    <cfRule type="cellIs" dxfId="1193" priority="1178" operator="lessThan">
      <formula>0</formula>
    </cfRule>
  </conditionalFormatting>
  <conditionalFormatting sqref="I34">
    <cfRule type="cellIs" dxfId="1192" priority="1177" operator="lessThan">
      <formula>0</formula>
    </cfRule>
  </conditionalFormatting>
  <conditionalFormatting sqref="I34">
    <cfRule type="cellIs" dxfId="1191" priority="1176" operator="lessThan">
      <formula>0</formula>
    </cfRule>
  </conditionalFormatting>
  <conditionalFormatting sqref="I34">
    <cfRule type="cellIs" dxfId="1190" priority="1175" operator="lessThan">
      <formula>0</formula>
    </cfRule>
  </conditionalFormatting>
  <conditionalFormatting sqref="I34">
    <cfRule type="cellIs" dxfId="1189" priority="1174" operator="lessThan">
      <formula>0</formula>
    </cfRule>
  </conditionalFormatting>
  <conditionalFormatting sqref="I34">
    <cfRule type="cellIs" dxfId="1188" priority="1173" operator="lessThan">
      <formula>0</formula>
    </cfRule>
  </conditionalFormatting>
  <conditionalFormatting sqref="I34">
    <cfRule type="cellIs" dxfId="1187" priority="1172" operator="lessThan">
      <formula>0</formula>
    </cfRule>
  </conditionalFormatting>
  <conditionalFormatting sqref="I34">
    <cfRule type="cellIs" dxfId="1186" priority="1171" operator="lessThan">
      <formula>0</formula>
    </cfRule>
  </conditionalFormatting>
  <conditionalFormatting sqref="I34">
    <cfRule type="cellIs" dxfId="1185" priority="1170" operator="lessThan">
      <formula>0</formula>
    </cfRule>
  </conditionalFormatting>
  <conditionalFormatting sqref="I34">
    <cfRule type="cellIs" dxfId="1184" priority="1169" operator="lessThan">
      <formula>0</formula>
    </cfRule>
  </conditionalFormatting>
  <conditionalFormatting sqref="I34">
    <cfRule type="cellIs" dxfId="1183" priority="1168" operator="lessThan">
      <formula>0</formula>
    </cfRule>
  </conditionalFormatting>
  <conditionalFormatting sqref="I34">
    <cfRule type="cellIs" dxfId="1182" priority="1167" operator="lessThan">
      <formula>0</formula>
    </cfRule>
  </conditionalFormatting>
  <conditionalFormatting sqref="I34">
    <cfRule type="cellIs" dxfId="1181" priority="1166" operator="lessThan">
      <formula>0</formula>
    </cfRule>
  </conditionalFormatting>
  <conditionalFormatting sqref="I34">
    <cfRule type="cellIs" dxfId="1180" priority="1165" operator="lessThan">
      <formula>0</formula>
    </cfRule>
  </conditionalFormatting>
  <conditionalFormatting sqref="I34">
    <cfRule type="cellIs" dxfId="1179" priority="1164" operator="lessThan">
      <formula>0</formula>
    </cfRule>
  </conditionalFormatting>
  <conditionalFormatting sqref="I34">
    <cfRule type="cellIs" dxfId="1178" priority="1163" operator="lessThan">
      <formula>0</formula>
    </cfRule>
  </conditionalFormatting>
  <conditionalFormatting sqref="I34">
    <cfRule type="cellIs" dxfId="1177" priority="1162" operator="lessThan">
      <formula>0</formula>
    </cfRule>
  </conditionalFormatting>
  <conditionalFormatting sqref="I34">
    <cfRule type="cellIs" dxfId="1176" priority="1161" operator="lessThan">
      <formula>0</formula>
    </cfRule>
  </conditionalFormatting>
  <conditionalFormatting sqref="I34">
    <cfRule type="cellIs" dxfId="1175" priority="1160" operator="lessThan">
      <formula>0</formula>
    </cfRule>
  </conditionalFormatting>
  <conditionalFormatting sqref="I34">
    <cfRule type="cellIs" dxfId="1174" priority="1159" operator="lessThan">
      <formula>0</formula>
    </cfRule>
  </conditionalFormatting>
  <conditionalFormatting sqref="I34">
    <cfRule type="cellIs" dxfId="1173" priority="1158" operator="lessThan">
      <formula>0</formula>
    </cfRule>
  </conditionalFormatting>
  <conditionalFormatting sqref="I34">
    <cfRule type="cellIs" dxfId="1172" priority="1157" operator="lessThan">
      <formula>0</formula>
    </cfRule>
  </conditionalFormatting>
  <conditionalFormatting sqref="I34">
    <cfRule type="cellIs" dxfId="1171" priority="1156" operator="lessThan">
      <formula>0</formula>
    </cfRule>
  </conditionalFormatting>
  <conditionalFormatting sqref="I34">
    <cfRule type="cellIs" dxfId="1170" priority="1155" operator="lessThan">
      <formula>0</formula>
    </cfRule>
  </conditionalFormatting>
  <conditionalFormatting sqref="I34">
    <cfRule type="cellIs" dxfId="1169" priority="1154" operator="lessThan">
      <formula>0</formula>
    </cfRule>
  </conditionalFormatting>
  <conditionalFormatting sqref="I34">
    <cfRule type="cellIs" dxfId="1168" priority="1153" operator="lessThan">
      <formula>0</formula>
    </cfRule>
  </conditionalFormatting>
  <conditionalFormatting sqref="I34">
    <cfRule type="cellIs" dxfId="1167" priority="1152" operator="lessThan">
      <formula>0</formula>
    </cfRule>
  </conditionalFormatting>
  <conditionalFormatting sqref="I34">
    <cfRule type="cellIs" dxfId="1166" priority="1151" operator="lessThan">
      <formula>0</formula>
    </cfRule>
  </conditionalFormatting>
  <conditionalFormatting sqref="I34">
    <cfRule type="cellIs" dxfId="1165" priority="1150" operator="lessThan">
      <formula>0</formula>
    </cfRule>
  </conditionalFormatting>
  <conditionalFormatting sqref="I34">
    <cfRule type="cellIs" dxfId="1164" priority="1149" operator="lessThan">
      <formula>0</formula>
    </cfRule>
  </conditionalFormatting>
  <conditionalFormatting sqref="I34">
    <cfRule type="cellIs" dxfId="1163" priority="1148" operator="lessThan">
      <formula>0</formula>
    </cfRule>
  </conditionalFormatting>
  <conditionalFormatting sqref="I34">
    <cfRule type="cellIs" dxfId="1162" priority="1147" operator="lessThan">
      <formula>0</formula>
    </cfRule>
  </conditionalFormatting>
  <conditionalFormatting sqref="I34">
    <cfRule type="cellIs" dxfId="1161" priority="1146" operator="lessThan">
      <formula>0</formula>
    </cfRule>
  </conditionalFormatting>
  <conditionalFormatting sqref="I34">
    <cfRule type="cellIs" dxfId="1160" priority="1145" operator="lessThan">
      <formula>0</formula>
    </cfRule>
  </conditionalFormatting>
  <conditionalFormatting sqref="I34">
    <cfRule type="cellIs" dxfId="1159" priority="1144" operator="lessThan">
      <formula>0</formula>
    </cfRule>
  </conditionalFormatting>
  <conditionalFormatting sqref="I34">
    <cfRule type="cellIs" dxfId="1158" priority="1143" operator="lessThan">
      <formula>0</formula>
    </cfRule>
  </conditionalFormatting>
  <conditionalFormatting sqref="I34">
    <cfRule type="cellIs" dxfId="1157" priority="1142" operator="lessThan">
      <formula>0</formula>
    </cfRule>
  </conditionalFormatting>
  <conditionalFormatting sqref="I34">
    <cfRule type="cellIs" dxfId="1156" priority="1141" operator="lessThan">
      <formula>0</formula>
    </cfRule>
  </conditionalFormatting>
  <conditionalFormatting sqref="I34">
    <cfRule type="cellIs" dxfId="1155" priority="1140" operator="lessThan">
      <formula>0</formula>
    </cfRule>
  </conditionalFormatting>
  <conditionalFormatting sqref="I34">
    <cfRule type="cellIs" dxfId="1154" priority="1139" operator="lessThan">
      <formula>0</formula>
    </cfRule>
  </conditionalFormatting>
  <conditionalFormatting sqref="I34">
    <cfRule type="cellIs" dxfId="1153" priority="1138" operator="lessThan">
      <formula>0</formula>
    </cfRule>
  </conditionalFormatting>
  <conditionalFormatting sqref="I34">
    <cfRule type="cellIs" dxfId="1152" priority="1137" operator="lessThan">
      <formula>0</formula>
    </cfRule>
  </conditionalFormatting>
  <conditionalFormatting sqref="I34">
    <cfRule type="cellIs" dxfId="1151" priority="1136" operator="lessThan">
      <formula>0</formula>
    </cfRule>
  </conditionalFormatting>
  <conditionalFormatting sqref="I34">
    <cfRule type="cellIs" dxfId="1150" priority="1135" operator="lessThan">
      <formula>0</formula>
    </cfRule>
  </conditionalFormatting>
  <conditionalFormatting sqref="I34">
    <cfRule type="cellIs" dxfId="1149" priority="1134" operator="lessThan">
      <formula>0</formula>
    </cfRule>
  </conditionalFormatting>
  <conditionalFormatting sqref="I34">
    <cfRule type="cellIs" dxfId="1148" priority="1133" operator="lessThan">
      <formula>0</formula>
    </cfRule>
  </conditionalFormatting>
  <conditionalFormatting sqref="I34">
    <cfRule type="cellIs" dxfId="1147" priority="1132" operator="lessThan">
      <formula>0</formula>
    </cfRule>
  </conditionalFormatting>
  <conditionalFormatting sqref="I34">
    <cfRule type="cellIs" dxfId="1146" priority="1131" operator="lessThan">
      <formula>0</formula>
    </cfRule>
  </conditionalFormatting>
  <conditionalFormatting sqref="I34">
    <cfRule type="cellIs" dxfId="1145" priority="1130" operator="lessThan">
      <formula>0</formula>
    </cfRule>
  </conditionalFormatting>
  <conditionalFormatting sqref="I34">
    <cfRule type="cellIs" dxfId="1144" priority="1129" operator="lessThan">
      <formula>0</formula>
    </cfRule>
  </conditionalFormatting>
  <conditionalFormatting sqref="I34">
    <cfRule type="cellIs" dxfId="1143" priority="1128" operator="lessThan">
      <formula>0</formula>
    </cfRule>
  </conditionalFormatting>
  <conditionalFormatting sqref="I34">
    <cfRule type="cellIs" dxfId="1142" priority="1127" operator="lessThan">
      <formula>0</formula>
    </cfRule>
  </conditionalFormatting>
  <conditionalFormatting sqref="I34">
    <cfRule type="cellIs" dxfId="1141" priority="1126" operator="lessThan">
      <formula>0</formula>
    </cfRule>
  </conditionalFormatting>
  <conditionalFormatting sqref="I34">
    <cfRule type="cellIs" dxfId="1140" priority="1125" operator="lessThan">
      <formula>0</formula>
    </cfRule>
  </conditionalFormatting>
  <conditionalFormatting sqref="I34">
    <cfRule type="cellIs" dxfId="1139" priority="1124" operator="lessThan">
      <formula>0</formula>
    </cfRule>
  </conditionalFormatting>
  <conditionalFormatting sqref="I34">
    <cfRule type="cellIs" dxfId="1138" priority="1123" operator="lessThan">
      <formula>0</formula>
    </cfRule>
  </conditionalFormatting>
  <conditionalFormatting sqref="I34">
    <cfRule type="cellIs" dxfId="1137" priority="1122" operator="lessThan">
      <formula>0</formula>
    </cfRule>
  </conditionalFormatting>
  <conditionalFormatting sqref="I34">
    <cfRule type="cellIs" dxfId="1136" priority="1121" operator="lessThan">
      <formula>0</formula>
    </cfRule>
  </conditionalFormatting>
  <conditionalFormatting sqref="I34">
    <cfRule type="cellIs" dxfId="1135" priority="1120" operator="lessThan">
      <formula>0</formula>
    </cfRule>
  </conditionalFormatting>
  <conditionalFormatting sqref="I34">
    <cfRule type="cellIs" dxfId="1134" priority="1119" operator="lessThan">
      <formula>0</formula>
    </cfRule>
  </conditionalFormatting>
  <conditionalFormatting sqref="I34">
    <cfRule type="cellIs" dxfId="1133" priority="1118" operator="lessThan">
      <formula>0</formula>
    </cfRule>
  </conditionalFormatting>
  <conditionalFormatting sqref="I34">
    <cfRule type="cellIs" dxfId="1132" priority="1117" operator="lessThan">
      <formula>0</formula>
    </cfRule>
  </conditionalFormatting>
  <conditionalFormatting sqref="I34">
    <cfRule type="cellIs" dxfId="1131" priority="1116" operator="lessThan">
      <formula>0</formula>
    </cfRule>
  </conditionalFormatting>
  <conditionalFormatting sqref="I34">
    <cfRule type="cellIs" dxfId="1130" priority="1115" operator="lessThan">
      <formula>0</formula>
    </cfRule>
  </conditionalFormatting>
  <conditionalFormatting sqref="I34">
    <cfRule type="cellIs" dxfId="1129" priority="1114" operator="lessThan">
      <formula>0</formula>
    </cfRule>
  </conditionalFormatting>
  <conditionalFormatting sqref="I34">
    <cfRule type="cellIs" dxfId="1128" priority="1113" operator="lessThan">
      <formula>0</formula>
    </cfRule>
  </conditionalFormatting>
  <conditionalFormatting sqref="I34">
    <cfRule type="cellIs" dxfId="1127" priority="1112" operator="lessThan">
      <formula>0</formula>
    </cfRule>
  </conditionalFormatting>
  <conditionalFormatting sqref="I34">
    <cfRule type="cellIs" dxfId="1126" priority="1111" operator="lessThan">
      <formula>0</formula>
    </cfRule>
  </conditionalFormatting>
  <conditionalFormatting sqref="I34">
    <cfRule type="cellIs" dxfId="1125" priority="1110" operator="lessThan">
      <formula>0</formula>
    </cfRule>
  </conditionalFormatting>
  <conditionalFormatting sqref="I34">
    <cfRule type="cellIs" dxfId="1124" priority="1109" operator="lessThan">
      <formula>0</formula>
    </cfRule>
  </conditionalFormatting>
  <conditionalFormatting sqref="I34">
    <cfRule type="cellIs" dxfId="1123" priority="1108" operator="lessThan">
      <formula>0</formula>
    </cfRule>
  </conditionalFormatting>
  <conditionalFormatting sqref="I34">
    <cfRule type="cellIs" dxfId="1122" priority="1107" operator="lessThan">
      <formula>0</formula>
    </cfRule>
  </conditionalFormatting>
  <conditionalFormatting sqref="I34">
    <cfRule type="cellIs" dxfId="1121" priority="1106" operator="lessThan">
      <formula>0</formula>
    </cfRule>
  </conditionalFormatting>
  <conditionalFormatting sqref="I34">
    <cfRule type="cellIs" dxfId="1120" priority="1105" operator="lessThan">
      <formula>0</formula>
    </cfRule>
  </conditionalFormatting>
  <conditionalFormatting sqref="I34">
    <cfRule type="cellIs" dxfId="1119" priority="1104" operator="lessThan">
      <formula>0</formula>
    </cfRule>
  </conditionalFormatting>
  <conditionalFormatting sqref="I34">
    <cfRule type="cellIs" dxfId="1118" priority="1103" operator="lessThan">
      <formula>0</formula>
    </cfRule>
  </conditionalFormatting>
  <conditionalFormatting sqref="I34">
    <cfRule type="cellIs" dxfId="1117" priority="1102" operator="lessThan">
      <formula>0</formula>
    </cfRule>
  </conditionalFormatting>
  <conditionalFormatting sqref="I34">
    <cfRule type="cellIs" dxfId="1116" priority="1101" operator="lessThan">
      <formula>0</formula>
    </cfRule>
  </conditionalFormatting>
  <conditionalFormatting sqref="I34">
    <cfRule type="cellIs" dxfId="1115" priority="1100" operator="lessThan">
      <formula>0</formula>
    </cfRule>
  </conditionalFormatting>
  <conditionalFormatting sqref="I34">
    <cfRule type="cellIs" dxfId="1114" priority="1099" operator="lessThan">
      <formula>0</formula>
    </cfRule>
  </conditionalFormatting>
  <conditionalFormatting sqref="I34">
    <cfRule type="cellIs" dxfId="1113" priority="1098" operator="lessThan">
      <formula>0</formula>
    </cfRule>
  </conditionalFormatting>
  <conditionalFormatting sqref="I34">
    <cfRule type="cellIs" dxfId="1112" priority="1097" operator="lessThan">
      <formula>0</formula>
    </cfRule>
  </conditionalFormatting>
  <conditionalFormatting sqref="I34">
    <cfRule type="cellIs" dxfId="1111" priority="1096" operator="lessThan">
      <formula>0</formula>
    </cfRule>
  </conditionalFormatting>
  <conditionalFormatting sqref="I34">
    <cfRule type="cellIs" dxfId="1110" priority="1095" operator="lessThan">
      <formula>0</formula>
    </cfRule>
  </conditionalFormatting>
  <conditionalFormatting sqref="I34">
    <cfRule type="cellIs" dxfId="1109" priority="1094" operator="lessThan">
      <formula>0</formula>
    </cfRule>
  </conditionalFormatting>
  <conditionalFormatting sqref="I34">
    <cfRule type="cellIs" dxfId="1108" priority="1093" operator="lessThan">
      <formula>0</formula>
    </cfRule>
  </conditionalFormatting>
  <conditionalFormatting sqref="I34">
    <cfRule type="cellIs" dxfId="1107" priority="1092" operator="lessThan">
      <formula>0</formula>
    </cfRule>
  </conditionalFormatting>
  <conditionalFormatting sqref="I34">
    <cfRule type="cellIs" dxfId="1106" priority="1091" operator="lessThan">
      <formula>0</formula>
    </cfRule>
  </conditionalFormatting>
  <conditionalFormatting sqref="I34">
    <cfRule type="cellIs" dxfId="1105" priority="1090" operator="lessThan">
      <formula>0</formula>
    </cfRule>
  </conditionalFormatting>
  <conditionalFormatting sqref="I34">
    <cfRule type="cellIs" dxfId="1104" priority="1089" operator="lessThan">
      <formula>0</formula>
    </cfRule>
  </conditionalFormatting>
  <conditionalFormatting sqref="I34">
    <cfRule type="cellIs" dxfId="1103" priority="1088" operator="lessThan">
      <formula>0</formula>
    </cfRule>
  </conditionalFormatting>
  <conditionalFormatting sqref="I34">
    <cfRule type="cellIs" dxfId="1102" priority="1087" operator="lessThan">
      <formula>0</formula>
    </cfRule>
  </conditionalFormatting>
  <conditionalFormatting sqref="I34">
    <cfRule type="cellIs" dxfId="1101" priority="1086" operator="lessThan">
      <formula>0</formula>
    </cfRule>
  </conditionalFormatting>
  <conditionalFormatting sqref="I34">
    <cfRule type="cellIs" dxfId="1100" priority="1085" operator="lessThan">
      <formula>0</formula>
    </cfRule>
  </conditionalFormatting>
  <conditionalFormatting sqref="I34">
    <cfRule type="cellIs" dxfId="1099" priority="1084" operator="lessThan">
      <formula>0</formula>
    </cfRule>
  </conditionalFormatting>
  <conditionalFormatting sqref="I34">
    <cfRule type="cellIs" dxfId="1098" priority="1083" operator="lessThan">
      <formula>0</formula>
    </cfRule>
  </conditionalFormatting>
  <conditionalFormatting sqref="I34">
    <cfRule type="cellIs" dxfId="1097" priority="1082" operator="lessThan">
      <formula>0</formula>
    </cfRule>
  </conditionalFormatting>
  <conditionalFormatting sqref="I34">
    <cfRule type="cellIs" dxfId="1096" priority="1081" operator="lessThan">
      <formula>0</formula>
    </cfRule>
  </conditionalFormatting>
  <conditionalFormatting sqref="I34">
    <cfRule type="cellIs" dxfId="1095" priority="1080" operator="lessThan">
      <formula>0</formula>
    </cfRule>
  </conditionalFormatting>
  <conditionalFormatting sqref="I34">
    <cfRule type="cellIs" dxfId="1094" priority="1079" operator="lessThan">
      <formula>0</formula>
    </cfRule>
  </conditionalFormatting>
  <conditionalFormatting sqref="I34">
    <cfRule type="cellIs" dxfId="1093" priority="1078" operator="lessThan">
      <formula>0</formula>
    </cfRule>
  </conditionalFormatting>
  <conditionalFormatting sqref="I34">
    <cfRule type="cellIs" dxfId="1092" priority="1077" operator="lessThan">
      <formula>0</formula>
    </cfRule>
  </conditionalFormatting>
  <conditionalFormatting sqref="I34">
    <cfRule type="cellIs" dxfId="1091" priority="1076" operator="lessThan">
      <formula>0</formula>
    </cfRule>
  </conditionalFormatting>
  <conditionalFormatting sqref="I34">
    <cfRule type="cellIs" dxfId="1090" priority="1075" operator="lessThan">
      <formula>0</formula>
    </cfRule>
  </conditionalFormatting>
  <conditionalFormatting sqref="I34">
    <cfRule type="cellIs" dxfId="1089" priority="1074" operator="lessThan">
      <formula>0</formula>
    </cfRule>
  </conditionalFormatting>
  <conditionalFormatting sqref="I34">
    <cfRule type="cellIs" dxfId="1088" priority="1073" operator="lessThan">
      <formula>0</formula>
    </cfRule>
  </conditionalFormatting>
  <conditionalFormatting sqref="I34">
    <cfRule type="cellIs" dxfId="1087" priority="1072" operator="lessThan">
      <formula>0</formula>
    </cfRule>
  </conditionalFormatting>
  <conditionalFormatting sqref="I34">
    <cfRule type="cellIs" dxfId="1086" priority="1071" operator="lessThan">
      <formula>0</formula>
    </cfRule>
  </conditionalFormatting>
  <conditionalFormatting sqref="I34">
    <cfRule type="cellIs" dxfId="1085" priority="1070" operator="lessThan">
      <formula>0</formula>
    </cfRule>
  </conditionalFormatting>
  <conditionalFormatting sqref="I34">
    <cfRule type="cellIs" dxfId="1084" priority="1069" operator="lessThan">
      <formula>0</formula>
    </cfRule>
  </conditionalFormatting>
  <conditionalFormatting sqref="I34">
    <cfRule type="cellIs" dxfId="1083" priority="1068" operator="lessThan">
      <formula>0</formula>
    </cfRule>
  </conditionalFormatting>
  <conditionalFormatting sqref="I34">
    <cfRule type="cellIs" dxfId="1082" priority="1067" operator="lessThan">
      <formula>0</formula>
    </cfRule>
  </conditionalFormatting>
  <conditionalFormatting sqref="I34">
    <cfRule type="cellIs" dxfId="1081" priority="1066" operator="lessThan">
      <formula>0</formula>
    </cfRule>
  </conditionalFormatting>
  <conditionalFormatting sqref="I34">
    <cfRule type="cellIs" dxfId="1080" priority="1065" operator="lessThan">
      <formula>0</formula>
    </cfRule>
  </conditionalFormatting>
  <conditionalFormatting sqref="I34">
    <cfRule type="cellIs" dxfId="1079" priority="1064" operator="lessThan">
      <formula>0</formula>
    </cfRule>
  </conditionalFormatting>
  <conditionalFormatting sqref="I34">
    <cfRule type="cellIs" dxfId="1078" priority="1063" operator="lessThan">
      <formula>0</formula>
    </cfRule>
  </conditionalFormatting>
  <conditionalFormatting sqref="I34">
    <cfRule type="cellIs" dxfId="1077" priority="1062" operator="lessThan">
      <formula>0</formula>
    </cfRule>
  </conditionalFormatting>
  <conditionalFormatting sqref="I34">
    <cfRule type="cellIs" dxfId="1076" priority="1061" operator="lessThan">
      <formula>0</formula>
    </cfRule>
  </conditionalFormatting>
  <conditionalFormatting sqref="I34">
    <cfRule type="cellIs" dxfId="1075" priority="1060" operator="lessThan">
      <formula>0</formula>
    </cfRule>
  </conditionalFormatting>
  <conditionalFormatting sqref="I34">
    <cfRule type="cellIs" dxfId="1074" priority="1059" operator="lessThan">
      <formula>0</formula>
    </cfRule>
  </conditionalFormatting>
  <conditionalFormatting sqref="I34">
    <cfRule type="cellIs" dxfId="1073" priority="1058" operator="lessThan">
      <formula>0</formula>
    </cfRule>
  </conditionalFormatting>
  <conditionalFormatting sqref="I34">
    <cfRule type="cellIs" dxfId="1072" priority="1057" operator="lessThan">
      <formula>0</formula>
    </cfRule>
  </conditionalFormatting>
  <conditionalFormatting sqref="I34">
    <cfRule type="cellIs" dxfId="1071" priority="1056" operator="lessThan">
      <formula>0</formula>
    </cfRule>
  </conditionalFormatting>
  <conditionalFormatting sqref="I34">
    <cfRule type="cellIs" dxfId="1070" priority="1055" operator="lessThan">
      <formula>0</formula>
    </cfRule>
  </conditionalFormatting>
  <conditionalFormatting sqref="I34">
    <cfRule type="cellIs" dxfId="1069" priority="1054" operator="lessThan">
      <formula>0</formula>
    </cfRule>
  </conditionalFormatting>
  <conditionalFormatting sqref="I34">
    <cfRule type="cellIs" dxfId="1068" priority="1053" operator="lessThan">
      <formula>0</formula>
    </cfRule>
  </conditionalFormatting>
  <conditionalFormatting sqref="I34">
    <cfRule type="cellIs" dxfId="1067" priority="1052" operator="lessThan">
      <formula>0</formula>
    </cfRule>
  </conditionalFormatting>
  <conditionalFormatting sqref="I34">
    <cfRule type="cellIs" dxfId="1066" priority="1051" operator="lessThan">
      <formula>0</formula>
    </cfRule>
  </conditionalFormatting>
  <conditionalFormatting sqref="I34">
    <cfRule type="cellIs" dxfId="1065" priority="1050" operator="lessThan">
      <formula>0</formula>
    </cfRule>
  </conditionalFormatting>
  <conditionalFormatting sqref="I34">
    <cfRule type="cellIs" dxfId="1064" priority="1049" operator="lessThan">
      <formula>0</formula>
    </cfRule>
  </conditionalFormatting>
  <conditionalFormatting sqref="I34">
    <cfRule type="cellIs" dxfId="1063" priority="1048" operator="lessThan">
      <formula>0</formula>
    </cfRule>
  </conditionalFormatting>
  <conditionalFormatting sqref="I34">
    <cfRule type="cellIs" dxfId="1062" priority="1047" operator="lessThan">
      <formula>0</formula>
    </cfRule>
  </conditionalFormatting>
  <conditionalFormatting sqref="I34">
    <cfRule type="cellIs" dxfId="1061" priority="1046" operator="lessThan">
      <formula>0</formula>
    </cfRule>
  </conditionalFormatting>
  <conditionalFormatting sqref="I34">
    <cfRule type="cellIs" dxfId="1060" priority="1045" operator="lessThan">
      <formula>0</formula>
    </cfRule>
  </conditionalFormatting>
  <conditionalFormatting sqref="I34">
    <cfRule type="cellIs" dxfId="1059" priority="1044" operator="lessThan">
      <formula>0</formula>
    </cfRule>
  </conditionalFormatting>
  <conditionalFormatting sqref="I34">
    <cfRule type="cellIs" dxfId="1058" priority="1043" operator="lessThan">
      <formula>0</formula>
    </cfRule>
  </conditionalFormatting>
  <conditionalFormatting sqref="I34">
    <cfRule type="cellIs" dxfId="1057" priority="1042" operator="lessThan">
      <formula>0</formula>
    </cfRule>
  </conditionalFormatting>
  <conditionalFormatting sqref="I34">
    <cfRule type="cellIs" dxfId="1056" priority="1041" operator="lessThan">
      <formula>0</formula>
    </cfRule>
  </conditionalFormatting>
  <conditionalFormatting sqref="I34">
    <cfRule type="cellIs" dxfId="1055" priority="1040" operator="lessThan">
      <formula>0</formula>
    </cfRule>
  </conditionalFormatting>
  <conditionalFormatting sqref="I34">
    <cfRule type="cellIs" dxfId="1054" priority="1039" operator="lessThan">
      <formula>0</formula>
    </cfRule>
  </conditionalFormatting>
  <conditionalFormatting sqref="I34">
    <cfRule type="cellIs" dxfId="1053" priority="1038" operator="lessThan">
      <formula>0</formula>
    </cfRule>
  </conditionalFormatting>
  <conditionalFormatting sqref="I34">
    <cfRule type="cellIs" dxfId="1052" priority="1037" operator="lessThan">
      <formula>0</formula>
    </cfRule>
  </conditionalFormatting>
  <conditionalFormatting sqref="I34">
    <cfRule type="cellIs" dxfId="1051" priority="1036" operator="lessThan">
      <formula>0</formula>
    </cfRule>
  </conditionalFormatting>
  <conditionalFormatting sqref="I34">
    <cfRule type="cellIs" dxfId="1050" priority="1035" operator="lessThan">
      <formula>0</formula>
    </cfRule>
  </conditionalFormatting>
  <conditionalFormatting sqref="I34">
    <cfRule type="cellIs" dxfId="1049" priority="1034" operator="lessThan">
      <formula>0</formula>
    </cfRule>
  </conditionalFormatting>
  <conditionalFormatting sqref="I34">
    <cfRule type="cellIs" dxfId="1048" priority="1033" operator="lessThan">
      <formula>0</formula>
    </cfRule>
  </conditionalFormatting>
  <conditionalFormatting sqref="I34">
    <cfRule type="cellIs" dxfId="1047" priority="1032" operator="lessThan">
      <formula>0</formula>
    </cfRule>
  </conditionalFormatting>
  <conditionalFormatting sqref="I34">
    <cfRule type="cellIs" dxfId="1046" priority="1031" operator="lessThan">
      <formula>0</formula>
    </cfRule>
  </conditionalFormatting>
  <conditionalFormatting sqref="I34">
    <cfRule type="cellIs" dxfId="1045" priority="1030" operator="lessThan">
      <formula>0</formula>
    </cfRule>
  </conditionalFormatting>
  <conditionalFormatting sqref="I34">
    <cfRule type="cellIs" dxfId="1044" priority="1029" operator="lessThan">
      <formula>0</formula>
    </cfRule>
  </conditionalFormatting>
  <conditionalFormatting sqref="I34">
    <cfRule type="cellIs" dxfId="1043" priority="1028" operator="lessThan">
      <formula>0</formula>
    </cfRule>
  </conditionalFormatting>
  <conditionalFormatting sqref="I34">
    <cfRule type="cellIs" dxfId="1042" priority="1027" operator="lessThan">
      <formula>0</formula>
    </cfRule>
  </conditionalFormatting>
  <conditionalFormatting sqref="I34">
    <cfRule type="cellIs" dxfId="1041" priority="1026" operator="lessThan">
      <formula>0</formula>
    </cfRule>
  </conditionalFormatting>
  <conditionalFormatting sqref="I34">
    <cfRule type="cellIs" dxfId="1040" priority="1025" operator="lessThan">
      <formula>0</formula>
    </cfRule>
  </conditionalFormatting>
  <conditionalFormatting sqref="I34">
    <cfRule type="cellIs" dxfId="1039" priority="1024" operator="lessThan">
      <formula>0</formula>
    </cfRule>
  </conditionalFormatting>
  <conditionalFormatting sqref="I34">
    <cfRule type="cellIs" dxfId="1038" priority="1023" operator="lessThan">
      <formula>0</formula>
    </cfRule>
  </conditionalFormatting>
  <conditionalFormatting sqref="I34">
    <cfRule type="cellIs" dxfId="1037" priority="1022" operator="lessThan">
      <formula>0</formula>
    </cfRule>
  </conditionalFormatting>
  <conditionalFormatting sqref="I34">
    <cfRule type="cellIs" dxfId="1036" priority="1021" operator="lessThan">
      <formula>0</formula>
    </cfRule>
  </conditionalFormatting>
  <conditionalFormatting sqref="I34">
    <cfRule type="cellIs" dxfId="1035" priority="1020" operator="lessThan">
      <formula>0</formula>
    </cfRule>
  </conditionalFormatting>
  <conditionalFormatting sqref="I34">
    <cfRule type="cellIs" dxfId="1034" priority="1019" operator="lessThan">
      <formula>0</formula>
    </cfRule>
  </conditionalFormatting>
  <conditionalFormatting sqref="I34">
    <cfRule type="cellIs" dxfId="1033" priority="1018" operator="lessThan">
      <formula>0</formula>
    </cfRule>
  </conditionalFormatting>
  <conditionalFormatting sqref="I22:I29">
    <cfRule type="cellIs" dxfId="1032" priority="1017" operator="lessThan">
      <formula>0</formula>
    </cfRule>
  </conditionalFormatting>
  <conditionalFormatting sqref="I22:I29">
    <cfRule type="cellIs" dxfId="1031" priority="1016" operator="lessThan">
      <formula>0</formula>
    </cfRule>
  </conditionalFormatting>
  <conditionalFormatting sqref="I22:I29">
    <cfRule type="cellIs" dxfId="1030" priority="1015" operator="lessThan">
      <formula>0</formula>
    </cfRule>
  </conditionalFormatting>
  <conditionalFormatting sqref="I22:I29">
    <cfRule type="cellIs" dxfId="1029" priority="1014" operator="lessThan">
      <formula>0</formula>
    </cfRule>
  </conditionalFormatting>
  <conditionalFormatting sqref="I22:I29">
    <cfRule type="cellIs" dxfId="1028" priority="1013" operator="lessThan">
      <formula>0</formula>
    </cfRule>
  </conditionalFormatting>
  <conditionalFormatting sqref="I22:I29">
    <cfRule type="cellIs" dxfId="1027" priority="1012" operator="lessThan">
      <formula>0</formula>
    </cfRule>
  </conditionalFormatting>
  <conditionalFormatting sqref="I22:I29">
    <cfRule type="cellIs" dxfId="1026" priority="1011" operator="lessThan">
      <formula>0</formula>
    </cfRule>
  </conditionalFormatting>
  <conditionalFormatting sqref="I22:I29">
    <cfRule type="cellIs" dxfId="1025" priority="1010" operator="lessThan">
      <formula>0</formula>
    </cfRule>
  </conditionalFormatting>
  <conditionalFormatting sqref="I22:I29">
    <cfRule type="cellIs" dxfId="1024" priority="1009" operator="lessThan">
      <formula>0</formula>
    </cfRule>
  </conditionalFormatting>
  <conditionalFormatting sqref="I22:I29">
    <cfRule type="cellIs" dxfId="1023" priority="1008" operator="lessThan">
      <formula>0</formula>
    </cfRule>
  </conditionalFormatting>
  <conditionalFormatting sqref="I22:I29">
    <cfRule type="cellIs" dxfId="1022" priority="1007" operator="lessThan">
      <formula>0</formula>
    </cfRule>
  </conditionalFormatting>
  <conditionalFormatting sqref="I22:I29">
    <cfRule type="cellIs" dxfId="1021" priority="1006" operator="lessThan">
      <formula>0</formula>
    </cfRule>
  </conditionalFormatting>
  <conditionalFormatting sqref="I22:I29">
    <cfRule type="cellIs" dxfId="1020" priority="1005" operator="lessThan">
      <formula>0</formula>
    </cfRule>
  </conditionalFormatting>
  <conditionalFormatting sqref="I22:I29">
    <cfRule type="cellIs" dxfId="1019" priority="1004" operator="lessThan">
      <formula>0</formula>
    </cfRule>
  </conditionalFormatting>
  <conditionalFormatting sqref="I22:I29">
    <cfRule type="cellIs" dxfId="1018" priority="1003" operator="lessThan">
      <formula>0</formula>
    </cfRule>
  </conditionalFormatting>
  <conditionalFormatting sqref="I22:I29">
    <cfRule type="cellIs" dxfId="1017" priority="1002" operator="lessThan">
      <formula>0</formula>
    </cfRule>
  </conditionalFormatting>
  <conditionalFormatting sqref="I22:I29">
    <cfRule type="cellIs" dxfId="1016" priority="1001" operator="lessThan">
      <formula>0</formula>
    </cfRule>
  </conditionalFormatting>
  <conditionalFormatting sqref="I22:I29">
    <cfRule type="cellIs" dxfId="1015" priority="1000" operator="lessThan">
      <formula>0</formula>
    </cfRule>
  </conditionalFormatting>
  <conditionalFormatting sqref="I22:I29">
    <cfRule type="cellIs" dxfId="1014" priority="999" operator="lessThan">
      <formula>0</formula>
    </cfRule>
  </conditionalFormatting>
  <conditionalFormatting sqref="I22:I29">
    <cfRule type="cellIs" dxfId="1013" priority="998" operator="lessThan">
      <formula>0</formula>
    </cfRule>
  </conditionalFormatting>
  <conditionalFormatting sqref="I22:I29">
    <cfRule type="cellIs" dxfId="1012" priority="997" operator="lessThan">
      <formula>0</formula>
    </cfRule>
  </conditionalFormatting>
  <conditionalFormatting sqref="I22:I29">
    <cfRule type="cellIs" dxfId="1011" priority="996" operator="lessThan">
      <formula>0</formula>
    </cfRule>
  </conditionalFormatting>
  <conditionalFormatting sqref="I22:I29">
    <cfRule type="cellIs" dxfId="1010" priority="995" operator="lessThan">
      <formula>0</formula>
    </cfRule>
  </conditionalFormatting>
  <conditionalFormatting sqref="I22:I29">
    <cfRule type="cellIs" dxfId="1009" priority="994" operator="lessThan">
      <formula>0</formula>
    </cfRule>
  </conditionalFormatting>
  <conditionalFormatting sqref="I22:I29">
    <cfRule type="cellIs" dxfId="1008" priority="993" operator="lessThan">
      <formula>0</formula>
    </cfRule>
  </conditionalFormatting>
  <conditionalFormatting sqref="I22:I29">
    <cfRule type="cellIs" dxfId="1007" priority="992" operator="lessThan">
      <formula>0</formula>
    </cfRule>
  </conditionalFormatting>
  <conditionalFormatting sqref="I22:I29">
    <cfRule type="cellIs" dxfId="1006" priority="991" operator="lessThan">
      <formula>0</formula>
    </cfRule>
  </conditionalFormatting>
  <conditionalFormatting sqref="I22:I29">
    <cfRule type="cellIs" dxfId="1005" priority="990" operator="lessThan">
      <formula>0</formula>
    </cfRule>
  </conditionalFormatting>
  <conditionalFormatting sqref="I22:I29">
    <cfRule type="cellIs" dxfId="1004" priority="989" operator="lessThan">
      <formula>0</formula>
    </cfRule>
  </conditionalFormatting>
  <conditionalFormatting sqref="I22:I29">
    <cfRule type="cellIs" dxfId="1003" priority="988" operator="lessThan">
      <formula>0</formula>
    </cfRule>
  </conditionalFormatting>
  <conditionalFormatting sqref="I22:I29">
    <cfRule type="cellIs" dxfId="1002" priority="987" operator="lessThan">
      <formula>0</formula>
    </cfRule>
  </conditionalFormatting>
  <conditionalFormatting sqref="I22:I29">
    <cfRule type="cellIs" dxfId="1001" priority="986" operator="lessThan">
      <formula>0</formula>
    </cfRule>
  </conditionalFormatting>
  <conditionalFormatting sqref="I22:I29">
    <cfRule type="cellIs" dxfId="1000" priority="985" operator="lessThan">
      <formula>0</formula>
    </cfRule>
  </conditionalFormatting>
  <conditionalFormatting sqref="I22:I29">
    <cfRule type="cellIs" dxfId="999" priority="984" operator="lessThan">
      <formula>0</formula>
    </cfRule>
  </conditionalFormatting>
  <conditionalFormatting sqref="I22:I29">
    <cfRule type="cellIs" dxfId="998" priority="983" operator="lessThan">
      <formula>0</formula>
    </cfRule>
  </conditionalFormatting>
  <conditionalFormatting sqref="I22:I29">
    <cfRule type="cellIs" dxfId="997" priority="982" operator="lessThan">
      <formula>0</formula>
    </cfRule>
  </conditionalFormatting>
  <conditionalFormatting sqref="I22:I29">
    <cfRule type="cellIs" dxfId="996" priority="981" operator="lessThan">
      <formula>0</formula>
    </cfRule>
  </conditionalFormatting>
  <conditionalFormatting sqref="I22:I29">
    <cfRule type="cellIs" dxfId="995" priority="980" operator="lessThan">
      <formula>0</formula>
    </cfRule>
  </conditionalFormatting>
  <conditionalFormatting sqref="I22:I29">
    <cfRule type="cellIs" dxfId="994" priority="979" operator="lessThan">
      <formula>0</formula>
    </cfRule>
  </conditionalFormatting>
  <conditionalFormatting sqref="I22:I29">
    <cfRule type="cellIs" dxfId="993" priority="978" operator="lessThan">
      <formula>0</formula>
    </cfRule>
  </conditionalFormatting>
  <conditionalFormatting sqref="I22:I29">
    <cfRule type="cellIs" dxfId="992" priority="977" operator="lessThan">
      <formula>0</formula>
    </cfRule>
  </conditionalFormatting>
  <conditionalFormatting sqref="I22:I29">
    <cfRule type="cellIs" dxfId="991" priority="976" operator="lessThan">
      <formula>0</formula>
    </cfRule>
  </conditionalFormatting>
  <conditionalFormatting sqref="I22:I29">
    <cfRule type="cellIs" dxfId="990" priority="975" operator="lessThan">
      <formula>0</formula>
    </cfRule>
  </conditionalFormatting>
  <conditionalFormatting sqref="I22:I29">
    <cfRule type="cellIs" dxfId="989" priority="974" operator="lessThan">
      <formula>0</formula>
    </cfRule>
  </conditionalFormatting>
  <conditionalFormatting sqref="I22:I29">
    <cfRule type="cellIs" dxfId="988" priority="973" operator="lessThan">
      <formula>0</formula>
    </cfRule>
  </conditionalFormatting>
  <conditionalFormatting sqref="I22:I29">
    <cfRule type="cellIs" dxfId="987" priority="972" operator="lessThan">
      <formula>0</formula>
    </cfRule>
  </conditionalFormatting>
  <conditionalFormatting sqref="I22:I29">
    <cfRule type="cellIs" dxfId="986" priority="971" operator="lessThan">
      <formula>0</formula>
    </cfRule>
  </conditionalFormatting>
  <conditionalFormatting sqref="I22:I29">
    <cfRule type="cellIs" dxfId="985" priority="970" operator="lessThan">
      <formula>0</formula>
    </cfRule>
  </conditionalFormatting>
  <conditionalFormatting sqref="I22:I29">
    <cfRule type="cellIs" dxfId="984" priority="969" operator="lessThan">
      <formula>0</formula>
    </cfRule>
  </conditionalFormatting>
  <conditionalFormatting sqref="I22:I29">
    <cfRule type="cellIs" dxfId="983" priority="968" operator="lessThan">
      <formula>0</formula>
    </cfRule>
  </conditionalFormatting>
  <conditionalFormatting sqref="I22:I29">
    <cfRule type="cellIs" dxfId="982" priority="967" operator="lessThan">
      <formula>0</formula>
    </cfRule>
  </conditionalFormatting>
  <conditionalFormatting sqref="I22:I29">
    <cfRule type="cellIs" dxfId="981" priority="966" operator="lessThan">
      <formula>0</formula>
    </cfRule>
  </conditionalFormatting>
  <conditionalFormatting sqref="I22:I29">
    <cfRule type="cellIs" dxfId="980" priority="965" operator="lessThan">
      <formula>0</formula>
    </cfRule>
  </conditionalFormatting>
  <conditionalFormatting sqref="I22:I29">
    <cfRule type="cellIs" dxfId="979" priority="964" operator="lessThan">
      <formula>0</formula>
    </cfRule>
  </conditionalFormatting>
  <conditionalFormatting sqref="I22:I29">
    <cfRule type="cellIs" dxfId="978" priority="963" operator="lessThan">
      <formula>0</formula>
    </cfRule>
  </conditionalFormatting>
  <conditionalFormatting sqref="I22:I29">
    <cfRule type="cellIs" dxfId="977" priority="962" operator="lessThan">
      <formula>0</formula>
    </cfRule>
  </conditionalFormatting>
  <conditionalFormatting sqref="I22:I29">
    <cfRule type="cellIs" dxfId="976" priority="961" operator="lessThan">
      <formula>0</formula>
    </cfRule>
  </conditionalFormatting>
  <conditionalFormatting sqref="I22:I29">
    <cfRule type="cellIs" dxfId="975" priority="960" operator="lessThan">
      <formula>0</formula>
    </cfRule>
  </conditionalFormatting>
  <conditionalFormatting sqref="I22:I29">
    <cfRule type="cellIs" dxfId="974" priority="959" operator="lessThan">
      <formula>0</formula>
    </cfRule>
  </conditionalFormatting>
  <conditionalFormatting sqref="I22:I29">
    <cfRule type="cellIs" dxfId="973" priority="958" operator="lessThan">
      <formula>0</formula>
    </cfRule>
  </conditionalFormatting>
  <conditionalFormatting sqref="I22:I29">
    <cfRule type="cellIs" dxfId="972" priority="957" operator="lessThan">
      <formula>0</formula>
    </cfRule>
  </conditionalFormatting>
  <conditionalFormatting sqref="I22:I29">
    <cfRule type="cellIs" dxfId="971" priority="956" operator="lessThan">
      <formula>0</formula>
    </cfRule>
  </conditionalFormatting>
  <conditionalFormatting sqref="I22:I29">
    <cfRule type="cellIs" dxfId="970" priority="955" operator="lessThan">
      <formula>0</formula>
    </cfRule>
  </conditionalFormatting>
  <conditionalFormatting sqref="I22:I29">
    <cfRule type="cellIs" dxfId="969" priority="954" operator="lessThan">
      <formula>0</formula>
    </cfRule>
  </conditionalFormatting>
  <conditionalFormatting sqref="I22:I29">
    <cfRule type="cellIs" dxfId="968" priority="953" operator="lessThan">
      <formula>0</formula>
    </cfRule>
  </conditionalFormatting>
  <conditionalFormatting sqref="I22:I29">
    <cfRule type="cellIs" dxfId="967" priority="952" operator="lessThan">
      <formula>0</formula>
    </cfRule>
  </conditionalFormatting>
  <conditionalFormatting sqref="I22:I29">
    <cfRule type="cellIs" dxfId="966" priority="951" operator="lessThan">
      <formula>0</formula>
    </cfRule>
  </conditionalFormatting>
  <conditionalFormatting sqref="I22:I29">
    <cfRule type="cellIs" dxfId="965" priority="950" operator="lessThan">
      <formula>0</formula>
    </cfRule>
  </conditionalFormatting>
  <conditionalFormatting sqref="I22:I29">
    <cfRule type="cellIs" dxfId="964" priority="949" operator="lessThan">
      <formula>0</formula>
    </cfRule>
  </conditionalFormatting>
  <conditionalFormatting sqref="I22:I29">
    <cfRule type="cellIs" dxfId="963" priority="948" operator="lessThan">
      <formula>0</formula>
    </cfRule>
  </conditionalFormatting>
  <conditionalFormatting sqref="I22:I29">
    <cfRule type="cellIs" dxfId="962" priority="947" operator="lessThan">
      <formula>0</formula>
    </cfRule>
  </conditionalFormatting>
  <conditionalFormatting sqref="I22:I29">
    <cfRule type="cellIs" dxfId="961" priority="946" operator="lessThan">
      <formula>0</formula>
    </cfRule>
  </conditionalFormatting>
  <conditionalFormatting sqref="I22:I29">
    <cfRule type="cellIs" dxfId="960" priority="945" operator="lessThan">
      <formula>0</formula>
    </cfRule>
  </conditionalFormatting>
  <conditionalFormatting sqref="I22:I29">
    <cfRule type="cellIs" dxfId="959" priority="944" operator="lessThan">
      <formula>0</formula>
    </cfRule>
  </conditionalFormatting>
  <conditionalFormatting sqref="I22:I29">
    <cfRule type="cellIs" dxfId="958" priority="943" operator="lessThan">
      <formula>0</formula>
    </cfRule>
  </conditionalFormatting>
  <conditionalFormatting sqref="I22:I29">
    <cfRule type="cellIs" dxfId="957" priority="942" operator="lessThan">
      <formula>0</formula>
    </cfRule>
  </conditionalFormatting>
  <conditionalFormatting sqref="I22:I29">
    <cfRule type="cellIs" dxfId="956" priority="941" operator="lessThan">
      <formula>0</formula>
    </cfRule>
  </conditionalFormatting>
  <conditionalFormatting sqref="I22:I29">
    <cfRule type="cellIs" dxfId="955" priority="940" operator="lessThan">
      <formula>0</formula>
    </cfRule>
  </conditionalFormatting>
  <conditionalFormatting sqref="I22:I29">
    <cfRule type="cellIs" dxfId="954" priority="939" operator="lessThan">
      <formula>0</formula>
    </cfRule>
  </conditionalFormatting>
  <conditionalFormatting sqref="I22:I29">
    <cfRule type="cellIs" dxfId="953" priority="938" operator="lessThan">
      <formula>0</formula>
    </cfRule>
  </conditionalFormatting>
  <conditionalFormatting sqref="I22:I29">
    <cfRule type="cellIs" dxfId="952" priority="937" operator="lessThan">
      <formula>0</formula>
    </cfRule>
  </conditionalFormatting>
  <conditionalFormatting sqref="I22:I29">
    <cfRule type="cellIs" dxfId="951" priority="936" operator="lessThan">
      <formula>0</formula>
    </cfRule>
  </conditionalFormatting>
  <conditionalFormatting sqref="I22:I29">
    <cfRule type="cellIs" dxfId="950" priority="935" operator="lessThan">
      <formula>0</formula>
    </cfRule>
  </conditionalFormatting>
  <conditionalFormatting sqref="I22:I29">
    <cfRule type="cellIs" dxfId="949" priority="934" operator="lessThan">
      <formula>0</formula>
    </cfRule>
  </conditionalFormatting>
  <conditionalFormatting sqref="I22:I29">
    <cfRule type="cellIs" dxfId="948" priority="933" operator="lessThan">
      <formula>0</formula>
    </cfRule>
  </conditionalFormatting>
  <conditionalFormatting sqref="I22:I29">
    <cfRule type="cellIs" dxfId="947" priority="932" operator="lessThan">
      <formula>0</formula>
    </cfRule>
  </conditionalFormatting>
  <conditionalFormatting sqref="I22:I29">
    <cfRule type="cellIs" dxfId="946" priority="931" operator="lessThan">
      <formula>0</formula>
    </cfRule>
  </conditionalFormatting>
  <conditionalFormatting sqref="I22:I29">
    <cfRule type="cellIs" dxfId="945" priority="930" operator="lessThan">
      <formula>0</formula>
    </cfRule>
  </conditionalFormatting>
  <conditionalFormatting sqref="I22:I29">
    <cfRule type="cellIs" dxfId="944" priority="929" operator="lessThan">
      <formula>0</formula>
    </cfRule>
  </conditionalFormatting>
  <conditionalFormatting sqref="I22:I29">
    <cfRule type="cellIs" dxfId="943" priority="928" operator="lessThan">
      <formula>0</formula>
    </cfRule>
  </conditionalFormatting>
  <conditionalFormatting sqref="I22:I29">
    <cfRule type="cellIs" dxfId="942" priority="927" operator="lessThan">
      <formula>0</formula>
    </cfRule>
  </conditionalFormatting>
  <conditionalFormatting sqref="I22:I29">
    <cfRule type="cellIs" dxfId="941" priority="926" operator="lessThan">
      <formula>0</formula>
    </cfRule>
  </conditionalFormatting>
  <conditionalFormatting sqref="I22:I29">
    <cfRule type="cellIs" dxfId="940" priority="925" operator="lessThan">
      <formula>0</formula>
    </cfRule>
  </conditionalFormatting>
  <conditionalFormatting sqref="I22:I29">
    <cfRule type="cellIs" dxfId="939" priority="924" operator="lessThan">
      <formula>0</formula>
    </cfRule>
  </conditionalFormatting>
  <conditionalFormatting sqref="I22:I29">
    <cfRule type="cellIs" dxfId="938" priority="923" operator="lessThan">
      <formula>0</formula>
    </cfRule>
  </conditionalFormatting>
  <conditionalFormatting sqref="I22:I29">
    <cfRule type="cellIs" dxfId="937" priority="922" operator="lessThan">
      <formula>0</formula>
    </cfRule>
  </conditionalFormatting>
  <conditionalFormatting sqref="I22:I29">
    <cfRule type="cellIs" dxfId="936" priority="921" operator="lessThan">
      <formula>0</formula>
    </cfRule>
  </conditionalFormatting>
  <conditionalFormatting sqref="I22:I29">
    <cfRule type="cellIs" dxfId="935" priority="920" operator="lessThan">
      <formula>0</formula>
    </cfRule>
  </conditionalFormatting>
  <conditionalFormatting sqref="I22:I29">
    <cfRule type="cellIs" dxfId="934" priority="919" operator="lessThan">
      <formula>0</formula>
    </cfRule>
  </conditionalFormatting>
  <conditionalFormatting sqref="I22:I29">
    <cfRule type="cellIs" dxfId="933" priority="918" operator="lessThan">
      <formula>0</formula>
    </cfRule>
  </conditionalFormatting>
  <conditionalFormatting sqref="I22:I29">
    <cfRule type="cellIs" dxfId="932" priority="917" operator="lessThan">
      <formula>0</formula>
    </cfRule>
  </conditionalFormatting>
  <conditionalFormatting sqref="I22:I29">
    <cfRule type="cellIs" dxfId="931" priority="916" operator="lessThan">
      <formula>0</formula>
    </cfRule>
  </conditionalFormatting>
  <conditionalFormatting sqref="I22:I29">
    <cfRule type="cellIs" dxfId="930" priority="915" operator="lessThan">
      <formula>0</formula>
    </cfRule>
  </conditionalFormatting>
  <conditionalFormatting sqref="I22:I29">
    <cfRule type="cellIs" dxfId="929" priority="914" operator="lessThan">
      <formula>0</formula>
    </cfRule>
  </conditionalFormatting>
  <conditionalFormatting sqref="I22:I29">
    <cfRule type="cellIs" dxfId="928" priority="913" operator="lessThan">
      <formula>0</formula>
    </cfRule>
  </conditionalFormatting>
  <conditionalFormatting sqref="I22:I29">
    <cfRule type="cellIs" dxfId="927" priority="912" operator="lessThan">
      <formula>0</formula>
    </cfRule>
  </conditionalFormatting>
  <conditionalFormatting sqref="I22:I29">
    <cfRule type="cellIs" dxfId="926" priority="911" operator="lessThan">
      <formula>0</formula>
    </cfRule>
  </conditionalFormatting>
  <conditionalFormatting sqref="I22:I29">
    <cfRule type="cellIs" dxfId="925" priority="910" operator="lessThan">
      <formula>0</formula>
    </cfRule>
  </conditionalFormatting>
  <conditionalFormatting sqref="I22:I29">
    <cfRule type="cellIs" dxfId="924" priority="909" operator="lessThan">
      <formula>0</formula>
    </cfRule>
  </conditionalFormatting>
  <conditionalFormatting sqref="I22:I29">
    <cfRule type="cellIs" dxfId="923" priority="908" operator="lessThan">
      <formula>0</formula>
    </cfRule>
  </conditionalFormatting>
  <conditionalFormatting sqref="I22:I29">
    <cfRule type="cellIs" dxfId="922" priority="907" operator="lessThan">
      <formula>0</formula>
    </cfRule>
  </conditionalFormatting>
  <conditionalFormatting sqref="I22:I29">
    <cfRule type="cellIs" dxfId="921" priority="906" operator="lessThan">
      <formula>0</formula>
    </cfRule>
  </conditionalFormatting>
  <conditionalFormatting sqref="I22:I29">
    <cfRule type="cellIs" dxfId="920" priority="905" operator="lessThan">
      <formula>0</formula>
    </cfRule>
  </conditionalFormatting>
  <conditionalFormatting sqref="I22:I29">
    <cfRule type="cellIs" dxfId="919" priority="904" operator="lessThan">
      <formula>0</formula>
    </cfRule>
  </conditionalFormatting>
  <conditionalFormatting sqref="I22:I29">
    <cfRule type="cellIs" dxfId="918" priority="903" operator="lessThan">
      <formula>0</formula>
    </cfRule>
  </conditionalFormatting>
  <conditionalFormatting sqref="I22:I29">
    <cfRule type="cellIs" dxfId="917" priority="902" operator="lessThan">
      <formula>0</formula>
    </cfRule>
  </conditionalFormatting>
  <conditionalFormatting sqref="I22:I29">
    <cfRule type="cellIs" dxfId="916" priority="901" operator="lessThan">
      <formula>0</formula>
    </cfRule>
  </conditionalFormatting>
  <conditionalFormatting sqref="I22:I29">
    <cfRule type="cellIs" dxfId="915" priority="900" operator="lessThan">
      <formula>0</formula>
    </cfRule>
  </conditionalFormatting>
  <conditionalFormatting sqref="I22:I29">
    <cfRule type="cellIs" dxfId="914" priority="899" operator="lessThan">
      <formula>0</formula>
    </cfRule>
  </conditionalFormatting>
  <conditionalFormatting sqref="I22:I29">
    <cfRule type="cellIs" dxfId="913" priority="898" operator="lessThan">
      <formula>0</formula>
    </cfRule>
  </conditionalFormatting>
  <conditionalFormatting sqref="I22:I29">
    <cfRule type="cellIs" dxfId="912" priority="897" operator="lessThan">
      <formula>0</formula>
    </cfRule>
  </conditionalFormatting>
  <conditionalFormatting sqref="I22:I29">
    <cfRule type="cellIs" dxfId="911" priority="896" operator="lessThan">
      <formula>0</formula>
    </cfRule>
  </conditionalFormatting>
  <conditionalFormatting sqref="I22:I29">
    <cfRule type="cellIs" dxfId="910" priority="895" operator="lessThan">
      <formula>0</formula>
    </cfRule>
  </conditionalFormatting>
  <conditionalFormatting sqref="I22:I29">
    <cfRule type="cellIs" dxfId="909" priority="894" operator="lessThan">
      <formula>0</formula>
    </cfRule>
  </conditionalFormatting>
  <conditionalFormatting sqref="I22:I29">
    <cfRule type="cellIs" dxfId="908" priority="893" operator="lessThan">
      <formula>0</formula>
    </cfRule>
  </conditionalFormatting>
  <conditionalFormatting sqref="I22:I29">
    <cfRule type="cellIs" dxfId="907" priority="892" operator="lessThan">
      <formula>0</formula>
    </cfRule>
  </conditionalFormatting>
  <conditionalFormatting sqref="I22:I29">
    <cfRule type="cellIs" dxfId="906" priority="891" operator="lessThan">
      <formula>0</formula>
    </cfRule>
  </conditionalFormatting>
  <conditionalFormatting sqref="I22:I29">
    <cfRule type="cellIs" dxfId="905" priority="890" operator="lessThan">
      <formula>0</formula>
    </cfRule>
  </conditionalFormatting>
  <conditionalFormatting sqref="I22:I29">
    <cfRule type="cellIs" dxfId="904" priority="889" operator="lessThan">
      <formula>0</formula>
    </cfRule>
  </conditionalFormatting>
  <conditionalFormatting sqref="I22:I29">
    <cfRule type="cellIs" dxfId="903" priority="888" operator="lessThan">
      <formula>0</formula>
    </cfRule>
  </conditionalFormatting>
  <conditionalFormatting sqref="I22:I29">
    <cfRule type="cellIs" dxfId="902" priority="887" operator="lessThan">
      <formula>0</formula>
    </cfRule>
  </conditionalFormatting>
  <conditionalFormatting sqref="I22:I29">
    <cfRule type="cellIs" dxfId="901" priority="886" operator="lessThan">
      <formula>0</formula>
    </cfRule>
  </conditionalFormatting>
  <conditionalFormatting sqref="I22:I29">
    <cfRule type="cellIs" dxfId="900" priority="885" operator="lessThan">
      <formula>0</formula>
    </cfRule>
  </conditionalFormatting>
  <conditionalFormatting sqref="I22:I29">
    <cfRule type="cellIs" dxfId="899" priority="884" operator="lessThan">
      <formula>0</formula>
    </cfRule>
  </conditionalFormatting>
  <conditionalFormatting sqref="I22:I29">
    <cfRule type="cellIs" dxfId="898" priority="883" operator="lessThan">
      <formula>0</formula>
    </cfRule>
  </conditionalFormatting>
  <conditionalFormatting sqref="I22:I29">
    <cfRule type="cellIs" dxfId="897" priority="882" operator="lessThan">
      <formula>0</formula>
    </cfRule>
  </conditionalFormatting>
  <conditionalFormatting sqref="I22:I29">
    <cfRule type="cellIs" dxfId="896" priority="881" operator="lessThan">
      <formula>0</formula>
    </cfRule>
  </conditionalFormatting>
  <conditionalFormatting sqref="I22:I29">
    <cfRule type="cellIs" dxfId="895" priority="880" operator="lessThan">
      <formula>0</formula>
    </cfRule>
  </conditionalFormatting>
  <conditionalFormatting sqref="I22:I29">
    <cfRule type="cellIs" dxfId="894" priority="879" operator="lessThan">
      <formula>0</formula>
    </cfRule>
  </conditionalFormatting>
  <conditionalFormatting sqref="I22:I29">
    <cfRule type="cellIs" dxfId="893" priority="878" operator="lessThan">
      <formula>0</formula>
    </cfRule>
  </conditionalFormatting>
  <conditionalFormatting sqref="I22:I29">
    <cfRule type="cellIs" dxfId="892" priority="877" operator="lessThan">
      <formula>0</formula>
    </cfRule>
  </conditionalFormatting>
  <conditionalFormatting sqref="I22:I29">
    <cfRule type="cellIs" dxfId="891" priority="876" operator="lessThan">
      <formula>0</formula>
    </cfRule>
  </conditionalFormatting>
  <conditionalFormatting sqref="I22:I29">
    <cfRule type="cellIs" dxfId="890" priority="875" operator="lessThan">
      <formula>0</formula>
    </cfRule>
  </conditionalFormatting>
  <conditionalFormatting sqref="I22:I29">
    <cfRule type="cellIs" dxfId="889" priority="874" operator="lessThan">
      <formula>0</formula>
    </cfRule>
  </conditionalFormatting>
  <conditionalFormatting sqref="I22:I29">
    <cfRule type="cellIs" dxfId="888" priority="873" operator="lessThan">
      <formula>0</formula>
    </cfRule>
  </conditionalFormatting>
  <conditionalFormatting sqref="I22:I29">
    <cfRule type="cellIs" dxfId="887" priority="872" operator="lessThan">
      <formula>0</formula>
    </cfRule>
  </conditionalFormatting>
  <conditionalFormatting sqref="I22:I29">
    <cfRule type="cellIs" dxfId="886" priority="871" operator="lessThan">
      <formula>0</formula>
    </cfRule>
  </conditionalFormatting>
  <conditionalFormatting sqref="I22:I29">
    <cfRule type="cellIs" dxfId="885" priority="870" operator="lessThan">
      <formula>0</formula>
    </cfRule>
  </conditionalFormatting>
  <conditionalFormatting sqref="I22:I29">
    <cfRule type="cellIs" dxfId="884" priority="869" operator="lessThan">
      <formula>0</formula>
    </cfRule>
  </conditionalFormatting>
  <conditionalFormatting sqref="I22:I29">
    <cfRule type="cellIs" dxfId="883" priority="868" operator="lessThan">
      <formula>0</formula>
    </cfRule>
  </conditionalFormatting>
  <conditionalFormatting sqref="I22:I29">
    <cfRule type="cellIs" dxfId="882" priority="867" operator="lessThan">
      <formula>0</formula>
    </cfRule>
  </conditionalFormatting>
  <conditionalFormatting sqref="I22:I29">
    <cfRule type="cellIs" dxfId="881" priority="866" operator="lessThan">
      <formula>0</formula>
    </cfRule>
  </conditionalFormatting>
  <conditionalFormatting sqref="I22:I29">
    <cfRule type="cellIs" dxfId="880" priority="865" operator="lessThan">
      <formula>0</formula>
    </cfRule>
  </conditionalFormatting>
  <conditionalFormatting sqref="I22:I29">
    <cfRule type="cellIs" dxfId="879" priority="864" operator="lessThan">
      <formula>0</formula>
    </cfRule>
  </conditionalFormatting>
  <conditionalFormatting sqref="I22:I29">
    <cfRule type="cellIs" dxfId="878" priority="863" operator="lessThan">
      <formula>0</formula>
    </cfRule>
  </conditionalFormatting>
  <conditionalFormatting sqref="I22:I29">
    <cfRule type="cellIs" dxfId="877" priority="862" operator="lessThan">
      <formula>0</formula>
    </cfRule>
  </conditionalFormatting>
  <conditionalFormatting sqref="I22:I29">
    <cfRule type="cellIs" dxfId="876" priority="861" operator="lessThan">
      <formula>0</formula>
    </cfRule>
  </conditionalFormatting>
  <conditionalFormatting sqref="I22:I29">
    <cfRule type="cellIs" dxfId="875" priority="860" operator="lessThan">
      <formula>0</formula>
    </cfRule>
  </conditionalFormatting>
  <conditionalFormatting sqref="I22:I29">
    <cfRule type="cellIs" dxfId="874" priority="859" operator="lessThan">
      <formula>0</formula>
    </cfRule>
  </conditionalFormatting>
  <conditionalFormatting sqref="I22:I29">
    <cfRule type="cellIs" dxfId="873" priority="858" operator="lessThan">
      <formula>0</formula>
    </cfRule>
  </conditionalFormatting>
  <conditionalFormatting sqref="I22:I29">
    <cfRule type="cellIs" dxfId="872" priority="857" operator="lessThan">
      <formula>0</formula>
    </cfRule>
  </conditionalFormatting>
  <conditionalFormatting sqref="I22:I29">
    <cfRule type="cellIs" dxfId="871" priority="856" operator="lessThan">
      <formula>0</formula>
    </cfRule>
  </conditionalFormatting>
  <conditionalFormatting sqref="I22:I29">
    <cfRule type="cellIs" dxfId="870" priority="855" operator="lessThan">
      <formula>0</formula>
    </cfRule>
  </conditionalFormatting>
  <conditionalFormatting sqref="I22:I29">
    <cfRule type="cellIs" dxfId="869" priority="854" operator="lessThan">
      <formula>0</formula>
    </cfRule>
  </conditionalFormatting>
  <conditionalFormatting sqref="I22:I29">
    <cfRule type="cellIs" dxfId="868" priority="853" operator="lessThan">
      <formula>0</formula>
    </cfRule>
  </conditionalFormatting>
  <conditionalFormatting sqref="I22:I29">
    <cfRule type="cellIs" dxfId="867" priority="852" operator="lessThan">
      <formula>0</formula>
    </cfRule>
  </conditionalFormatting>
  <conditionalFormatting sqref="I22:I29">
    <cfRule type="cellIs" dxfId="866" priority="851" operator="lessThan">
      <formula>0</formula>
    </cfRule>
  </conditionalFormatting>
  <conditionalFormatting sqref="I22:I29">
    <cfRule type="cellIs" dxfId="865" priority="850" operator="lessThan">
      <formula>0</formula>
    </cfRule>
  </conditionalFormatting>
  <conditionalFormatting sqref="I22:I29">
    <cfRule type="cellIs" dxfId="864" priority="849" operator="lessThan">
      <formula>0</formula>
    </cfRule>
  </conditionalFormatting>
  <conditionalFormatting sqref="I22:I29">
    <cfRule type="cellIs" dxfId="863" priority="848" operator="lessThan">
      <formula>0</formula>
    </cfRule>
  </conditionalFormatting>
  <conditionalFormatting sqref="I22:I29">
    <cfRule type="cellIs" dxfId="862" priority="847" operator="lessThan">
      <formula>0</formula>
    </cfRule>
  </conditionalFormatting>
  <conditionalFormatting sqref="I22:I29">
    <cfRule type="cellIs" dxfId="861" priority="846" operator="lessThan">
      <formula>0</formula>
    </cfRule>
  </conditionalFormatting>
  <conditionalFormatting sqref="I22:I29">
    <cfRule type="cellIs" dxfId="860" priority="845" operator="lessThan">
      <formula>0</formula>
    </cfRule>
  </conditionalFormatting>
  <conditionalFormatting sqref="I22:I29">
    <cfRule type="cellIs" dxfId="859" priority="844" operator="lessThan">
      <formula>0</formula>
    </cfRule>
  </conditionalFormatting>
  <conditionalFormatting sqref="I22:I29">
    <cfRule type="cellIs" dxfId="858" priority="843" operator="lessThan">
      <formula>0</formula>
    </cfRule>
  </conditionalFormatting>
  <conditionalFormatting sqref="I22:I29">
    <cfRule type="cellIs" dxfId="857" priority="842" operator="lessThan">
      <formula>0</formula>
    </cfRule>
  </conditionalFormatting>
  <conditionalFormatting sqref="I22:I29">
    <cfRule type="cellIs" dxfId="856" priority="841" operator="lessThan">
      <formula>0</formula>
    </cfRule>
  </conditionalFormatting>
  <conditionalFormatting sqref="I22:I29">
    <cfRule type="cellIs" dxfId="855" priority="840" operator="lessThan">
      <formula>0</formula>
    </cfRule>
  </conditionalFormatting>
  <conditionalFormatting sqref="I22:I29">
    <cfRule type="cellIs" dxfId="854" priority="839" operator="lessThan">
      <formula>0</formula>
    </cfRule>
  </conditionalFormatting>
  <conditionalFormatting sqref="I22:I29">
    <cfRule type="cellIs" dxfId="853" priority="838" operator="lessThan">
      <formula>0</formula>
    </cfRule>
  </conditionalFormatting>
  <conditionalFormatting sqref="I22:I29">
    <cfRule type="cellIs" dxfId="852" priority="837" operator="lessThan">
      <formula>0</formula>
    </cfRule>
  </conditionalFormatting>
  <conditionalFormatting sqref="I22:I29">
    <cfRule type="cellIs" dxfId="851" priority="836" operator="lessThan">
      <formula>0</formula>
    </cfRule>
  </conditionalFormatting>
  <conditionalFormatting sqref="I22:I29">
    <cfRule type="cellIs" dxfId="850" priority="835" operator="lessThan">
      <formula>0</formula>
    </cfRule>
  </conditionalFormatting>
  <conditionalFormatting sqref="I22:I29">
    <cfRule type="cellIs" dxfId="849" priority="834" operator="lessThan">
      <formula>0</formula>
    </cfRule>
  </conditionalFormatting>
  <conditionalFormatting sqref="I22:I29">
    <cfRule type="cellIs" dxfId="848" priority="833" operator="lessThan">
      <formula>0</formula>
    </cfRule>
  </conditionalFormatting>
  <conditionalFormatting sqref="I22:I29">
    <cfRule type="cellIs" dxfId="847" priority="832" operator="lessThan">
      <formula>0</formula>
    </cfRule>
  </conditionalFormatting>
  <conditionalFormatting sqref="I22:I29">
    <cfRule type="cellIs" dxfId="846" priority="831" operator="lessThan">
      <formula>0</formula>
    </cfRule>
  </conditionalFormatting>
  <conditionalFormatting sqref="I22:I29">
    <cfRule type="cellIs" dxfId="845" priority="830" operator="lessThan">
      <formula>0</formula>
    </cfRule>
  </conditionalFormatting>
  <conditionalFormatting sqref="I22:I29">
    <cfRule type="cellIs" dxfId="844" priority="829" operator="lessThan">
      <formula>0</formula>
    </cfRule>
  </conditionalFormatting>
  <conditionalFormatting sqref="I22:I29">
    <cfRule type="cellIs" dxfId="843" priority="828" operator="lessThan">
      <formula>0</formula>
    </cfRule>
  </conditionalFormatting>
  <conditionalFormatting sqref="I22:I29">
    <cfRule type="cellIs" dxfId="842" priority="827" operator="lessThan">
      <formula>0</formula>
    </cfRule>
  </conditionalFormatting>
  <conditionalFormatting sqref="I22:I29">
    <cfRule type="cellIs" dxfId="841" priority="826" operator="lessThan">
      <formula>0</formula>
    </cfRule>
  </conditionalFormatting>
  <conditionalFormatting sqref="I22:I29">
    <cfRule type="cellIs" dxfId="840" priority="825" operator="lessThan">
      <formula>0</formula>
    </cfRule>
  </conditionalFormatting>
  <conditionalFormatting sqref="I22:I29">
    <cfRule type="cellIs" dxfId="839" priority="824" operator="lessThan">
      <formula>0</formula>
    </cfRule>
  </conditionalFormatting>
  <conditionalFormatting sqref="I22:I29">
    <cfRule type="cellIs" dxfId="838" priority="823" operator="lessThan">
      <formula>0</formula>
    </cfRule>
  </conditionalFormatting>
  <conditionalFormatting sqref="I22:I29">
    <cfRule type="cellIs" dxfId="837" priority="822" operator="lessThan">
      <formula>0</formula>
    </cfRule>
  </conditionalFormatting>
  <conditionalFormatting sqref="I22:I29">
    <cfRule type="cellIs" dxfId="836" priority="821" operator="lessThan">
      <formula>0</formula>
    </cfRule>
  </conditionalFormatting>
  <conditionalFormatting sqref="I22:I29">
    <cfRule type="cellIs" dxfId="835" priority="820" operator="lessThan">
      <formula>0</formula>
    </cfRule>
  </conditionalFormatting>
  <conditionalFormatting sqref="I22:I29">
    <cfRule type="cellIs" dxfId="834" priority="819" operator="lessThan">
      <formula>0</formula>
    </cfRule>
  </conditionalFormatting>
  <conditionalFormatting sqref="I22:I29">
    <cfRule type="cellIs" dxfId="833" priority="818" operator="lessThan">
      <formula>0</formula>
    </cfRule>
  </conditionalFormatting>
  <conditionalFormatting sqref="I22:I29">
    <cfRule type="cellIs" dxfId="832" priority="817" operator="lessThan">
      <formula>0</formula>
    </cfRule>
  </conditionalFormatting>
  <conditionalFormatting sqref="I22:I29">
    <cfRule type="cellIs" dxfId="831" priority="816" operator="lessThan">
      <formula>0</formula>
    </cfRule>
  </conditionalFormatting>
  <conditionalFormatting sqref="I22:I29">
    <cfRule type="cellIs" dxfId="830" priority="815" operator="lessThan">
      <formula>0</formula>
    </cfRule>
  </conditionalFormatting>
  <conditionalFormatting sqref="I22:I29">
    <cfRule type="cellIs" dxfId="829" priority="814" operator="lessThan">
      <formula>0</formula>
    </cfRule>
  </conditionalFormatting>
  <conditionalFormatting sqref="I22:I29">
    <cfRule type="cellIs" dxfId="828" priority="813" operator="lessThan">
      <formula>0</formula>
    </cfRule>
  </conditionalFormatting>
  <conditionalFormatting sqref="I22:I29">
    <cfRule type="cellIs" dxfId="827" priority="812" operator="lessThan">
      <formula>0</formula>
    </cfRule>
  </conditionalFormatting>
  <conditionalFormatting sqref="I22:I29">
    <cfRule type="cellIs" dxfId="826" priority="811" operator="lessThan">
      <formula>0</formula>
    </cfRule>
  </conditionalFormatting>
  <conditionalFormatting sqref="I22:I29">
    <cfRule type="cellIs" dxfId="825" priority="810" operator="lessThan">
      <formula>0</formula>
    </cfRule>
  </conditionalFormatting>
  <conditionalFormatting sqref="I22:I29">
    <cfRule type="cellIs" dxfId="824" priority="809" operator="lessThan">
      <formula>0</formula>
    </cfRule>
  </conditionalFormatting>
  <conditionalFormatting sqref="I22:I29">
    <cfRule type="cellIs" dxfId="823" priority="808" operator="lessThan">
      <formula>0</formula>
    </cfRule>
  </conditionalFormatting>
  <conditionalFormatting sqref="I22:I29">
    <cfRule type="cellIs" dxfId="822" priority="807" operator="lessThan">
      <formula>0</formula>
    </cfRule>
  </conditionalFormatting>
  <conditionalFormatting sqref="I22:I29">
    <cfRule type="cellIs" dxfId="821" priority="806" operator="lessThan">
      <formula>0</formula>
    </cfRule>
  </conditionalFormatting>
  <conditionalFormatting sqref="I22:I29">
    <cfRule type="cellIs" dxfId="820" priority="805" operator="lessThan">
      <formula>0</formula>
    </cfRule>
  </conditionalFormatting>
  <conditionalFormatting sqref="I22:I29">
    <cfRule type="cellIs" dxfId="819" priority="804" operator="lessThan">
      <formula>0</formula>
    </cfRule>
  </conditionalFormatting>
  <conditionalFormatting sqref="I22:I29">
    <cfRule type="cellIs" dxfId="818" priority="803" operator="lessThan">
      <formula>0</formula>
    </cfRule>
  </conditionalFormatting>
  <conditionalFormatting sqref="I22:I29">
    <cfRule type="cellIs" dxfId="817" priority="802" operator="lessThan">
      <formula>0</formula>
    </cfRule>
  </conditionalFormatting>
  <conditionalFormatting sqref="I22:I29">
    <cfRule type="cellIs" dxfId="816" priority="801" operator="lessThan">
      <formula>0</formula>
    </cfRule>
  </conditionalFormatting>
  <conditionalFormatting sqref="I22:I29">
    <cfRule type="cellIs" dxfId="815" priority="800" operator="lessThan">
      <formula>0</formula>
    </cfRule>
  </conditionalFormatting>
  <conditionalFormatting sqref="I22:I29">
    <cfRule type="cellIs" dxfId="814" priority="799" operator="lessThan">
      <formula>0</formula>
    </cfRule>
  </conditionalFormatting>
  <conditionalFormatting sqref="I22:I29">
    <cfRule type="cellIs" dxfId="813" priority="798" operator="lessThan">
      <formula>0</formula>
    </cfRule>
  </conditionalFormatting>
  <conditionalFormatting sqref="I22:I29">
    <cfRule type="cellIs" dxfId="812" priority="797" operator="lessThan">
      <formula>0</formula>
    </cfRule>
  </conditionalFormatting>
  <conditionalFormatting sqref="I22:I29">
    <cfRule type="cellIs" dxfId="811" priority="796" operator="lessThan">
      <formula>0</formula>
    </cfRule>
  </conditionalFormatting>
  <conditionalFormatting sqref="I22:I29">
    <cfRule type="cellIs" dxfId="810" priority="795" operator="lessThan">
      <formula>0</formula>
    </cfRule>
  </conditionalFormatting>
  <conditionalFormatting sqref="I22:I29">
    <cfRule type="cellIs" dxfId="809" priority="794" operator="lessThan">
      <formula>0</formula>
    </cfRule>
  </conditionalFormatting>
  <conditionalFormatting sqref="I22:I29">
    <cfRule type="cellIs" dxfId="808" priority="793" operator="lessThan">
      <formula>0</formula>
    </cfRule>
  </conditionalFormatting>
  <conditionalFormatting sqref="I22:I29">
    <cfRule type="cellIs" dxfId="807" priority="792" operator="lessThan">
      <formula>0</formula>
    </cfRule>
  </conditionalFormatting>
  <conditionalFormatting sqref="I22:I29">
    <cfRule type="cellIs" dxfId="806" priority="791" operator="lessThan">
      <formula>0</formula>
    </cfRule>
  </conditionalFormatting>
  <conditionalFormatting sqref="I22:I29">
    <cfRule type="cellIs" dxfId="805" priority="790" operator="lessThan">
      <formula>0</formula>
    </cfRule>
  </conditionalFormatting>
  <conditionalFormatting sqref="I22:I29">
    <cfRule type="cellIs" dxfId="804" priority="789" operator="lessThan">
      <formula>0</formula>
    </cfRule>
  </conditionalFormatting>
  <conditionalFormatting sqref="I22:I29">
    <cfRule type="cellIs" dxfId="803" priority="788" operator="lessThan">
      <formula>0</formula>
    </cfRule>
  </conditionalFormatting>
  <conditionalFormatting sqref="I22:I29">
    <cfRule type="cellIs" dxfId="802" priority="787" operator="lessThan">
      <formula>0</formula>
    </cfRule>
  </conditionalFormatting>
  <conditionalFormatting sqref="I22:I29">
    <cfRule type="cellIs" dxfId="801" priority="786" operator="lessThan">
      <formula>0</formula>
    </cfRule>
  </conditionalFormatting>
  <conditionalFormatting sqref="I22:I29">
    <cfRule type="cellIs" dxfId="800" priority="785" operator="lessThan">
      <formula>0</formula>
    </cfRule>
  </conditionalFormatting>
  <conditionalFormatting sqref="I22:I29">
    <cfRule type="cellIs" dxfId="799" priority="784" operator="lessThan">
      <formula>0</formula>
    </cfRule>
  </conditionalFormatting>
  <conditionalFormatting sqref="I22:I29">
    <cfRule type="cellIs" dxfId="798" priority="783" operator="lessThan">
      <formula>0</formula>
    </cfRule>
  </conditionalFormatting>
  <conditionalFormatting sqref="I22:I29">
    <cfRule type="cellIs" dxfId="797" priority="782" operator="lessThan">
      <formula>0</formula>
    </cfRule>
  </conditionalFormatting>
  <conditionalFormatting sqref="I22:I29">
    <cfRule type="cellIs" dxfId="796" priority="781" operator="lessThan">
      <formula>0</formula>
    </cfRule>
  </conditionalFormatting>
  <conditionalFormatting sqref="I22:I29">
    <cfRule type="cellIs" dxfId="795" priority="780" operator="lessThan">
      <formula>0</formula>
    </cfRule>
  </conditionalFormatting>
  <conditionalFormatting sqref="I22:I29">
    <cfRule type="cellIs" dxfId="794" priority="779" operator="lessThan">
      <formula>0</formula>
    </cfRule>
  </conditionalFormatting>
  <conditionalFormatting sqref="I22:I29">
    <cfRule type="cellIs" dxfId="793" priority="778" operator="lessThan">
      <formula>0</formula>
    </cfRule>
  </conditionalFormatting>
  <conditionalFormatting sqref="I22:I29">
    <cfRule type="cellIs" dxfId="792" priority="777" operator="lessThan">
      <formula>0</formula>
    </cfRule>
  </conditionalFormatting>
  <conditionalFormatting sqref="I22:I29">
    <cfRule type="cellIs" dxfId="791" priority="776" operator="lessThan">
      <formula>0</formula>
    </cfRule>
  </conditionalFormatting>
  <conditionalFormatting sqref="I22:I29">
    <cfRule type="cellIs" dxfId="790" priority="775" operator="lessThan">
      <formula>0</formula>
    </cfRule>
  </conditionalFormatting>
  <conditionalFormatting sqref="I22:I29">
    <cfRule type="cellIs" dxfId="789" priority="774" operator="lessThan">
      <formula>0</formula>
    </cfRule>
  </conditionalFormatting>
  <conditionalFormatting sqref="I22:I29">
    <cfRule type="cellIs" dxfId="788" priority="773" operator="lessThan">
      <formula>0</formula>
    </cfRule>
  </conditionalFormatting>
  <conditionalFormatting sqref="I22:I29">
    <cfRule type="cellIs" dxfId="787" priority="772" operator="lessThan">
      <formula>0</formula>
    </cfRule>
  </conditionalFormatting>
  <conditionalFormatting sqref="I22:I29">
    <cfRule type="cellIs" dxfId="786" priority="771" operator="lessThan">
      <formula>0</formula>
    </cfRule>
  </conditionalFormatting>
  <conditionalFormatting sqref="I22:I29">
    <cfRule type="cellIs" dxfId="785" priority="770" operator="lessThan">
      <formula>0</formula>
    </cfRule>
  </conditionalFormatting>
  <conditionalFormatting sqref="I22:I29">
    <cfRule type="cellIs" dxfId="784" priority="769" operator="lessThan">
      <formula>0</formula>
    </cfRule>
  </conditionalFormatting>
  <conditionalFormatting sqref="I22:I29">
    <cfRule type="cellIs" dxfId="783" priority="768" operator="lessThan">
      <formula>0</formula>
    </cfRule>
  </conditionalFormatting>
  <conditionalFormatting sqref="I22:I29">
    <cfRule type="cellIs" dxfId="782" priority="767" operator="lessThan">
      <formula>0</formula>
    </cfRule>
  </conditionalFormatting>
  <conditionalFormatting sqref="I22:I29">
    <cfRule type="cellIs" dxfId="781" priority="766" operator="lessThan">
      <formula>0</formula>
    </cfRule>
  </conditionalFormatting>
  <conditionalFormatting sqref="I22:I29">
    <cfRule type="cellIs" dxfId="780" priority="765" operator="lessThan">
      <formula>0</formula>
    </cfRule>
  </conditionalFormatting>
  <conditionalFormatting sqref="I22:I29">
    <cfRule type="cellIs" dxfId="779" priority="764" operator="lessThan">
      <formula>0</formula>
    </cfRule>
  </conditionalFormatting>
  <conditionalFormatting sqref="I22:I29">
    <cfRule type="cellIs" dxfId="778" priority="763" operator="lessThan">
      <formula>0</formula>
    </cfRule>
  </conditionalFormatting>
  <conditionalFormatting sqref="I22:I29">
    <cfRule type="cellIs" dxfId="777" priority="762" operator="lessThan">
      <formula>0</formula>
    </cfRule>
  </conditionalFormatting>
  <conditionalFormatting sqref="I22:I29">
    <cfRule type="cellIs" dxfId="776" priority="761" operator="lessThan">
      <formula>0</formula>
    </cfRule>
  </conditionalFormatting>
  <conditionalFormatting sqref="I22:I29">
    <cfRule type="cellIs" dxfId="775" priority="760" operator="lessThan">
      <formula>0</formula>
    </cfRule>
  </conditionalFormatting>
  <conditionalFormatting sqref="I22:I29">
    <cfRule type="cellIs" dxfId="774" priority="759" operator="lessThan">
      <formula>0</formula>
    </cfRule>
  </conditionalFormatting>
  <conditionalFormatting sqref="I22:I29">
    <cfRule type="cellIs" dxfId="773" priority="758" operator="lessThan">
      <formula>0</formula>
    </cfRule>
  </conditionalFormatting>
  <conditionalFormatting sqref="I22:I29">
    <cfRule type="cellIs" dxfId="772" priority="757" operator="lessThan">
      <formula>0</formula>
    </cfRule>
  </conditionalFormatting>
  <conditionalFormatting sqref="I22:I29">
    <cfRule type="cellIs" dxfId="771" priority="756" operator="lessThan">
      <formula>0</formula>
    </cfRule>
  </conditionalFormatting>
  <conditionalFormatting sqref="I22:I29">
    <cfRule type="cellIs" dxfId="770" priority="755" operator="lessThan">
      <formula>0</formula>
    </cfRule>
  </conditionalFormatting>
  <conditionalFormatting sqref="I22:I29">
    <cfRule type="cellIs" dxfId="769" priority="754" operator="lessThan">
      <formula>0</formula>
    </cfRule>
  </conditionalFormatting>
  <conditionalFormatting sqref="I22:I29">
    <cfRule type="cellIs" dxfId="768" priority="753" operator="lessThan">
      <formula>0</formula>
    </cfRule>
  </conditionalFormatting>
  <conditionalFormatting sqref="I22:I29">
    <cfRule type="cellIs" dxfId="767" priority="752" operator="lessThan">
      <formula>0</formula>
    </cfRule>
  </conditionalFormatting>
  <conditionalFormatting sqref="I22:I29">
    <cfRule type="cellIs" dxfId="766" priority="751" operator="lessThan">
      <formula>0</formula>
    </cfRule>
  </conditionalFormatting>
  <conditionalFormatting sqref="I22:I29">
    <cfRule type="cellIs" dxfId="765" priority="750" operator="lessThan">
      <formula>0</formula>
    </cfRule>
  </conditionalFormatting>
  <conditionalFormatting sqref="I22:I29">
    <cfRule type="cellIs" dxfId="764" priority="749" operator="lessThan">
      <formula>0</formula>
    </cfRule>
  </conditionalFormatting>
  <conditionalFormatting sqref="I22:I29">
    <cfRule type="cellIs" dxfId="763" priority="748" operator="lessThan">
      <formula>0</formula>
    </cfRule>
  </conditionalFormatting>
  <conditionalFormatting sqref="I22:I29">
    <cfRule type="cellIs" dxfId="762" priority="747" operator="lessThan">
      <formula>0</formula>
    </cfRule>
  </conditionalFormatting>
  <conditionalFormatting sqref="I22:I29">
    <cfRule type="cellIs" dxfId="761" priority="746" operator="lessThan">
      <formula>0</formula>
    </cfRule>
  </conditionalFormatting>
  <conditionalFormatting sqref="I22:I29">
    <cfRule type="cellIs" dxfId="760" priority="745" operator="lessThan">
      <formula>0</formula>
    </cfRule>
  </conditionalFormatting>
  <conditionalFormatting sqref="I22:I29">
    <cfRule type="cellIs" dxfId="759" priority="744" operator="lessThan">
      <formula>0</formula>
    </cfRule>
  </conditionalFormatting>
  <conditionalFormatting sqref="I22:I29">
    <cfRule type="cellIs" dxfId="758" priority="743" operator="lessThan">
      <formula>0</formula>
    </cfRule>
  </conditionalFormatting>
  <conditionalFormatting sqref="I22:I29">
    <cfRule type="cellIs" dxfId="757" priority="742" operator="lessThan">
      <formula>0</formula>
    </cfRule>
  </conditionalFormatting>
  <conditionalFormatting sqref="I22:I29">
    <cfRule type="cellIs" dxfId="756" priority="741" operator="lessThan">
      <formula>0</formula>
    </cfRule>
  </conditionalFormatting>
  <conditionalFormatting sqref="I22:I29">
    <cfRule type="cellIs" dxfId="755" priority="740" operator="lessThan">
      <formula>0</formula>
    </cfRule>
  </conditionalFormatting>
  <conditionalFormatting sqref="I22:I29">
    <cfRule type="cellIs" dxfId="754" priority="739" operator="lessThan">
      <formula>0</formula>
    </cfRule>
  </conditionalFormatting>
  <conditionalFormatting sqref="I22:I29">
    <cfRule type="cellIs" dxfId="753" priority="738" operator="lessThan">
      <formula>0</formula>
    </cfRule>
  </conditionalFormatting>
  <conditionalFormatting sqref="I22:I29">
    <cfRule type="cellIs" dxfId="752" priority="737" operator="lessThan">
      <formula>0</formula>
    </cfRule>
  </conditionalFormatting>
  <conditionalFormatting sqref="I22:I29">
    <cfRule type="cellIs" dxfId="751" priority="736" operator="lessThan">
      <formula>0</formula>
    </cfRule>
  </conditionalFormatting>
  <conditionalFormatting sqref="I22:I29">
    <cfRule type="cellIs" dxfId="750" priority="735" operator="lessThan">
      <formula>0</formula>
    </cfRule>
  </conditionalFormatting>
  <conditionalFormatting sqref="I22:I29">
    <cfRule type="cellIs" dxfId="749" priority="734" operator="lessThan">
      <formula>0</formula>
    </cfRule>
  </conditionalFormatting>
  <conditionalFormatting sqref="I22:I29">
    <cfRule type="cellIs" dxfId="748" priority="733" operator="lessThan">
      <formula>0</formula>
    </cfRule>
  </conditionalFormatting>
  <conditionalFormatting sqref="I22:I29">
    <cfRule type="cellIs" dxfId="747" priority="732" operator="lessThan">
      <formula>0</formula>
    </cfRule>
  </conditionalFormatting>
  <conditionalFormatting sqref="I22:I29">
    <cfRule type="cellIs" dxfId="746" priority="731" operator="lessThan">
      <formula>0</formula>
    </cfRule>
  </conditionalFormatting>
  <conditionalFormatting sqref="I22:I29">
    <cfRule type="cellIs" dxfId="745" priority="730" operator="lessThan">
      <formula>0</formula>
    </cfRule>
  </conditionalFormatting>
  <conditionalFormatting sqref="I22:I29">
    <cfRule type="cellIs" dxfId="744" priority="729" operator="lessThan">
      <formula>0</formula>
    </cfRule>
  </conditionalFormatting>
  <conditionalFormatting sqref="I22:I29">
    <cfRule type="cellIs" dxfId="743" priority="728" operator="lessThan">
      <formula>0</formula>
    </cfRule>
  </conditionalFormatting>
  <conditionalFormatting sqref="I22:I29">
    <cfRule type="cellIs" dxfId="742" priority="727" operator="lessThan">
      <formula>0</formula>
    </cfRule>
  </conditionalFormatting>
  <conditionalFormatting sqref="I22:I29">
    <cfRule type="cellIs" dxfId="741" priority="726" operator="lessThan">
      <formula>0</formula>
    </cfRule>
  </conditionalFormatting>
  <conditionalFormatting sqref="I22:I29">
    <cfRule type="cellIs" dxfId="740" priority="725" operator="lessThan">
      <formula>0</formula>
    </cfRule>
  </conditionalFormatting>
  <conditionalFormatting sqref="I22:I29">
    <cfRule type="cellIs" dxfId="739" priority="724" operator="lessThan">
      <formula>0</formula>
    </cfRule>
  </conditionalFormatting>
  <conditionalFormatting sqref="I22:I29">
    <cfRule type="cellIs" dxfId="738" priority="723" operator="lessThan">
      <formula>0</formula>
    </cfRule>
  </conditionalFormatting>
  <conditionalFormatting sqref="I22:I29">
    <cfRule type="cellIs" dxfId="737" priority="722" operator="lessThan">
      <formula>0</formula>
    </cfRule>
  </conditionalFormatting>
  <conditionalFormatting sqref="I22:I29">
    <cfRule type="cellIs" dxfId="736" priority="721" operator="lessThan">
      <formula>0</formula>
    </cfRule>
  </conditionalFormatting>
  <conditionalFormatting sqref="I22:I29">
    <cfRule type="cellIs" dxfId="735" priority="720" operator="lessThan">
      <formula>0</formula>
    </cfRule>
  </conditionalFormatting>
  <conditionalFormatting sqref="I22:I29">
    <cfRule type="cellIs" dxfId="734" priority="719" operator="lessThan">
      <formula>0</formula>
    </cfRule>
  </conditionalFormatting>
  <conditionalFormatting sqref="I22:I29">
    <cfRule type="cellIs" dxfId="733" priority="718" operator="lessThan">
      <formula>0</formula>
    </cfRule>
  </conditionalFormatting>
  <conditionalFormatting sqref="I22:I29">
    <cfRule type="cellIs" dxfId="732" priority="717" operator="lessThan">
      <formula>0</formula>
    </cfRule>
  </conditionalFormatting>
  <conditionalFormatting sqref="I22:I29">
    <cfRule type="cellIs" dxfId="731" priority="716" operator="lessThan">
      <formula>0</formula>
    </cfRule>
  </conditionalFormatting>
  <conditionalFormatting sqref="I22:I29">
    <cfRule type="cellIs" dxfId="730" priority="715" operator="lessThan">
      <formula>0</formula>
    </cfRule>
  </conditionalFormatting>
  <conditionalFormatting sqref="I22:I29">
    <cfRule type="cellIs" dxfId="729" priority="714" operator="lessThan">
      <formula>0</formula>
    </cfRule>
  </conditionalFormatting>
  <conditionalFormatting sqref="I22:I29">
    <cfRule type="cellIs" dxfId="728" priority="713" operator="lessThan">
      <formula>0</formula>
    </cfRule>
  </conditionalFormatting>
  <conditionalFormatting sqref="I22:I29">
    <cfRule type="cellIs" dxfId="727" priority="712" operator="lessThan">
      <formula>0</formula>
    </cfRule>
  </conditionalFormatting>
  <conditionalFormatting sqref="I22:I29">
    <cfRule type="cellIs" dxfId="726" priority="711" operator="lessThan">
      <formula>0</formula>
    </cfRule>
  </conditionalFormatting>
  <conditionalFormatting sqref="I22:I29">
    <cfRule type="cellIs" dxfId="725" priority="710" operator="lessThan">
      <formula>0</formula>
    </cfRule>
  </conditionalFormatting>
  <conditionalFormatting sqref="I22:I29">
    <cfRule type="cellIs" dxfId="724" priority="709" operator="lessThan">
      <formula>0</formula>
    </cfRule>
  </conditionalFormatting>
  <conditionalFormatting sqref="I22:I29">
    <cfRule type="cellIs" dxfId="723" priority="708" operator="lessThan">
      <formula>0</formula>
    </cfRule>
  </conditionalFormatting>
  <conditionalFormatting sqref="I22:I29">
    <cfRule type="cellIs" dxfId="722" priority="707" operator="lessThan">
      <formula>0</formula>
    </cfRule>
  </conditionalFormatting>
  <conditionalFormatting sqref="I22:I29">
    <cfRule type="cellIs" dxfId="721" priority="706" operator="lessThan">
      <formula>0</formula>
    </cfRule>
  </conditionalFormatting>
  <conditionalFormatting sqref="I22:I29">
    <cfRule type="cellIs" dxfId="720" priority="705" operator="lessThan">
      <formula>0</formula>
    </cfRule>
  </conditionalFormatting>
  <conditionalFormatting sqref="I22:I29">
    <cfRule type="cellIs" dxfId="719" priority="704" operator="lessThan">
      <formula>0</formula>
    </cfRule>
  </conditionalFormatting>
  <conditionalFormatting sqref="I22:I29">
    <cfRule type="cellIs" dxfId="718" priority="703" operator="lessThan">
      <formula>0</formula>
    </cfRule>
  </conditionalFormatting>
  <conditionalFormatting sqref="I22:I29">
    <cfRule type="cellIs" dxfId="717" priority="702" operator="lessThan">
      <formula>0</formula>
    </cfRule>
  </conditionalFormatting>
  <conditionalFormatting sqref="I22:I29">
    <cfRule type="cellIs" dxfId="716" priority="701" operator="lessThan">
      <formula>0</formula>
    </cfRule>
  </conditionalFormatting>
  <conditionalFormatting sqref="I22:I29">
    <cfRule type="cellIs" dxfId="715" priority="700" operator="lessThan">
      <formula>0</formula>
    </cfRule>
  </conditionalFormatting>
  <conditionalFormatting sqref="I22:I29">
    <cfRule type="cellIs" dxfId="714" priority="699" operator="lessThan">
      <formula>0</formula>
    </cfRule>
  </conditionalFormatting>
  <conditionalFormatting sqref="I22:I29">
    <cfRule type="cellIs" dxfId="713" priority="698" operator="lessThan">
      <formula>0</formula>
    </cfRule>
  </conditionalFormatting>
  <conditionalFormatting sqref="I22:I29">
    <cfRule type="cellIs" dxfId="712" priority="697" operator="lessThan">
      <formula>0</formula>
    </cfRule>
  </conditionalFormatting>
  <conditionalFormatting sqref="I22:I29">
    <cfRule type="cellIs" dxfId="711" priority="696" operator="lessThan">
      <formula>0</formula>
    </cfRule>
  </conditionalFormatting>
  <conditionalFormatting sqref="I22:I29">
    <cfRule type="cellIs" dxfId="710" priority="695" operator="lessThan">
      <formula>0</formula>
    </cfRule>
  </conditionalFormatting>
  <conditionalFormatting sqref="I22:I29">
    <cfRule type="cellIs" dxfId="709" priority="694" operator="lessThan">
      <formula>0</formula>
    </cfRule>
  </conditionalFormatting>
  <conditionalFormatting sqref="I22:I29">
    <cfRule type="cellIs" dxfId="708" priority="693" operator="lessThan">
      <formula>0</formula>
    </cfRule>
  </conditionalFormatting>
  <conditionalFormatting sqref="I22:I29">
    <cfRule type="cellIs" dxfId="707" priority="692" operator="lessThan">
      <formula>0</formula>
    </cfRule>
  </conditionalFormatting>
  <conditionalFormatting sqref="I22:I29">
    <cfRule type="cellIs" dxfId="706" priority="691" operator="lessThan">
      <formula>0</formula>
    </cfRule>
  </conditionalFormatting>
  <conditionalFormatting sqref="I22:I29">
    <cfRule type="cellIs" dxfId="705" priority="690" operator="lessThan">
      <formula>0</formula>
    </cfRule>
  </conditionalFormatting>
  <conditionalFormatting sqref="I22:I29">
    <cfRule type="cellIs" dxfId="704" priority="689" operator="lessThan">
      <formula>0</formula>
    </cfRule>
  </conditionalFormatting>
  <conditionalFormatting sqref="I22:I29">
    <cfRule type="cellIs" dxfId="703" priority="688" operator="lessThan">
      <formula>0</formula>
    </cfRule>
  </conditionalFormatting>
  <conditionalFormatting sqref="I22:I29">
    <cfRule type="cellIs" dxfId="702" priority="687" operator="lessThan">
      <formula>0</formula>
    </cfRule>
  </conditionalFormatting>
  <conditionalFormatting sqref="I22:I29">
    <cfRule type="cellIs" dxfId="701" priority="686" operator="lessThan">
      <formula>0</formula>
    </cfRule>
  </conditionalFormatting>
  <conditionalFormatting sqref="I22:I29">
    <cfRule type="cellIs" dxfId="700" priority="685" operator="lessThan">
      <formula>0</formula>
    </cfRule>
  </conditionalFormatting>
  <conditionalFormatting sqref="I22:I29">
    <cfRule type="cellIs" dxfId="699" priority="684" operator="lessThan">
      <formula>0</formula>
    </cfRule>
  </conditionalFormatting>
  <conditionalFormatting sqref="I22:I29">
    <cfRule type="cellIs" dxfId="698" priority="683" operator="lessThan">
      <formula>0</formula>
    </cfRule>
  </conditionalFormatting>
  <conditionalFormatting sqref="I22:I29">
    <cfRule type="cellIs" dxfId="697" priority="682" operator="lessThan">
      <formula>0</formula>
    </cfRule>
  </conditionalFormatting>
  <conditionalFormatting sqref="I22:I29">
    <cfRule type="cellIs" dxfId="696" priority="681" operator="lessThan">
      <formula>0</formula>
    </cfRule>
  </conditionalFormatting>
  <conditionalFormatting sqref="I22:I29">
    <cfRule type="cellIs" dxfId="695" priority="680" operator="lessThan">
      <formula>0</formula>
    </cfRule>
  </conditionalFormatting>
  <conditionalFormatting sqref="I22:I29">
    <cfRule type="cellIs" dxfId="694" priority="679" operator="lessThan">
      <formula>0</formula>
    </cfRule>
  </conditionalFormatting>
  <conditionalFormatting sqref="I22:I29">
    <cfRule type="cellIs" dxfId="693" priority="678" operator="lessThan">
      <formula>0</formula>
    </cfRule>
  </conditionalFormatting>
  <conditionalFormatting sqref="I22:I29">
    <cfRule type="cellIs" dxfId="692" priority="677" operator="lessThan">
      <formula>0</formula>
    </cfRule>
  </conditionalFormatting>
  <conditionalFormatting sqref="I22:I29">
    <cfRule type="cellIs" dxfId="691" priority="676" operator="lessThan">
      <formula>0</formula>
    </cfRule>
  </conditionalFormatting>
  <conditionalFormatting sqref="I22:I29">
    <cfRule type="cellIs" dxfId="690" priority="675" operator="lessThan">
      <formula>0</formula>
    </cfRule>
  </conditionalFormatting>
  <conditionalFormatting sqref="I22:I29">
    <cfRule type="cellIs" dxfId="689" priority="674" operator="lessThan">
      <formula>0</formula>
    </cfRule>
  </conditionalFormatting>
  <conditionalFormatting sqref="I22:I29">
    <cfRule type="cellIs" dxfId="688" priority="673" operator="lessThan">
      <formula>0</formula>
    </cfRule>
  </conditionalFormatting>
  <conditionalFormatting sqref="I22:I29">
    <cfRule type="cellIs" dxfId="687" priority="672" operator="lessThan">
      <formula>0</formula>
    </cfRule>
  </conditionalFormatting>
  <conditionalFormatting sqref="I22:I29">
    <cfRule type="cellIs" dxfId="686" priority="671" operator="lessThan">
      <formula>0</formula>
    </cfRule>
  </conditionalFormatting>
  <conditionalFormatting sqref="I22:I29">
    <cfRule type="cellIs" dxfId="685" priority="670" operator="lessThan">
      <formula>0</formula>
    </cfRule>
  </conditionalFormatting>
  <conditionalFormatting sqref="I22:I29">
    <cfRule type="cellIs" dxfId="684" priority="669" operator="lessThan">
      <formula>0</formula>
    </cfRule>
  </conditionalFormatting>
  <conditionalFormatting sqref="I22:I29">
    <cfRule type="cellIs" dxfId="683" priority="668" operator="lessThan">
      <formula>0</formula>
    </cfRule>
  </conditionalFormatting>
  <conditionalFormatting sqref="I22:I29">
    <cfRule type="cellIs" dxfId="682" priority="667" operator="lessThan">
      <formula>0</formula>
    </cfRule>
  </conditionalFormatting>
  <conditionalFormatting sqref="I22:I29">
    <cfRule type="cellIs" dxfId="681" priority="666" operator="lessThan">
      <formula>0</formula>
    </cfRule>
  </conditionalFormatting>
  <conditionalFormatting sqref="I22:I29">
    <cfRule type="cellIs" dxfId="680" priority="665" operator="lessThan">
      <formula>0</formula>
    </cfRule>
  </conditionalFormatting>
  <conditionalFormatting sqref="I22:I29">
    <cfRule type="cellIs" dxfId="679" priority="664" operator="lessThan">
      <formula>0</formula>
    </cfRule>
  </conditionalFormatting>
  <conditionalFormatting sqref="I22:I29">
    <cfRule type="cellIs" dxfId="678" priority="663" operator="lessThan">
      <formula>0</formula>
    </cfRule>
  </conditionalFormatting>
  <conditionalFormatting sqref="I22:I29">
    <cfRule type="cellIs" dxfId="677" priority="662" operator="lessThan">
      <formula>0</formula>
    </cfRule>
  </conditionalFormatting>
  <conditionalFormatting sqref="I22:I29">
    <cfRule type="cellIs" dxfId="676" priority="661" operator="lessThan">
      <formula>0</formula>
    </cfRule>
  </conditionalFormatting>
  <conditionalFormatting sqref="I22:I29">
    <cfRule type="cellIs" dxfId="675" priority="660" operator="lessThan">
      <formula>0</formula>
    </cfRule>
  </conditionalFormatting>
  <conditionalFormatting sqref="I22:I29">
    <cfRule type="cellIs" dxfId="674" priority="659" operator="lessThan">
      <formula>0</formula>
    </cfRule>
  </conditionalFormatting>
  <conditionalFormatting sqref="I22:I29">
    <cfRule type="cellIs" dxfId="673" priority="658" operator="lessThan">
      <formula>0</formula>
    </cfRule>
  </conditionalFormatting>
  <conditionalFormatting sqref="I22:I29">
    <cfRule type="cellIs" dxfId="672" priority="657" operator="lessThan">
      <formula>0</formula>
    </cfRule>
  </conditionalFormatting>
  <conditionalFormatting sqref="I22:I29">
    <cfRule type="cellIs" dxfId="671" priority="656" operator="lessThan">
      <formula>0</formula>
    </cfRule>
  </conditionalFormatting>
  <conditionalFormatting sqref="I22:I29">
    <cfRule type="cellIs" dxfId="670" priority="655" operator="lessThan">
      <formula>0</formula>
    </cfRule>
  </conditionalFormatting>
  <conditionalFormatting sqref="I22:I29">
    <cfRule type="cellIs" dxfId="669" priority="654" operator="lessThan">
      <formula>0</formula>
    </cfRule>
  </conditionalFormatting>
  <conditionalFormatting sqref="I22:I29">
    <cfRule type="cellIs" dxfId="668" priority="653" operator="lessThan">
      <formula>0</formula>
    </cfRule>
  </conditionalFormatting>
  <conditionalFormatting sqref="I22:I29">
    <cfRule type="cellIs" dxfId="667" priority="652" operator="lessThan">
      <formula>0</formula>
    </cfRule>
  </conditionalFormatting>
  <conditionalFormatting sqref="I22:I29">
    <cfRule type="cellIs" dxfId="666" priority="651" operator="lessThan">
      <formula>0</formula>
    </cfRule>
  </conditionalFormatting>
  <conditionalFormatting sqref="I22:I29">
    <cfRule type="cellIs" dxfId="665" priority="650" operator="lessThan">
      <formula>0</formula>
    </cfRule>
  </conditionalFormatting>
  <conditionalFormatting sqref="I22:I29">
    <cfRule type="cellIs" dxfId="664" priority="649" operator="lessThan">
      <formula>0</formula>
    </cfRule>
  </conditionalFormatting>
  <conditionalFormatting sqref="I22:I29">
    <cfRule type="cellIs" dxfId="663" priority="648" operator="lessThan">
      <formula>0</formula>
    </cfRule>
  </conditionalFormatting>
  <conditionalFormatting sqref="I22:I29">
    <cfRule type="cellIs" dxfId="662" priority="647" operator="lessThan">
      <formula>0</formula>
    </cfRule>
  </conditionalFormatting>
  <conditionalFormatting sqref="I22:I29">
    <cfRule type="cellIs" dxfId="661" priority="646" operator="lessThan">
      <formula>0</formula>
    </cfRule>
  </conditionalFormatting>
  <conditionalFormatting sqref="I22:I29">
    <cfRule type="cellIs" dxfId="660" priority="645" operator="lessThan">
      <formula>0</formula>
    </cfRule>
  </conditionalFormatting>
  <conditionalFormatting sqref="I22:I29">
    <cfRule type="cellIs" dxfId="659" priority="644" operator="lessThan">
      <formula>0</formula>
    </cfRule>
  </conditionalFormatting>
  <conditionalFormatting sqref="I22:I29">
    <cfRule type="cellIs" dxfId="658" priority="643" operator="lessThan">
      <formula>0</formula>
    </cfRule>
  </conditionalFormatting>
  <conditionalFormatting sqref="I22:I29">
    <cfRule type="cellIs" dxfId="657" priority="642" operator="lessThan">
      <formula>0</formula>
    </cfRule>
  </conditionalFormatting>
  <conditionalFormatting sqref="I22:I29">
    <cfRule type="cellIs" dxfId="656" priority="641" operator="lessThan">
      <formula>0</formula>
    </cfRule>
  </conditionalFormatting>
  <conditionalFormatting sqref="I22:I29">
    <cfRule type="cellIs" dxfId="655" priority="640" operator="lessThan">
      <formula>0</formula>
    </cfRule>
  </conditionalFormatting>
  <conditionalFormatting sqref="I22:I29">
    <cfRule type="cellIs" dxfId="654" priority="639" operator="lessThan">
      <formula>0</formula>
    </cfRule>
  </conditionalFormatting>
  <conditionalFormatting sqref="I22:I29">
    <cfRule type="cellIs" dxfId="653" priority="638" operator="lessThan">
      <formula>0</formula>
    </cfRule>
  </conditionalFormatting>
  <conditionalFormatting sqref="I22:I29">
    <cfRule type="cellIs" dxfId="652" priority="637" operator="lessThan">
      <formula>0</formula>
    </cfRule>
  </conditionalFormatting>
  <conditionalFormatting sqref="I22:I29">
    <cfRule type="cellIs" dxfId="651" priority="636" operator="lessThan">
      <formula>0</formula>
    </cfRule>
  </conditionalFormatting>
  <conditionalFormatting sqref="I22:I29">
    <cfRule type="cellIs" dxfId="650" priority="635" operator="lessThan">
      <formula>0</formula>
    </cfRule>
  </conditionalFormatting>
  <conditionalFormatting sqref="I22:I29">
    <cfRule type="cellIs" dxfId="649" priority="634" operator="lessThan">
      <formula>0</formula>
    </cfRule>
  </conditionalFormatting>
  <conditionalFormatting sqref="I22:I29">
    <cfRule type="cellIs" dxfId="648" priority="633" operator="lessThan">
      <formula>0</formula>
    </cfRule>
  </conditionalFormatting>
  <conditionalFormatting sqref="I22:I29">
    <cfRule type="cellIs" dxfId="647" priority="632" operator="lessThan">
      <formula>0</formula>
    </cfRule>
  </conditionalFormatting>
  <conditionalFormatting sqref="I22:I29">
    <cfRule type="cellIs" dxfId="646" priority="631" operator="lessThan">
      <formula>0</formula>
    </cfRule>
  </conditionalFormatting>
  <conditionalFormatting sqref="I22:I29">
    <cfRule type="cellIs" dxfId="645" priority="630" operator="lessThan">
      <formula>0</formula>
    </cfRule>
  </conditionalFormatting>
  <conditionalFormatting sqref="I22:I29">
    <cfRule type="cellIs" dxfId="644" priority="629" operator="lessThan">
      <formula>0</formula>
    </cfRule>
  </conditionalFormatting>
  <conditionalFormatting sqref="I22:I29">
    <cfRule type="cellIs" dxfId="643" priority="628" operator="lessThan">
      <formula>0</formula>
    </cfRule>
  </conditionalFormatting>
  <conditionalFormatting sqref="I22:I29">
    <cfRule type="cellIs" dxfId="642" priority="627" operator="lessThan">
      <formula>0</formula>
    </cfRule>
  </conditionalFormatting>
  <conditionalFormatting sqref="I22:I29">
    <cfRule type="cellIs" dxfId="641" priority="626" operator="lessThan">
      <formula>0</formula>
    </cfRule>
  </conditionalFormatting>
  <conditionalFormatting sqref="I22:I29">
    <cfRule type="cellIs" dxfId="640" priority="625" operator="lessThan">
      <formula>0</formula>
    </cfRule>
  </conditionalFormatting>
  <conditionalFormatting sqref="I22:I29">
    <cfRule type="cellIs" dxfId="639" priority="624" operator="lessThan">
      <formula>0</formula>
    </cfRule>
  </conditionalFormatting>
  <conditionalFormatting sqref="I22:I29">
    <cfRule type="cellIs" dxfId="638" priority="623" operator="lessThan">
      <formula>0</formula>
    </cfRule>
  </conditionalFormatting>
  <conditionalFormatting sqref="I22:I29">
    <cfRule type="cellIs" dxfId="637" priority="622" operator="lessThan">
      <formula>0</formula>
    </cfRule>
  </conditionalFormatting>
  <conditionalFormatting sqref="I22:I29">
    <cfRule type="cellIs" dxfId="636" priority="621" operator="lessThan">
      <formula>0</formula>
    </cfRule>
  </conditionalFormatting>
  <conditionalFormatting sqref="I22:I29">
    <cfRule type="cellIs" dxfId="635" priority="620" operator="lessThan">
      <formula>0</formula>
    </cfRule>
  </conditionalFormatting>
  <conditionalFormatting sqref="I22:I29">
    <cfRule type="cellIs" dxfId="634" priority="619" operator="lessThan">
      <formula>0</formula>
    </cfRule>
  </conditionalFormatting>
  <conditionalFormatting sqref="I22:I29">
    <cfRule type="cellIs" dxfId="633" priority="618" operator="lessThan">
      <formula>0</formula>
    </cfRule>
  </conditionalFormatting>
  <conditionalFormatting sqref="I22:I29">
    <cfRule type="cellIs" dxfId="632" priority="617" operator="lessThan">
      <formula>0</formula>
    </cfRule>
  </conditionalFormatting>
  <conditionalFormatting sqref="I22:I29">
    <cfRule type="cellIs" dxfId="631" priority="616" operator="lessThan">
      <formula>0</formula>
    </cfRule>
  </conditionalFormatting>
  <conditionalFormatting sqref="I22:I29">
    <cfRule type="cellIs" dxfId="630" priority="615" operator="lessThan">
      <formula>0</formula>
    </cfRule>
  </conditionalFormatting>
  <conditionalFormatting sqref="I22:I29">
    <cfRule type="cellIs" dxfId="629" priority="614" operator="lessThan">
      <formula>0</formula>
    </cfRule>
  </conditionalFormatting>
  <conditionalFormatting sqref="I22:I29">
    <cfRule type="cellIs" dxfId="628" priority="613" operator="lessThan">
      <formula>0</formula>
    </cfRule>
  </conditionalFormatting>
  <conditionalFormatting sqref="I22:I29">
    <cfRule type="cellIs" dxfId="627" priority="612" operator="lessThan">
      <formula>0</formula>
    </cfRule>
  </conditionalFormatting>
  <conditionalFormatting sqref="I22:I29">
    <cfRule type="cellIs" dxfId="626" priority="611" operator="lessThan">
      <formula>0</formula>
    </cfRule>
  </conditionalFormatting>
  <conditionalFormatting sqref="I22:I29">
    <cfRule type="cellIs" dxfId="625" priority="610" operator="lessThan">
      <formula>0</formula>
    </cfRule>
  </conditionalFormatting>
  <conditionalFormatting sqref="I22:I29">
    <cfRule type="cellIs" dxfId="624" priority="609" operator="lessThan">
      <formula>0</formula>
    </cfRule>
  </conditionalFormatting>
  <conditionalFormatting sqref="I22:I29">
    <cfRule type="cellIs" dxfId="623" priority="608" operator="lessThan">
      <formula>0</formula>
    </cfRule>
  </conditionalFormatting>
  <conditionalFormatting sqref="I22:I29">
    <cfRule type="cellIs" dxfId="622" priority="607" operator="lessThan">
      <formula>0</formula>
    </cfRule>
  </conditionalFormatting>
  <conditionalFormatting sqref="I22:I29">
    <cfRule type="cellIs" dxfId="621" priority="606" operator="lessThan">
      <formula>0</formula>
    </cfRule>
  </conditionalFormatting>
  <conditionalFormatting sqref="I22:I29">
    <cfRule type="cellIs" dxfId="620" priority="605" operator="lessThan">
      <formula>0</formula>
    </cfRule>
  </conditionalFormatting>
  <conditionalFormatting sqref="I22:I29">
    <cfRule type="cellIs" dxfId="619" priority="604" operator="lessThan">
      <formula>0</formula>
    </cfRule>
  </conditionalFormatting>
  <conditionalFormatting sqref="I22:I29">
    <cfRule type="cellIs" dxfId="618" priority="603" operator="lessThan">
      <formula>0</formula>
    </cfRule>
  </conditionalFormatting>
  <conditionalFormatting sqref="I22:I29">
    <cfRule type="cellIs" dxfId="617" priority="602" operator="lessThan">
      <formula>0</formula>
    </cfRule>
  </conditionalFormatting>
  <conditionalFormatting sqref="I22:I29">
    <cfRule type="cellIs" dxfId="616" priority="601" operator="lessThan">
      <formula>0</formula>
    </cfRule>
  </conditionalFormatting>
  <conditionalFormatting sqref="I22:I29">
    <cfRule type="cellIs" dxfId="615" priority="600" operator="lessThan">
      <formula>0</formula>
    </cfRule>
  </conditionalFormatting>
  <conditionalFormatting sqref="I22:I29">
    <cfRule type="cellIs" dxfId="614" priority="599" operator="lessThan">
      <formula>0</formula>
    </cfRule>
  </conditionalFormatting>
  <conditionalFormatting sqref="I22:I29">
    <cfRule type="cellIs" dxfId="613" priority="598" operator="lessThan">
      <formula>0</formula>
    </cfRule>
  </conditionalFormatting>
  <conditionalFormatting sqref="I22:I29">
    <cfRule type="cellIs" dxfId="612" priority="597" operator="lessThan">
      <formula>0</formula>
    </cfRule>
  </conditionalFormatting>
  <conditionalFormatting sqref="I22:I29">
    <cfRule type="cellIs" dxfId="611" priority="596" operator="lessThan">
      <formula>0</formula>
    </cfRule>
  </conditionalFormatting>
  <conditionalFormatting sqref="I22:I29">
    <cfRule type="cellIs" dxfId="610" priority="595" operator="lessThan">
      <formula>0</formula>
    </cfRule>
  </conditionalFormatting>
  <conditionalFormatting sqref="I22:I29">
    <cfRule type="cellIs" dxfId="609" priority="594" operator="lessThan">
      <formula>0</formula>
    </cfRule>
  </conditionalFormatting>
  <conditionalFormatting sqref="I22:I29">
    <cfRule type="cellIs" dxfId="608" priority="593" operator="lessThan">
      <formula>0</formula>
    </cfRule>
  </conditionalFormatting>
  <conditionalFormatting sqref="I22:I29">
    <cfRule type="cellIs" dxfId="607" priority="592" operator="lessThan">
      <formula>0</formula>
    </cfRule>
  </conditionalFormatting>
  <conditionalFormatting sqref="I22:I29">
    <cfRule type="cellIs" dxfId="606" priority="591" operator="lessThan">
      <formula>0</formula>
    </cfRule>
  </conditionalFormatting>
  <conditionalFormatting sqref="I22:I29">
    <cfRule type="cellIs" dxfId="605" priority="590" operator="lessThan">
      <formula>0</formula>
    </cfRule>
  </conditionalFormatting>
  <conditionalFormatting sqref="I22:I29">
    <cfRule type="cellIs" dxfId="604" priority="589" operator="lessThan">
      <formula>0</formula>
    </cfRule>
  </conditionalFormatting>
  <conditionalFormatting sqref="I22:I29">
    <cfRule type="cellIs" dxfId="603" priority="588" operator="lessThan">
      <formula>0</formula>
    </cfRule>
  </conditionalFormatting>
  <conditionalFormatting sqref="I22:I29">
    <cfRule type="cellIs" dxfId="602" priority="587" operator="lessThan">
      <formula>0</formula>
    </cfRule>
  </conditionalFormatting>
  <conditionalFormatting sqref="I22:I29">
    <cfRule type="cellIs" dxfId="601" priority="586" operator="lessThan">
      <formula>0</formula>
    </cfRule>
  </conditionalFormatting>
  <conditionalFormatting sqref="I22:I29">
    <cfRule type="cellIs" dxfId="600" priority="585" operator="lessThan">
      <formula>0</formula>
    </cfRule>
  </conditionalFormatting>
  <conditionalFormatting sqref="I22:I29">
    <cfRule type="cellIs" dxfId="599" priority="584" operator="lessThan">
      <formula>0</formula>
    </cfRule>
  </conditionalFormatting>
  <conditionalFormatting sqref="I22:I29">
    <cfRule type="cellIs" dxfId="598" priority="583" operator="lessThan">
      <formula>0</formula>
    </cfRule>
  </conditionalFormatting>
  <conditionalFormatting sqref="I22:I29">
    <cfRule type="cellIs" dxfId="597" priority="582" operator="lessThan">
      <formula>0</formula>
    </cfRule>
  </conditionalFormatting>
  <conditionalFormatting sqref="I22:I29">
    <cfRule type="cellIs" dxfId="596" priority="581" operator="lessThan">
      <formula>0</formula>
    </cfRule>
  </conditionalFormatting>
  <conditionalFormatting sqref="I22:I29">
    <cfRule type="cellIs" dxfId="595" priority="580" operator="lessThan">
      <formula>0</formula>
    </cfRule>
  </conditionalFormatting>
  <conditionalFormatting sqref="I22:I29">
    <cfRule type="cellIs" dxfId="594" priority="579" operator="lessThan">
      <formula>0</formula>
    </cfRule>
  </conditionalFormatting>
  <conditionalFormatting sqref="I22:I29">
    <cfRule type="cellIs" dxfId="593" priority="578" operator="lessThan">
      <formula>0</formula>
    </cfRule>
  </conditionalFormatting>
  <conditionalFormatting sqref="I22:I29">
    <cfRule type="cellIs" dxfId="592" priority="577" operator="lessThan">
      <formula>0</formula>
    </cfRule>
  </conditionalFormatting>
  <conditionalFormatting sqref="I22:I29">
    <cfRule type="cellIs" dxfId="591" priority="576" operator="lessThan">
      <formula>0</formula>
    </cfRule>
  </conditionalFormatting>
  <conditionalFormatting sqref="I22:I29">
    <cfRule type="cellIs" dxfId="590" priority="575" operator="lessThan">
      <formula>0</formula>
    </cfRule>
  </conditionalFormatting>
  <conditionalFormatting sqref="I22:I29">
    <cfRule type="cellIs" dxfId="589" priority="574" operator="lessThan">
      <formula>0</formula>
    </cfRule>
  </conditionalFormatting>
  <conditionalFormatting sqref="I22:I29">
    <cfRule type="cellIs" dxfId="588" priority="573" operator="lessThan">
      <formula>0</formula>
    </cfRule>
  </conditionalFormatting>
  <conditionalFormatting sqref="I22:I29">
    <cfRule type="cellIs" dxfId="587" priority="572" operator="lessThan">
      <formula>0</formula>
    </cfRule>
  </conditionalFormatting>
  <conditionalFormatting sqref="I22:I29">
    <cfRule type="cellIs" dxfId="586" priority="571" operator="lessThan">
      <formula>0</formula>
    </cfRule>
  </conditionalFormatting>
  <conditionalFormatting sqref="I22:I29">
    <cfRule type="cellIs" dxfId="585" priority="570" operator="lessThan">
      <formula>0</formula>
    </cfRule>
  </conditionalFormatting>
  <conditionalFormatting sqref="I22:I29">
    <cfRule type="cellIs" dxfId="584" priority="569" operator="lessThan">
      <formula>0</formula>
    </cfRule>
  </conditionalFormatting>
  <conditionalFormatting sqref="I22:I29">
    <cfRule type="cellIs" dxfId="583" priority="568" operator="lessThan">
      <formula>0</formula>
    </cfRule>
  </conditionalFormatting>
  <conditionalFormatting sqref="I22:I29">
    <cfRule type="cellIs" dxfId="582" priority="567" operator="lessThan">
      <formula>0</formula>
    </cfRule>
  </conditionalFormatting>
  <conditionalFormatting sqref="I22:I29">
    <cfRule type="cellIs" dxfId="581" priority="566" operator="lessThan">
      <formula>0</formula>
    </cfRule>
  </conditionalFormatting>
  <conditionalFormatting sqref="I22:I29">
    <cfRule type="cellIs" dxfId="580" priority="565" operator="lessThan">
      <formula>0</formula>
    </cfRule>
  </conditionalFormatting>
  <conditionalFormatting sqref="I22:I29">
    <cfRule type="cellIs" dxfId="579" priority="564" operator="lessThan">
      <formula>0</formula>
    </cfRule>
  </conditionalFormatting>
  <conditionalFormatting sqref="I22:I29">
    <cfRule type="cellIs" dxfId="578" priority="563" operator="lessThan">
      <formula>0</formula>
    </cfRule>
  </conditionalFormatting>
  <conditionalFormatting sqref="I22:I29">
    <cfRule type="cellIs" dxfId="577" priority="562" operator="lessThan">
      <formula>0</formula>
    </cfRule>
  </conditionalFormatting>
  <conditionalFormatting sqref="I22:I29">
    <cfRule type="cellIs" dxfId="576" priority="561" operator="lessThan">
      <formula>0</formula>
    </cfRule>
  </conditionalFormatting>
  <conditionalFormatting sqref="I22:I29">
    <cfRule type="cellIs" dxfId="575" priority="560" operator="lessThan">
      <formula>0</formula>
    </cfRule>
  </conditionalFormatting>
  <conditionalFormatting sqref="I22:I29">
    <cfRule type="cellIs" dxfId="574" priority="559" operator="lessThan">
      <formula>0</formula>
    </cfRule>
  </conditionalFormatting>
  <conditionalFormatting sqref="I22:I29">
    <cfRule type="cellIs" dxfId="573" priority="558" operator="lessThan">
      <formula>0</formula>
    </cfRule>
  </conditionalFormatting>
  <conditionalFormatting sqref="I22:I29">
    <cfRule type="cellIs" dxfId="572" priority="557" operator="lessThan">
      <formula>0</formula>
    </cfRule>
  </conditionalFormatting>
  <conditionalFormatting sqref="I22:I29">
    <cfRule type="cellIs" dxfId="571" priority="556" operator="lessThan">
      <formula>0</formula>
    </cfRule>
  </conditionalFormatting>
  <conditionalFormatting sqref="I22:I29">
    <cfRule type="cellIs" dxfId="570" priority="555" operator="lessThan">
      <formula>0</formula>
    </cfRule>
  </conditionalFormatting>
  <conditionalFormatting sqref="I22:I29">
    <cfRule type="cellIs" dxfId="569" priority="554" operator="lessThan">
      <formula>0</formula>
    </cfRule>
  </conditionalFormatting>
  <conditionalFormatting sqref="I22:I29">
    <cfRule type="cellIs" dxfId="568" priority="553" operator="lessThan">
      <formula>0</formula>
    </cfRule>
  </conditionalFormatting>
  <conditionalFormatting sqref="I22:I29">
    <cfRule type="cellIs" dxfId="567" priority="552" operator="lessThan">
      <formula>0</formula>
    </cfRule>
  </conditionalFormatting>
  <conditionalFormatting sqref="I22:I29">
    <cfRule type="cellIs" dxfId="566" priority="551" operator="lessThan">
      <formula>0</formula>
    </cfRule>
  </conditionalFormatting>
  <conditionalFormatting sqref="I22:I29">
    <cfRule type="cellIs" dxfId="565" priority="550" operator="lessThan">
      <formula>0</formula>
    </cfRule>
  </conditionalFormatting>
  <conditionalFormatting sqref="I22:I29">
    <cfRule type="cellIs" dxfId="564" priority="549" operator="lessThan">
      <formula>0</formula>
    </cfRule>
  </conditionalFormatting>
  <conditionalFormatting sqref="I22:I29">
    <cfRule type="cellIs" dxfId="563" priority="548" operator="lessThan">
      <formula>0</formula>
    </cfRule>
  </conditionalFormatting>
  <conditionalFormatting sqref="I22:I29">
    <cfRule type="cellIs" dxfId="562" priority="547" operator="lessThan">
      <formula>0</formula>
    </cfRule>
  </conditionalFormatting>
  <conditionalFormatting sqref="I22:I29">
    <cfRule type="cellIs" dxfId="561" priority="546" operator="lessThan">
      <formula>0</formula>
    </cfRule>
  </conditionalFormatting>
  <conditionalFormatting sqref="I22:I29">
    <cfRule type="cellIs" dxfId="560" priority="545" operator="lessThan">
      <formula>0</formula>
    </cfRule>
  </conditionalFormatting>
  <conditionalFormatting sqref="I22:I29">
    <cfRule type="cellIs" dxfId="559" priority="544" operator="lessThan">
      <formula>0</formula>
    </cfRule>
  </conditionalFormatting>
  <conditionalFormatting sqref="I22:I29">
    <cfRule type="cellIs" dxfId="558" priority="543" operator="lessThan">
      <formula>0</formula>
    </cfRule>
  </conditionalFormatting>
  <conditionalFormatting sqref="I22:I29">
    <cfRule type="cellIs" dxfId="557" priority="542" operator="lessThan">
      <formula>0</formula>
    </cfRule>
  </conditionalFormatting>
  <conditionalFormatting sqref="I22:I29">
    <cfRule type="cellIs" dxfId="556" priority="541" operator="lessThan">
      <formula>0</formula>
    </cfRule>
  </conditionalFormatting>
  <conditionalFormatting sqref="I22:I29">
    <cfRule type="cellIs" dxfId="555" priority="540" operator="lessThan">
      <formula>0</formula>
    </cfRule>
  </conditionalFormatting>
  <conditionalFormatting sqref="I22:I29">
    <cfRule type="cellIs" dxfId="554" priority="539" operator="lessThan">
      <formula>0</formula>
    </cfRule>
  </conditionalFormatting>
  <conditionalFormatting sqref="I22:I29">
    <cfRule type="cellIs" dxfId="553" priority="538" operator="lessThan">
      <formula>0</formula>
    </cfRule>
  </conditionalFormatting>
  <conditionalFormatting sqref="I22:I29">
    <cfRule type="cellIs" dxfId="552" priority="537" operator="lessThan">
      <formula>0</formula>
    </cfRule>
  </conditionalFormatting>
  <conditionalFormatting sqref="I22:I29">
    <cfRule type="cellIs" dxfId="551" priority="536" operator="lessThan">
      <formula>0</formula>
    </cfRule>
  </conditionalFormatting>
  <conditionalFormatting sqref="I22:I29">
    <cfRule type="cellIs" dxfId="550" priority="535" operator="lessThan">
      <formula>0</formula>
    </cfRule>
  </conditionalFormatting>
  <conditionalFormatting sqref="I22:I29">
    <cfRule type="cellIs" dxfId="549" priority="534" operator="lessThan">
      <formula>0</formula>
    </cfRule>
  </conditionalFormatting>
  <conditionalFormatting sqref="I22:I29">
    <cfRule type="cellIs" dxfId="548" priority="533" operator="lessThan">
      <formula>0</formula>
    </cfRule>
  </conditionalFormatting>
  <conditionalFormatting sqref="I22:I29">
    <cfRule type="cellIs" dxfId="547" priority="532" operator="lessThan">
      <formula>0</formula>
    </cfRule>
  </conditionalFormatting>
  <conditionalFormatting sqref="I22:I29">
    <cfRule type="cellIs" dxfId="546" priority="531" operator="lessThan">
      <formula>0</formula>
    </cfRule>
  </conditionalFormatting>
  <conditionalFormatting sqref="I22:I29">
    <cfRule type="cellIs" dxfId="545" priority="530" operator="lessThan">
      <formula>0</formula>
    </cfRule>
  </conditionalFormatting>
  <conditionalFormatting sqref="I22:I29">
    <cfRule type="cellIs" dxfId="544" priority="529" operator="lessThan">
      <formula>0</formula>
    </cfRule>
  </conditionalFormatting>
  <conditionalFormatting sqref="I22:I29">
    <cfRule type="cellIs" dxfId="543" priority="528" operator="lessThan">
      <formula>0</formula>
    </cfRule>
  </conditionalFormatting>
  <conditionalFormatting sqref="I22:I29">
    <cfRule type="cellIs" dxfId="542" priority="527" operator="lessThan">
      <formula>0</formula>
    </cfRule>
  </conditionalFormatting>
  <conditionalFormatting sqref="I22:I29">
    <cfRule type="cellIs" dxfId="541" priority="526" operator="lessThan">
      <formula>0</formula>
    </cfRule>
  </conditionalFormatting>
  <conditionalFormatting sqref="I22:I29">
    <cfRule type="cellIs" dxfId="540" priority="525" operator="lessThan">
      <formula>0</formula>
    </cfRule>
  </conditionalFormatting>
  <conditionalFormatting sqref="I22:I29">
    <cfRule type="cellIs" dxfId="539" priority="524" operator="lessThan">
      <formula>0</formula>
    </cfRule>
  </conditionalFormatting>
  <conditionalFormatting sqref="I22:I29">
    <cfRule type="cellIs" dxfId="538" priority="523" operator="lessThan">
      <formula>0</formula>
    </cfRule>
  </conditionalFormatting>
  <conditionalFormatting sqref="I22:I29">
    <cfRule type="cellIs" dxfId="537" priority="522" operator="lessThan">
      <formula>0</formula>
    </cfRule>
  </conditionalFormatting>
  <conditionalFormatting sqref="I22:I29">
    <cfRule type="cellIs" dxfId="536" priority="521" operator="lessThan">
      <formula>0</formula>
    </cfRule>
  </conditionalFormatting>
  <conditionalFormatting sqref="I22:I29">
    <cfRule type="cellIs" dxfId="535" priority="520" operator="lessThan">
      <formula>0</formula>
    </cfRule>
  </conditionalFormatting>
  <conditionalFormatting sqref="I22:I29">
    <cfRule type="cellIs" dxfId="534" priority="519" operator="lessThan">
      <formula>0</formula>
    </cfRule>
  </conditionalFormatting>
  <conditionalFormatting sqref="I22:I29">
    <cfRule type="cellIs" dxfId="533" priority="518" operator="lessThan">
      <formula>0</formula>
    </cfRule>
  </conditionalFormatting>
  <conditionalFormatting sqref="I22:I29">
    <cfRule type="cellIs" dxfId="532" priority="517" operator="lessThan">
      <formula>0</formula>
    </cfRule>
  </conditionalFormatting>
  <conditionalFormatting sqref="I22:I29">
    <cfRule type="cellIs" dxfId="531" priority="516" operator="lessThan">
      <formula>0</formula>
    </cfRule>
  </conditionalFormatting>
  <conditionalFormatting sqref="I22:I29">
    <cfRule type="cellIs" dxfId="530" priority="515" operator="lessThan">
      <formula>0</formula>
    </cfRule>
  </conditionalFormatting>
  <conditionalFormatting sqref="I22:I29">
    <cfRule type="cellIs" dxfId="529" priority="514" operator="lessThan">
      <formula>0</formula>
    </cfRule>
  </conditionalFormatting>
  <conditionalFormatting sqref="I22:I29">
    <cfRule type="cellIs" dxfId="528" priority="513" operator="lessThan">
      <formula>0</formula>
    </cfRule>
  </conditionalFormatting>
  <conditionalFormatting sqref="I22:I29">
    <cfRule type="cellIs" dxfId="527" priority="512" operator="lessThan">
      <formula>0</formula>
    </cfRule>
  </conditionalFormatting>
  <conditionalFormatting sqref="I22:I29">
    <cfRule type="cellIs" dxfId="526" priority="511" operator="lessThan">
      <formula>0</formula>
    </cfRule>
  </conditionalFormatting>
  <conditionalFormatting sqref="I22:I29">
    <cfRule type="cellIs" dxfId="525" priority="510" operator="lessThan">
      <formula>0</formula>
    </cfRule>
  </conditionalFormatting>
  <conditionalFormatting sqref="I22:I29">
    <cfRule type="cellIs" dxfId="524" priority="509" operator="lessThan">
      <formula>0</formula>
    </cfRule>
  </conditionalFormatting>
  <conditionalFormatting sqref="I22:I29">
    <cfRule type="cellIs" dxfId="523" priority="508" operator="lessThan">
      <formula>0</formula>
    </cfRule>
  </conditionalFormatting>
  <conditionalFormatting sqref="I22:I29">
    <cfRule type="cellIs" dxfId="522" priority="507" operator="lessThan">
      <formula>0</formula>
    </cfRule>
  </conditionalFormatting>
  <conditionalFormatting sqref="I22:I29">
    <cfRule type="cellIs" dxfId="521" priority="506" operator="lessThan">
      <formula>0</formula>
    </cfRule>
  </conditionalFormatting>
  <conditionalFormatting sqref="I22:I29">
    <cfRule type="cellIs" dxfId="520" priority="505" operator="lessThan">
      <formula>0</formula>
    </cfRule>
  </conditionalFormatting>
  <conditionalFormatting sqref="I22:I29">
    <cfRule type="cellIs" dxfId="519" priority="504" operator="lessThan">
      <formula>0</formula>
    </cfRule>
  </conditionalFormatting>
  <conditionalFormatting sqref="I22:I29">
    <cfRule type="cellIs" dxfId="518" priority="503" operator="lessThan">
      <formula>0</formula>
    </cfRule>
  </conditionalFormatting>
  <conditionalFormatting sqref="I22:I29">
    <cfRule type="cellIs" dxfId="517" priority="502" operator="lessThan">
      <formula>0</formula>
    </cfRule>
  </conditionalFormatting>
  <conditionalFormatting sqref="I22:I29">
    <cfRule type="cellIs" dxfId="516" priority="501" operator="lessThan">
      <formula>0</formula>
    </cfRule>
  </conditionalFormatting>
  <conditionalFormatting sqref="I22:I29">
    <cfRule type="cellIs" dxfId="515" priority="500" operator="lessThan">
      <formula>0</formula>
    </cfRule>
  </conditionalFormatting>
  <conditionalFormatting sqref="I22:I29">
    <cfRule type="cellIs" dxfId="514" priority="499" operator="lessThan">
      <formula>0</formula>
    </cfRule>
  </conditionalFormatting>
  <conditionalFormatting sqref="I22:I29">
    <cfRule type="cellIs" dxfId="513" priority="498" operator="lessThan">
      <formula>0</formula>
    </cfRule>
  </conditionalFormatting>
  <conditionalFormatting sqref="I22:I29">
    <cfRule type="cellIs" dxfId="512" priority="497" operator="lessThan">
      <formula>0</formula>
    </cfRule>
  </conditionalFormatting>
  <conditionalFormatting sqref="I22:I29">
    <cfRule type="cellIs" dxfId="511" priority="496" operator="lessThan">
      <formula>0</formula>
    </cfRule>
  </conditionalFormatting>
  <conditionalFormatting sqref="I22:I29">
    <cfRule type="cellIs" dxfId="510" priority="495" operator="lessThan">
      <formula>0</formula>
    </cfRule>
  </conditionalFormatting>
  <conditionalFormatting sqref="I22:I29">
    <cfRule type="cellIs" dxfId="509" priority="494" operator="lessThan">
      <formula>0</formula>
    </cfRule>
  </conditionalFormatting>
  <conditionalFormatting sqref="I22:I29">
    <cfRule type="cellIs" dxfId="508" priority="493" operator="lessThan">
      <formula>0</formula>
    </cfRule>
  </conditionalFormatting>
  <conditionalFormatting sqref="I22:I29">
    <cfRule type="cellIs" dxfId="507" priority="492" operator="lessThan">
      <formula>0</formula>
    </cfRule>
  </conditionalFormatting>
  <conditionalFormatting sqref="I22:I29">
    <cfRule type="cellIs" dxfId="506" priority="491" operator="lessThan">
      <formula>0</formula>
    </cfRule>
  </conditionalFormatting>
  <conditionalFormatting sqref="I22:I29">
    <cfRule type="cellIs" dxfId="505" priority="490" operator="lessThan">
      <formula>0</formula>
    </cfRule>
  </conditionalFormatting>
  <conditionalFormatting sqref="I22:I29">
    <cfRule type="cellIs" dxfId="504" priority="489" operator="lessThan">
      <formula>0</formula>
    </cfRule>
  </conditionalFormatting>
  <conditionalFormatting sqref="I22:I29">
    <cfRule type="cellIs" dxfId="503" priority="488" operator="lessThan">
      <formula>0</formula>
    </cfRule>
  </conditionalFormatting>
  <conditionalFormatting sqref="I22:I29">
    <cfRule type="cellIs" dxfId="502" priority="487" operator="lessThan">
      <formula>0</formula>
    </cfRule>
  </conditionalFormatting>
  <conditionalFormatting sqref="I22:I29">
    <cfRule type="cellIs" dxfId="501" priority="486" operator="lessThan">
      <formula>0</formula>
    </cfRule>
  </conditionalFormatting>
  <conditionalFormatting sqref="I22:I29">
    <cfRule type="cellIs" dxfId="500" priority="485" operator="lessThan">
      <formula>0</formula>
    </cfRule>
  </conditionalFormatting>
  <conditionalFormatting sqref="I22:I29">
    <cfRule type="cellIs" dxfId="499" priority="484" operator="lessThan">
      <formula>0</formula>
    </cfRule>
  </conditionalFormatting>
  <conditionalFormatting sqref="I22:I29">
    <cfRule type="cellIs" dxfId="498" priority="483" operator="lessThan">
      <formula>0</formula>
    </cfRule>
  </conditionalFormatting>
  <conditionalFormatting sqref="I22:I29">
    <cfRule type="cellIs" dxfId="497" priority="482" operator="lessThan">
      <formula>0</formula>
    </cfRule>
  </conditionalFormatting>
  <conditionalFormatting sqref="I22:I29">
    <cfRule type="cellIs" dxfId="496" priority="481" operator="lessThan">
      <formula>0</formula>
    </cfRule>
  </conditionalFormatting>
  <conditionalFormatting sqref="I22:I29">
    <cfRule type="cellIs" dxfId="495" priority="480" operator="lessThan">
      <formula>0</formula>
    </cfRule>
  </conditionalFormatting>
  <conditionalFormatting sqref="I22:I29">
    <cfRule type="cellIs" dxfId="494" priority="479" operator="lessThan">
      <formula>0</formula>
    </cfRule>
  </conditionalFormatting>
  <conditionalFormatting sqref="I22:I29">
    <cfRule type="cellIs" dxfId="493" priority="478" operator="lessThan">
      <formula>0</formula>
    </cfRule>
  </conditionalFormatting>
  <conditionalFormatting sqref="I22:I29">
    <cfRule type="cellIs" dxfId="492" priority="477" operator="lessThan">
      <formula>0</formula>
    </cfRule>
  </conditionalFormatting>
  <conditionalFormatting sqref="I22:I29">
    <cfRule type="cellIs" dxfId="491" priority="476" operator="lessThan">
      <formula>0</formula>
    </cfRule>
  </conditionalFormatting>
  <conditionalFormatting sqref="I22:I29">
    <cfRule type="cellIs" dxfId="490" priority="475" operator="lessThan">
      <formula>0</formula>
    </cfRule>
  </conditionalFormatting>
  <conditionalFormatting sqref="I22:I29">
    <cfRule type="cellIs" dxfId="489" priority="474" operator="lessThan">
      <formula>0</formula>
    </cfRule>
  </conditionalFormatting>
  <conditionalFormatting sqref="I22:I29">
    <cfRule type="cellIs" dxfId="488" priority="473" operator="lessThan">
      <formula>0</formula>
    </cfRule>
  </conditionalFormatting>
  <conditionalFormatting sqref="I22:I29">
    <cfRule type="cellIs" dxfId="487" priority="472" operator="lessThan">
      <formula>0</formula>
    </cfRule>
  </conditionalFormatting>
  <conditionalFormatting sqref="I22:I29">
    <cfRule type="cellIs" dxfId="486" priority="471" operator="lessThan">
      <formula>0</formula>
    </cfRule>
  </conditionalFormatting>
  <conditionalFormatting sqref="I22:I29">
    <cfRule type="cellIs" dxfId="485" priority="470" operator="lessThan">
      <formula>0</formula>
    </cfRule>
  </conditionalFormatting>
  <conditionalFormatting sqref="I22:I29">
    <cfRule type="cellIs" dxfId="484" priority="469" operator="lessThan">
      <formula>0</formula>
    </cfRule>
  </conditionalFormatting>
  <conditionalFormatting sqref="I22:I29">
    <cfRule type="cellIs" dxfId="483" priority="468" operator="lessThan">
      <formula>0</formula>
    </cfRule>
  </conditionalFormatting>
  <conditionalFormatting sqref="I22:I29">
    <cfRule type="cellIs" dxfId="482" priority="467" operator="lessThan">
      <formula>0</formula>
    </cfRule>
  </conditionalFormatting>
  <conditionalFormatting sqref="I22:I29">
    <cfRule type="cellIs" dxfId="481" priority="466" operator="lessThan">
      <formula>0</formula>
    </cfRule>
  </conditionalFormatting>
  <conditionalFormatting sqref="I22:I29">
    <cfRule type="cellIs" dxfId="480" priority="465" operator="lessThan">
      <formula>0</formula>
    </cfRule>
  </conditionalFormatting>
  <conditionalFormatting sqref="I22:I29">
    <cfRule type="cellIs" dxfId="479" priority="464" operator="lessThan">
      <formula>0</formula>
    </cfRule>
  </conditionalFormatting>
  <conditionalFormatting sqref="I22:I29">
    <cfRule type="cellIs" dxfId="478" priority="463" operator="lessThan">
      <formula>0</formula>
    </cfRule>
  </conditionalFormatting>
  <conditionalFormatting sqref="I22:I29">
    <cfRule type="cellIs" dxfId="477" priority="462" operator="lessThan">
      <formula>0</formula>
    </cfRule>
  </conditionalFormatting>
  <conditionalFormatting sqref="I22:I29">
    <cfRule type="cellIs" dxfId="476" priority="461" operator="lessThan">
      <formula>0</formula>
    </cfRule>
  </conditionalFormatting>
  <conditionalFormatting sqref="I22:I29">
    <cfRule type="cellIs" dxfId="475" priority="460" operator="lessThan">
      <formula>0</formula>
    </cfRule>
  </conditionalFormatting>
  <conditionalFormatting sqref="I22:I29">
    <cfRule type="cellIs" dxfId="474" priority="459" operator="lessThan">
      <formula>0</formula>
    </cfRule>
  </conditionalFormatting>
  <conditionalFormatting sqref="I22:I29">
    <cfRule type="cellIs" dxfId="473" priority="458" operator="lessThan">
      <formula>0</formula>
    </cfRule>
  </conditionalFormatting>
  <conditionalFormatting sqref="I22:I29">
    <cfRule type="cellIs" dxfId="472" priority="457" operator="lessThan">
      <formula>0</formula>
    </cfRule>
  </conditionalFormatting>
  <conditionalFormatting sqref="I22:I29">
    <cfRule type="cellIs" dxfId="471" priority="456" operator="lessThan">
      <formula>0</formula>
    </cfRule>
  </conditionalFormatting>
  <conditionalFormatting sqref="I22:I29">
    <cfRule type="cellIs" dxfId="470" priority="455" operator="lessThan">
      <formula>0</formula>
    </cfRule>
  </conditionalFormatting>
  <conditionalFormatting sqref="I22:I29">
    <cfRule type="cellIs" dxfId="469" priority="454" operator="lessThan">
      <formula>0</formula>
    </cfRule>
  </conditionalFormatting>
  <conditionalFormatting sqref="I22:I29">
    <cfRule type="cellIs" dxfId="468" priority="453" operator="lessThan">
      <formula>0</formula>
    </cfRule>
  </conditionalFormatting>
  <conditionalFormatting sqref="I22:I29">
    <cfRule type="cellIs" dxfId="467" priority="452" operator="lessThan">
      <formula>0</formula>
    </cfRule>
  </conditionalFormatting>
  <conditionalFormatting sqref="I22:I29">
    <cfRule type="cellIs" dxfId="466" priority="451" operator="lessThan">
      <formula>0</formula>
    </cfRule>
  </conditionalFormatting>
  <conditionalFormatting sqref="I22:I29">
    <cfRule type="cellIs" dxfId="465" priority="450" operator="lessThan">
      <formula>0</formula>
    </cfRule>
  </conditionalFormatting>
  <conditionalFormatting sqref="I22:I29">
    <cfRule type="cellIs" dxfId="464" priority="449" operator="lessThan">
      <formula>0</formula>
    </cfRule>
  </conditionalFormatting>
  <conditionalFormatting sqref="I22:I29">
    <cfRule type="cellIs" dxfId="463" priority="448" operator="lessThan">
      <formula>0</formula>
    </cfRule>
  </conditionalFormatting>
  <conditionalFormatting sqref="I22:I29">
    <cfRule type="cellIs" dxfId="462" priority="447" operator="lessThan">
      <formula>0</formula>
    </cfRule>
  </conditionalFormatting>
  <conditionalFormatting sqref="I22:I29">
    <cfRule type="cellIs" dxfId="461" priority="446" operator="lessThan">
      <formula>0</formula>
    </cfRule>
  </conditionalFormatting>
  <conditionalFormatting sqref="I22:I29">
    <cfRule type="cellIs" dxfId="460" priority="445" operator="lessThan">
      <formula>0</formula>
    </cfRule>
  </conditionalFormatting>
  <conditionalFormatting sqref="I22:I29">
    <cfRule type="cellIs" dxfId="459" priority="444" operator="lessThan">
      <formula>0</formula>
    </cfRule>
  </conditionalFormatting>
  <conditionalFormatting sqref="I22:I29">
    <cfRule type="cellIs" dxfId="458" priority="443" operator="lessThan">
      <formula>0</formula>
    </cfRule>
  </conditionalFormatting>
  <conditionalFormatting sqref="I22:I29">
    <cfRule type="cellIs" dxfId="457" priority="442" operator="lessThan">
      <formula>0</formula>
    </cfRule>
  </conditionalFormatting>
  <conditionalFormatting sqref="I22:I29">
    <cfRule type="cellIs" dxfId="456" priority="441" operator="lessThan">
      <formula>0</formula>
    </cfRule>
  </conditionalFormatting>
  <conditionalFormatting sqref="I22:I29">
    <cfRule type="cellIs" dxfId="455" priority="440" operator="lessThan">
      <formula>0</formula>
    </cfRule>
  </conditionalFormatting>
  <conditionalFormatting sqref="I22:I29">
    <cfRule type="cellIs" dxfId="454" priority="439" operator="lessThan">
      <formula>0</formula>
    </cfRule>
  </conditionalFormatting>
  <conditionalFormatting sqref="I22:I29">
    <cfRule type="cellIs" dxfId="453" priority="438" operator="lessThan">
      <formula>0</formula>
    </cfRule>
  </conditionalFormatting>
  <conditionalFormatting sqref="I22:I29">
    <cfRule type="cellIs" dxfId="452" priority="437" operator="lessThan">
      <formula>0</formula>
    </cfRule>
  </conditionalFormatting>
  <conditionalFormatting sqref="I22:I29">
    <cfRule type="cellIs" dxfId="451" priority="436" operator="lessThan">
      <formula>0</formula>
    </cfRule>
  </conditionalFormatting>
  <conditionalFormatting sqref="I22:I29">
    <cfRule type="cellIs" dxfId="450" priority="435" operator="lessThan">
      <formula>0</formula>
    </cfRule>
  </conditionalFormatting>
  <conditionalFormatting sqref="I22:I29">
    <cfRule type="cellIs" dxfId="449" priority="434" operator="lessThan">
      <formula>0</formula>
    </cfRule>
  </conditionalFormatting>
  <conditionalFormatting sqref="I22:I29">
    <cfRule type="cellIs" dxfId="448" priority="433" operator="lessThan">
      <formula>0</formula>
    </cfRule>
  </conditionalFormatting>
  <conditionalFormatting sqref="I22:I29">
    <cfRule type="cellIs" dxfId="447" priority="432" operator="lessThan">
      <formula>0</formula>
    </cfRule>
  </conditionalFormatting>
  <conditionalFormatting sqref="I22:I29">
    <cfRule type="cellIs" dxfId="446" priority="431" operator="lessThan">
      <formula>0</formula>
    </cfRule>
  </conditionalFormatting>
  <conditionalFormatting sqref="I22:I29">
    <cfRule type="cellIs" dxfId="445" priority="430" operator="lessThan">
      <formula>0</formula>
    </cfRule>
  </conditionalFormatting>
  <conditionalFormatting sqref="I22:I29">
    <cfRule type="cellIs" dxfId="444" priority="429" operator="lessThan">
      <formula>0</formula>
    </cfRule>
  </conditionalFormatting>
  <conditionalFormatting sqref="I22:I29">
    <cfRule type="cellIs" dxfId="443" priority="428" operator="lessThan">
      <formula>0</formula>
    </cfRule>
  </conditionalFormatting>
  <conditionalFormatting sqref="I22:I29">
    <cfRule type="cellIs" dxfId="442" priority="427" operator="lessThan">
      <formula>0</formula>
    </cfRule>
  </conditionalFormatting>
  <conditionalFormatting sqref="I22:I29">
    <cfRule type="cellIs" dxfId="441" priority="426" operator="lessThan">
      <formula>0</formula>
    </cfRule>
  </conditionalFormatting>
  <conditionalFormatting sqref="I22:I29">
    <cfRule type="cellIs" dxfId="440" priority="425" operator="lessThan">
      <formula>0</formula>
    </cfRule>
  </conditionalFormatting>
  <conditionalFormatting sqref="I22:I29">
    <cfRule type="cellIs" dxfId="439" priority="424" operator="lessThan">
      <formula>0</formula>
    </cfRule>
  </conditionalFormatting>
  <conditionalFormatting sqref="I22:I29">
    <cfRule type="cellIs" dxfId="438" priority="423" operator="lessThan">
      <formula>0</formula>
    </cfRule>
  </conditionalFormatting>
  <conditionalFormatting sqref="I22:I29">
    <cfRule type="cellIs" dxfId="437" priority="422" operator="lessThan">
      <formula>0</formula>
    </cfRule>
  </conditionalFormatting>
  <conditionalFormatting sqref="I22:I29">
    <cfRule type="cellIs" dxfId="436" priority="421" operator="lessThan">
      <formula>0</formula>
    </cfRule>
  </conditionalFormatting>
  <conditionalFormatting sqref="I22:I29">
    <cfRule type="cellIs" dxfId="435" priority="420" operator="lessThan">
      <formula>0</formula>
    </cfRule>
  </conditionalFormatting>
  <conditionalFormatting sqref="I22:I29">
    <cfRule type="cellIs" dxfId="434" priority="419" operator="lessThan">
      <formula>0</formula>
    </cfRule>
  </conditionalFormatting>
  <conditionalFormatting sqref="I22:I29">
    <cfRule type="cellIs" dxfId="433" priority="418" operator="lessThan">
      <formula>0</formula>
    </cfRule>
  </conditionalFormatting>
  <conditionalFormatting sqref="I22:I29">
    <cfRule type="cellIs" dxfId="432" priority="417" operator="lessThan">
      <formula>0</formula>
    </cfRule>
  </conditionalFormatting>
  <conditionalFormatting sqref="I22:I29">
    <cfRule type="cellIs" dxfId="431" priority="416" operator="lessThan">
      <formula>0</formula>
    </cfRule>
  </conditionalFormatting>
  <conditionalFormatting sqref="I22:I29">
    <cfRule type="cellIs" dxfId="430" priority="415" operator="lessThan">
      <formula>0</formula>
    </cfRule>
  </conditionalFormatting>
  <conditionalFormatting sqref="I22:I29">
    <cfRule type="cellIs" dxfId="429" priority="414" operator="lessThan">
      <formula>0</formula>
    </cfRule>
  </conditionalFormatting>
  <conditionalFormatting sqref="I22:I29">
    <cfRule type="cellIs" dxfId="428" priority="413" operator="lessThan">
      <formula>0</formula>
    </cfRule>
  </conditionalFormatting>
  <conditionalFormatting sqref="I22:I29">
    <cfRule type="cellIs" dxfId="427" priority="412" operator="lessThan">
      <formula>0</formula>
    </cfRule>
  </conditionalFormatting>
  <conditionalFormatting sqref="I22:I29">
    <cfRule type="cellIs" dxfId="426" priority="411" operator="lessThan">
      <formula>0</formula>
    </cfRule>
  </conditionalFormatting>
  <conditionalFormatting sqref="I22:I29">
    <cfRule type="cellIs" dxfId="425" priority="410" operator="lessThan">
      <formula>0</formula>
    </cfRule>
  </conditionalFormatting>
  <conditionalFormatting sqref="I22:I29">
    <cfRule type="cellIs" dxfId="424" priority="409" operator="lessThan">
      <formula>0</formula>
    </cfRule>
  </conditionalFormatting>
  <conditionalFormatting sqref="I22:I29">
    <cfRule type="cellIs" dxfId="423" priority="408" operator="lessThan">
      <formula>0</formula>
    </cfRule>
  </conditionalFormatting>
  <conditionalFormatting sqref="I22:I29">
    <cfRule type="cellIs" dxfId="422" priority="407" operator="lessThan">
      <formula>0</formula>
    </cfRule>
  </conditionalFormatting>
  <conditionalFormatting sqref="I22:I29">
    <cfRule type="cellIs" dxfId="421" priority="406" operator="lessThan">
      <formula>0</formula>
    </cfRule>
  </conditionalFormatting>
  <conditionalFormatting sqref="I22:I29">
    <cfRule type="cellIs" dxfId="420" priority="405" operator="lessThan">
      <formula>0</formula>
    </cfRule>
  </conditionalFormatting>
  <conditionalFormatting sqref="I22:I29">
    <cfRule type="cellIs" dxfId="419" priority="404" operator="lessThan">
      <formula>0</formula>
    </cfRule>
  </conditionalFormatting>
  <conditionalFormatting sqref="I22:I29">
    <cfRule type="cellIs" dxfId="418" priority="403" operator="lessThan">
      <formula>0</formula>
    </cfRule>
  </conditionalFormatting>
  <conditionalFormatting sqref="I22:I29">
    <cfRule type="cellIs" dxfId="417" priority="402" operator="lessThan">
      <formula>0</formula>
    </cfRule>
  </conditionalFormatting>
  <conditionalFormatting sqref="I22:I29">
    <cfRule type="cellIs" dxfId="416" priority="401" operator="lessThan">
      <formula>0</formula>
    </cfRule>
  </conditionalFormatting>
  <conditionalFormatting sqref="I22:I29">
    <cfRule type="cellIs" dxfId="415" priority="400" operator="lessThan">
      <formula>0</formula>
    </cfRule>
  </conditionalFormatting>
  <conditionalFormatting sqref="I22:I29">
    <cfRule type="cellIs" dxfId="414" priority="399" operator="lessThan">
      <formula>0</formula>
    </cfRule>
  </conditionalFormatting>
  <conditionalFormatting sqref="I22:I29">
    <cfRule type="cellIs" dxfId="413" priority="398" operator="lessThan">
      <formula>0</formula>
    </cfRule>
  </conditionalFormatting>
  <conditionalFormatting sqref="I22:I29">
    <cfRule type="cellIs" dxfId="412" priority="397" operator="lessThan">
      <formula>0</formula>
    </cfRule>
  </conditionalFormatting>
  <conditionalFormatting sqref="I22:I29">
    <cfRule type="cellIs" dxfId="411" priority="396" operator="lessThan">
      <formula>0</formula>
    </cfRule>
  </conditionalFormatting>
  <conditionalFormatting sqref="I22:I29">
    <cfRule type="cellIs" dxfId="410" priority="395" operator="lessThan">
      <formula>0</formula>
    </cfRule>
  </conditionalFormatting>
  <conditionalFormatting sqref="I22:I29">
    <cfRule type="cellIs" dxfId="409" priority="394" operator="lessThan">
      <formula>0</formula>
    </cfRule>
  </conditionalFormatting>
  <conditionalFormatting sqref="I22:I29">
    <cfRule type="cellIs" dxfId="408" priority="393" operator="lessThan">
      <formula>0</formula>
    </cfRule>
  </conditionalFormatting>
  <conditionalFormatting sqref="I22:I29">
    <cfRule type="cellIs" dxfId="407" priority="392" operator="lessThan">
      <formula>0</formula>
    </cfRule>
  </conditionalFormatting>
  <conditionalFormatting sqref="I22:I29">
    <cfRule type="cellIs" dxfId="406" priority="391" operator="lessThan">
      <formula>0</formula>
    </cfRule>
  </conditionalFormatting>
  <conditionalFormatting sqref="I22:I29">
    <cfRule type="cellIs" dxfId="405" priority="390" operator="lessThan">
      <formula>0</formula>
    </cfRule>
  </conditionalFormatting>
  <conditionalFormatting sqref="I22:I29">
    <cfRule type="cellIs" dxfId="404" priority="389" operator="lessThan">
      <formula>0</formula>
    </cfRule>
  </conditionalFormatting>
  <conditionalFormatting sqref="I22:I29">
    <cfRule type="cellIs" dxfId="403" priority="388" operator="lessThan">
      <formula>0</formula>
    </cfRule>
  </conditionalFormatting>
  <conditionalFormatting sqref="I22:I29">
    <cfRule type="cellIs" dxfId="402" priority="387" operator="lessThan">
      <formula>0</formula>
    </cfRule>
  </conditionalFormatting>
  <conditionalFormatting sqref="I22:I29">
    <cfRule type="cellIs" dxfId="401" priority="386" operator="lessThan">
      <formula>0</formula>
    </cfRule>
  </conditionalFormatting>
  <conditionalFormatting sqref="I22:I29">
    <cfRule type="cellIs" dxfId="400" priority="385" operator="lessThan">
      <formula>0</formula>
    </cfRule>
  </conditionalFormatting>
  <conditionalFormatting sqref="I22:I29">
    <cfRule type="cellIs" dxfId="399" priority="384" operator="lessThan">
      <formula>0</formula>
    </cfRule>
  </conditionalFormatting>
  <conditionalFormatting sqref="I22:I29">
    <cfRule type="cellIs" dxfId="398" priority="383" operator="lessThan">
      <formula>0</formula>
    </cfRule>
  </conditionalFormatting>
  <conditionalFormatting sqref="I22:I29">
    <cfRule type="cellIs" dxfId="397" priority="382" operator="lessThan">
      <formula>0</formula>
    </cfRule>
  </conditionalFormatting>
  <conditionalFormatting sqref="I22:I29">
    <cfRule type="cellIs" dxfId="396" priority="381" operator="lessThan">
      <formula>0</formula>
    </cfRule>
  </conditionalFormatting>
  <conditionalFormatting sqref="I22:I29">
    <cfRule type="cellIs" dxfId="395" priority="380" operator="lessThan">
      <formula>0</formula>
    </cfRule>
  </conditionalFormatting>
  <conditionalFormatting sqref="I22:I29">
    <cfRule type="cellIs" dxfId="394" priority="379" operator="lessThan">
      <formula>0</formula>
    </cfRule>
  </conditionalFormatting>
  <conditionalFormatting sqref="I22:I29">
    <cfRule type="cellIs" dxfId="393" priority="378" operator="lessThan">
      <formula>0</formula>
    </cfRule>
  </conditionalFormatting>
  <conditionalFormatting sqref="I22:I29">
    <cfRule type="cellIs" dxfId="392" priority="377" operator="lessThan">
      <formula>0</formula>
    </cfRule>
  </conditionalFormatting>
  <conditionalFormatting sqref="I22:I29">
    <cfRule type="cellIs" dxfId="391" priority="376" operator="lessThan">
      <formula>0</formula>
    </cfRule>
  </conditionalFormatting>
  <conditionalFormatting sqref="I22:I29">
    <cfRule type="cellIs" dxfId="390" priority="375" operator="lessThan">
      <formula>0</formula>
    </cfRule>
  </conditionalFormatting>
  <conditionalFormatting sqref="I22:I29">
    <cfRule type="cellIs" dxfId="389" priority="374" operator="lessThan">
      <formula>0</formula>
    </cfRule>
  </conditionalFormatting>
  <conditionalFormatting sqref="I22:I29">
    <cfRule type="cellIs" dxfId="388" priority="373" operator="lessThan">
      <formula>0</formula>
    </cfRule>
  </conditionalFormatting>
  <conditionalFormatting sqref="I22:I29">
    <cfRule type="cellIs" dxfId="387" priority="372" operator="lessThan">
      <formula>0</formula>
    </cfRule>
  </conditionalFormatting>
  <conditionalFormatting sqref="I22:I29">
    <cfRule type="cellIs" dxfId="386" priority="371" operator="lessThan">
      <formula>0</formula>
    </cfRule>
  </conditionalFormatting>
  <conditionalFormatting sqref="I22:I29">
    <cfRule type="cellIs" dxfId="385" priority="370" operator="lessThan">
      <formula>0</formula>
    </cfRule>
  </conditionalFormatting>
  <conditionalFormatting sqref="I22:I29">
    <cfRule type="cellIs" dxfId="384" priority="369" operator="lessThan">
      <formula>0</formula>
    </cfRule>
  </conditionalFormatting>
  <conditionalFormatting sqref="I22:I29">
    <cfRule type="cellIs" dxfId="383" priority="368" operator="lessThan">
      <formula>0</formula>
    </cfRule>
  </conditionalFormatting>
  <conditionalFormatting sqref="I22:I29">
    <cfRule type="cellIs" dxfId="382" priority="367" operator="lessThan">
      <formula>0</formula>
    </cfRule>
  </conditionalFormatting>
  <conditionalFormatting sqref="I22:I29">
    <cfRule type="cellIs" dxfId="381" priority="366" operator="lessThan">
      <formula>0</formula>
    </cfRule>
  </conditionalFormatting>
  <conditionalFormatting sqref="I22:I29">
    <cfRule type="cellIs" dxfId="380" priority="365" operator="lessThan">
      <formula>0</formula>
    </cfRule>
  </conditionalFormatting>
  <conditionalFormatting sqref="I22:I29">
    <cfRule type="cellIs" dxfId="379" priority="364" operator="lessThan">
      <formula>0</formula>
    </cfRule>
  </conditionalFormatting>
  <conditionalFormatting sqref="I22:I29">
    <cfRule type="cellIs" dxfId="378" priority="363" operator="lessThan">
      <formula>0</formula>
    </cfRule>
  </conditionalFormatting>
  <conditionalFormatting sqref="I22:I29">
    <cfRule type="cellIs" dxfId="377" priority="362" operator="lessThan">
      <formula>0</formula>
    </cfRule>
  </conditionalFormatting>
  <conditionalFormatting sqref="I22:I29">
    <cfRule type="cellIs" dxfId="376" priority="361" operator="lessThan">
      <formula>0</formula>
    </cfRule>
  </conditionalFormatting>
  <conditionalFormatting sqref="I22:I29">
    <cfRule type="cellIs" dxfId="375" priority="360" operator="lessThan">
      <formula>0</formula>
    </cfRule>
  </conditionalFormatting>
  <conditionalFormatting sqref="I22:I29">
    <cfRule type="cellIs" dxfId="374" priority="359" operator="lessThan">
      <formula>0</formula>
    </cfRule>
  </conditionalFormatting>
  <conditionalFormatting sqref="I22:I29">
    <cfRule type="cellIs" dxfId="373" priority="358" operator="lessThan">
      <formula>0</formula>
    </cfRule>
  </conditionalFormatting>
  <conditionalFormatting sqref="I22:I29">
    <cfRule type="cellIs" dxfId="372" priority="357" operator="lessThan">
      <formula>0</formula>
    </cfRule>
  </conditionalFormatting>
  <conditionalFormatting sqref="I22:I29">
    <cfRule type="cellIs" dxfId="371" priority="356" operator="lessThan">
      <formula>0</formula>
    </cfRule>
  </conditionalFormatting>
  <conditionalFormatting sqref="I22:I29">
    <cfRule type="cellIs" dxfId="370" priority="355" operator="lessThan">
      <formula>0</formula>
    </cfRule>
  </conditionalFormatting>
  <conditionalFormatting sqref="I22:I29">
    <cfRule type="cellIs" dxfId="369" priority="354" operator="lessThan">
      <formula>0</formula>
    </cfRule>
  </conditionalFormatting>
  <conditionalFormatting sqref="I22:I29">
    <cfRule type="cellIs" dxfId="368" priority="353" operator="lessThan">
      <formula>0</formula>
    </cfRule>
  </conditionalFormatting>
  <conditionalFormatting sqref="I22:I29">
    <cfRule type="cellIs" dxfId="367" priority="352" operator="lessThan">
      <formula>0</formula>
    </cfRule>
  </conditionalFormatting>
  <conditionalFormatting sqref="I22:I29">
    <cfRule type="cellIs" dxfId="366" priority="351" operator="lessThan">
      <formula>0</formula>
    </cfRule>
  </conditionalFormatting>
  <conditionalFormatting sqref="I22:I29">
    <cfRule type="cellIs" dxfId="365" priority="350" operator="lessThan">
      <formula>0</formula>
    </cfRule>
  </conditionalFormatting>
  <conditionalFormatting sqref="I22:I29">
    <cfRule type="cellIs" dxfId="364" priority="349" operator="lessThan">
      <formula>0</formula>
    </cfRule>
  </conditionalFormatting>
  <conditionalFormatting sqref="I22:I29">
    <cfRule type="cellIs" dxfId="363" priority="348" operator="lessThan">
      <formula>0</formula>
    </cfRule>
  </conditionalFormatting>
  <conditionalFormatting sqref="I22:I29">
    <cfRule type="cellIs" dxfId="362" priority="347" operator="lessThan">
      <formula>0</formula>
    </cfRule>
  </conditionalFormatting>
  <conditionalFormatting sqref="I22:I29">
    <cfRule type="cellIs" dxfId="361" priority="346" operator="lessThan">
      <formula>0</formula>
    </cfRule>
  </conditionalFormatting>
  <conditionalFormatting sqref="I22:I29">
    <cfRule type="cellIs" dxfId="360" priority="345" operator="lessThan">
      <formula>0</formula>
    </cfRule>
  </conditionalFormatting>
  <conditionalFormatting sqref="I22:I29">
    <cfRule type="cellIs" dxfId="359" priority="344" operator="lessThan">
      <formula>0</formula>
    </cfRule>
  </conditionalFormatting>
  <conditionalFormatting sqref="I22:I29">
    <cfRule type="cellIs" dxfId="358" priority="343" operator="lessThan">
      <formula>0</formula>
    </cfRule>
  </conditionalFormatting>
  <conditionalFormatting sqref="I22:I29">
    <cfRule type="cellIs" dxfId="357" priority="342" operator="lessThan">
      <formula>0</formula>
    </cfRule>
  </conditionalFormatting>
  <conditionalFormatting sqref="I22:I29">
    <cfRule type="cellIs" dxfId="356" priority="341" operator="lessThan">
      <formula>0</formula>
    </cfRule>
  </conditionalFormatting>
  <conditionalFormatting sqref="I22:I29">
    <cfRule type="cellIs" dxfId="355" priority="340" operator="lessThan">
      <formula>0</formula>
    </cfRule>
  </conditionalFormatting>
  <conditionalFormatting sqref="I22:I29">
    <cfRule type="cellIs" dxfId="354" priority="339" operator="lessThan">
      <formula>0</formula>
    </cfRule>
  </conditionalFormatting>
  <conditionalFormatting sqref="I22:I29">
    <cfRule type="cellIs" dxfId="353" priority="338" operator="lessThan">
      <formula>0</formula>
    </cfRule>
  </conditionalFormatting>
  <conditionalFormatting sqref="I22:I29">
    <cfRule type="cellIs" dxfId="352" priority="337" operator="lessThan">
      <formula>0</formula>
    </cfRule>
  </conditionalFormatting>
  <conditionalFormatting sqref="I22:I29">
    <cfRule type="cellIs" dxfId="351" priority="336" operator="lessThan">
      <formula>0</formula>
    </cfRule>
  </conditionalFormatting>
  <conditionalFormatting sqref="I22:I29">
    <cfRule type="cellIs" dxfId="350" priority="335" operator="lessThan">
      <formula>0</formula>
    </cfRule>
  </conditionalFormatting>
  <conditionalFormatting sqref="I22:I29">
    <cfRule type="cellIs" dxfId="349" priority="334" operator="lessThan">
      <formula>0</formula>
    </cfRule>
  </conditionalFormatting>
  <conditionalFormatting sqref="I22:I29">
    <cfRule type="cellIs" dxfId="348" priority="333" operator="lessThan">
      <formula>0</formula>
    </cfRule>
  </conditionalFormatting>
  <conditionalFormatting sqref="I22:I29">
    <cfRule type="cellIs" dxfId="347" priority="332" operator="lessThan">
      <formula>0</formula>
    </cfRule>
  </conditionalFormatting>
  <conditionalFormatting sqref="I22:I29">
    <cfRule type="cellIs" dxfId="346" priority="331" operator="lessThan">
      <formula>0</formula>
    </cfRule>
  </conditionalFormatting>
  <conditionalFormatting sqref="I22:I29">
    <cfRule type="cellIs" dxfId="345" priority="330" operator="lessThan">
      <formula>0</formula>
    </cfRule>
  </conditionalFormatting>
  <conditionalFormatting sqref="I22:I29">
    <cfRule type="cellIs" dxfId="344" priority="329" operator="lessThan">
      <formula>0</formula>
    </cfRule>
  </conditionalFormatting>
  <conditionalFormatting sqref="I22:I29">
    <cfRule type="cellIs" dxfId="343" priority="328" operator="lessThan">
      <formula>0</formula>
    </cfRule>
  </conditionalFormatting>
  <conditionalFormatting sqref="I22:I29">
    <cfRule type="cellIs" dxfId="342" priority="327" operator="lessThan">
      <formula>0</formula>
    </cfRule>
  </conditionalFormatting>
  <conditionalFormatting sqref="I22:I29">
    <cfRule type="cellIs" dxfId="341" priority="326" operator="lessThan">
      <formula>0</formula>
    </cfRule>
  </conditionalFormatting>
  <conditionalFormatting sqref="I22:I29">
    <cfRule type="cellIs" dxfId="340" priority="325" operator="lessThan">
      <formula>0</formula>
    </cfRule>
  </conditionalFormatting>
  <conditionalFormatting sqref="I22:I29">
    <cfRule type="cellIs" dxfId="339" priority="324" operator="lessThan">
      <formula>0</formula>
    </cfRule>
  </conditionalFormatting>
  <conditionalFormatting sqref="I22:I29">
    <cfRule type="cellIs" dxfId="338" priority="323" operator="lessThan">
      <formula>0</formula>
    </cfRule>
  </conditionalFormatting>
  <conditionalFormatting sqref="I22:I29">
    <cfRule type="cellIs" dxfId="337" priority="322" operator="lessThan">
      <formula>0</formula>
    </cfRule>
  </conditionalFormatting>
  <conditionalFormatting sqref="I22:I29">
    <cfRule type="cellIs" dxfId="336" priority="321" operator="lessThan">
      <formula>0</formula>
    </cfRule>
  </conditionalFormatting>
  <conditionalFormatting sqref="I22:I29">
    <cfRule type="cellIs" dxfId="335" priority="320" operator="lessThan">
      <formula>0</formula>
    </cfRule>
  </conditionalFormatting>
  <conditionalFormatting sqref="I22:I29">
    <cfRule type="cellIs" dxfId="334" priority="319" operator="lessThan">
      <formula>0</formula>
    </cfRule>
  </conditionalFormatting>
  <conditionalFormatting sqref="I22:I29">
    <cfRule type="cellIs" dxfId="333" priority="318" operator="lessThan">
      <formula>0</formula>
    </cfRule>
  </conditionalFormatting>
  <conditionalFormatting sqref="I22:I29">
    <cfRule type="cellIs" dxfId="332" priority="317" operator="lessThan">
      <formula>0</formula>
    </cfRule>
  </conditionalFormatting>
  <conditionalFormatting sqref="I22:I29">
    <cfRule type="cellIs" dxfId="331" priority="316" operator="lessThan">
      <formula>0</formula>
    </cfRule>
  </conditionalFormatting>
  <conditionalFormatting sqref="I22:I29">
    <cfRule type="cellIs" dxfId="330" priority="315" operator="lessThan">
      <formula>0</formula>
    </cfRule>
  </conditionalFormatting>
  <conditionalFormatting sqref="I22:I29">
    <cfRule type="cellIs" dxfId="329" priority="314" operator="lessThan">
      <formula>0</formula>
    </cfRule>
  </conditionalFormatting>
  <conditionalFormatting sqref="I22:I29">
    <cfRule type="cellIs" dxfId="328" priority="313" operator="lessThan">
      <formula>0</formula>
    </cfRule>
  </conditionalFormatting>
  <conditionalFormatting sqref="I22:I29">
    <cfRule type="cellIs" dxfId="327" priority="312" operator="lessThan">
      <formula>0</formula>
    </cfRule>
  </conditionalFormatting>
  <conditionalFormatting sqref="I22:I29">
    <cfRule type="cellIs" dxfId="326" priority="311" operator="lessThan">
      <formula>0</formula>
    </cfRule>
  </conditionalFormatting>
  <conditionalFormatting sqref="I22:I29">
    <cfRule type="cellIs" dxfId="325" priority="310" operator="lessThan">
      <formula>0</formula>
    </cfRule>
  </conditionalFormatting>
  <conditionalFormatting sqref="I22:I29">
    <cfRule type="cellIs" dxfId="324" priority="309" operator="lessThan">
      <formula>0</formula>
    </cfRule>
  </conditionalFormatting>
  <conditionalFormatting sqref="I22:I29">
    <cfRule type="cellIs" dxfId="323" priority="308" operator="lessThan">
      <formula>0</formula>
    </cfRule>
  </conditionalFormatting>
  <conditionalFormatting sqref="I22:I29">
    <cfRule type="cellIs" dxfId="322" priority="307" operator="lessThan">
      <formula>0</formula>
    </cfRule>
  </conditionalFormatting>
  <conditionalFormatting sqref="I22:I29">
    <cfRule type="cellIs" dxfId="321" priority="306" operator="lessThan">
      <formula>0</formula>
    </cfRule>
  </conditionalFormatting>
  <conditionalFormatting sqref="I22:I29">
    <cfRule type="cellIs" dxfId="320" priority="305" operator="lessThan">
      <formula>0</formula>
    </cfRule>
  </conditionalFormatting>
  <conditionalFormatting sqref="I22:I29">
    <cfRule type="cellIs" dxfId="319" priority="304" operator="lessThan">
      <formula>0</formula>
    </cfRule>
  </conditionalFormatting>
  <conditionalFormatting sqref="I22:I29">
    <cfRule type="cellIs" dxfId="318" priority="303" operator="lessThan">
      <formula>0</formula>
    </cfRule>
  </conditionalFormatting>
  <conditionalFormatting sqref="I22:I29">
    <cfRule type="cellIs" dxfId="317" priority="302" operator="lessThan">
      <formula>0</formula>
    </cfRule>
  </conditionalFormatting>
  <conditionalFormatting sqref="I22:I29">
    <cfRule type="cellIs" dxfId="316" priority="301" operator="lessThan">
      <formula>0</formula>
    </cfRule>
  </conditionalFormatting>
  <conditionalFormatting sqref="I22:I29">
    <cfRule type="cellIs" dxfId="315" priority="300" operator="lessThan">
      <formula>0</formula>
    </cfRule>
  </conditionalFormatting>
  <conditionalFormatting sqref="I22:I29">
    <cfRule type="cellIs" dxfId="314" priority="299" operator="lessThan">
      <formula>0</formula>
    </cfRule>
  </conditionalFormatting>
  <conditionalFormatting sqref="I22:I29">
    <cfRule type="cellIs" dxfId="313" priority="298" operator="lessThan">
      <formula>0</formula>
    </cfRule>
  </conditionalFormatting>
  <conditionalFormatting sqref="I22:I29">
    <cfRule type="cellIs" dxfId="312" priority="297" operator="lessThan">
      <formula>0</formula>
    </cfRule>
  </conditionalFormatting>
  <conditionalFormatting sqref="I22:I29">
    <cfRule type="cellIs" dxfId="311" priority="296" operator="lessThan">
      <formula>0</formula>
    </cfRule>
  </conditionalFormatting>
  <conditionalFormatting sqref="I22:I29">
    <cfRule type="cellIs" dxfId="310" priority="295" operator="lessThan">
      <formula>0</formula>
    </cfRule>
  </conditionalFormatting>
  <conditionalFormatting sqref="I22:I29">
    <cfRule type="cellIs" dxfId="309" priority="294" operator="lessThan">
      <formula>0</formula>
    </cfRule>
  </conditionalFormatting>
  <conditionalFormatting sqref="I22:I29">
    <cfRule type="cellIs" dxfId="308" priority="293" operator="lessThan">
      <formula>0</formula>
    </cfRule>
  </conditionalFormatting>
  <conditionalFormatting sqref="I22:I29">
    <cfRule type="cellIs" dxfId="307" priority="292" operator="lessThan">
      <formula>0</formula>
    </cfRule>
  </conditionalFormatting>
  <conditionalFormatting sqref="I22:I29">
    <cfRule type="cellIs" dxfId="306" priority="291" operator="lessThan">
      <formula>0</formula>
    </cfRule>
  </conditionalFormatting>
  <conditionalFormatting sqref="I22:I29">
    <cfRule type="cellIs" dxfId="305" priority="290" operator="lessThan">
      <formula>0</formula>
    </cfRule>
  </conditionalFormatting>
  <conditionalFormatting sqref="I22:I29">
    <cfRule type="cellIs" dxfId="304" priority="289" operator="lessThan">
      <formula>0</formula>
    </cfRule>
  </conditionalFormatting>
  <conditionalFormatting sqref="I22:I29">
    <cfRule type="cellIs" dxfId="303" priority="288" operator="lessThan">
      <formula>0</formula>
    </cfRule>
  </conditionalFormatting>
  <conditionalFormatting sqref="I22:I29">
    <cfRule type="cellIs" dxfId="302" priority="287" operator="lessThan">
      <formula>0</formula>
    </cfRule>
  </conditionalFormatting>
  <conditionalFormatting sqref="I22:I29">
    <cfRule type="cellIs" dxfId="301" priority="286" operator="lessThan">
      <formula>0</formula>
    </cfRule>
  </conditionalFormatting>
  <conditionalFormatting sqref="I22:I29">
    <cfRule type="cellIs" dxfId="300" priority="285" operator="lessThan">
      <formula>0</formula>
    </cfRule>
  </conditionalFormatting>
  <conditionalFormatting sqref="I22:I29">
    <cfRule type="cellIs" dxfId="299" priority="284" operator="lessThan">
      <formula>0</formula>
    </cfRule>
  </conditionalFormatting>
  <conditionalFormatting sqref="I22:I29">
    <cfRule type="cellIs" dxfId="298" priority="283" operator="lessThan">
      <formula>0</formula>
    </cfRule>
  </conditionalFormatting>
  <conditionalFormatting sqref="I22:I29">
    <cfRule type="cellIs" dxfId="297" priority="282" operator="lessThan">
      <formula>0</formula>
    </cfRule>
  </conditionalFormatting>
  <conditionalFormatting sqref="I22:I29">
    <cfRule type="cellIs" dxfId="296" priority="281" operator="lessThan">
      <formula>0</formula>
    </cfRule>
  </conditionalFormatting>
  <conditionalFormatting sqref="I22:I29">
    <cfRule type="cellIs" dxfId="295" priority="280" operator="lessThan">
      <formula>0</formula>
    </cfRule>
  </conditionalFormatting>
  <conditionalFormatting sqref="I22:I29">
    <cfRule type="cellIs" dxfId="294" priority="279" operator="lessThan">
      <formula>0</formula>
    </cfRule>
  </conditionalFormatting>
  <conditionalFormatting sqref="I22:I29">
    <cfRule type="cellIs" dxfId="293" priority="278" operator="lessThan">
      <formula>0</formula>
    </cfRule>
  </conditionalFormatting>
  <conditionalFormatting sqref="I22:I29">
    <cfRule type="cellIs" dxfId="292" priority="277" operator="lessThan">
      <formula>0</formula>
    </cfRule>
  </conditionalFormatting>
  <conditionalFormatting sqref="I22:I29">
    <cfRule type="cellIs" dxfId="291" priority="276" operator="lessThan">
      <formula>0</formula>
    </cfRule>
  </conditionalFormatting>
  <conditionalFormatting sqref="I22:I29">
    <cfRule type="cellIs" dxfId="290" priority="275" operator="lessThan">
      <formula>0</formula>
    </cfRule>
  </conditionalFormatting>
  <conditionalFormatting sqref="I22:I29">
    <cfRule type="cellIs" dxfId="289" priority="274" operator="lessThan">
      <formula>0</formula>
    </cfRule>
  </conditionalFormatting>
  <conditionalFormatting sqref="I22:I29">
    <cfRule type="cellIs" dxfId="288" priority="273" operator="lessThan">
      <formula>0</formula>
    </cfRule>
  </conditionalFormatting>
  <conditionalFormatting sqref="I22:I29">
    <cfRule type="cellIs" dxfId="287" priority="272" operator="lessThan">
      <formula>0</formula>
    </cfRule>
  </conditionalFormatting>
  <conditionalFormatting sqref="I22:I29">
    <cfRule type="cellIs" dxfId="286" priority="271" operator="lessThan">
      <formula>0</formula>
    </cfRule>
  </conditionalFormatting>
  <conditionalFormatting sqref="I22:I29">
    <cfRule type="cellIs" dxfId="285" priority="270" operator="lessThan">
      <formula>0</formula>
    </cfRule>
  </conditionalFormatting>
  <conditionalFormatting sqref="I22:I29">
    <cfRule type="cellIs" dxfId="284" priority="269" operator="lessThan">
      <formula>0</formula>
    </cfRule>
  </conditionalFormatting>
  <conditionalFormatting sqref="I22:I29">
    <cfRule type="cellIs" dxfId="283" priority="268" operator="lessThan">
      <formula>0</formula>
    </cfRule>
  </conditionalFormatting>
  <conditionalFormatting sqref="I22:I29">
    <cfRule type="cellIs" dxfId="282" priority="267" operator="lessThan">
      <formula>0</formula>
    </cfRule>
  </conditionalFormatting>
  <conditionalFormatting sqref="I22:I29">
    <cfRule type="cellIs" dxfId="281" priority="266" operator="lessThan">
      <formula>0</formula>
    </cfRule>
  </conditionalFormatting>
  <conditionalFormatting sqref="I22:I29">
    <cfRule type="cellIs" dxfId="280" priority="265" operator="lessThan">
      <formula>0</formula>
    </cfRule>
  </conditionalFormatting>
  <conditionalFormatting sqref="I22:I29">
    <cfRule type="cellIs" dxfId="279" priority="264" operator="lessThan">
      <formula>0</formula>
    </cfRule>
  </conditionalFormatting>
  <conditionalFormatting sqref="I22:I29">
    <cfRule type="cellIs" dxfId="278" priority="263" operator="lessThan">
      <formula>0</formula>
    </cfRule>
  </conditionalFormatting>
  <conditionalFormatting sqref="I22:I29">
    <cfRule type="cellIs" dxfId="277" priority="262" operator="lessThan">
      <formula>0</formula>
    </cfRule>
  </conditionalFormatting>
  <conditionalFormatting sqref="I22:I29">
    <cfRule type="cellIs" dxfId="276" priority="261" operator="lessThan">
      <formula>0</formula>
    </cfRule>
  </conditionalFormatting>
  <conditionalFormatting sqref="I22:I29">
    <cfRule type="cellIs" dxfId="275" priority="260" operator="lessThan">
      <formula>0</formula>
    </cfRule>
  </conditionalFormatting>
  <conditionalFormatting sqref="I22:I29">
    <cfRule type="cellIs" dxfId="274" priority="259" operator="lessThan">
      <formula>0</formula>
    </cfRule>
  </conditionalFormatting>
  <conditionalFormatting sqref="I22:I29">
    <cfRule type="cellIs" dxfId="273" priority="258" operator="lessThan">
      <formula>0</formula>
    </cfRule>
  </conditionalFormatting>
  <conditionalFormatting sqref="I22:I29">
    <cfRule type="cellIs" dxfId="272" priority="257" operator="lessThan">
      <formula>0</formula>
    </cfRule>
  </conditionalFormatting>
  <conditionalFormatting sqref="I22:I29">
    <cfRule type="cellIs" dxfId="271" priority="256" operator="lessThan">
      <formula>0</formula>
    </cfRule>
  </conditionalFormatting>
  <conditionalFormatting sqref="I22:I29">
    <cfRule type="cellIs" dxfId="270" priority="255" operator="lessThan">
      <formula>0</formula>
    </cfRule>
  </conditionalFormatting>
  <conditionalFormatting sqref="I22:I29">
    <cfRule type="cellIs" dxfId="269" priority="254" operator="lessThan">
      <formula>0</formula>
    </cfRule>
  </conditionalFormatting>
  <conditionalFormatting sqref="I22:I29">
    <cfRule type="cellIs" dxfId="268" priority="253" operator="lessThan">
      <formula>0</formula>
    </cfRule>
  </conditionalFormatting>
  <conditionalFormatting sqref="I22:I29">
    <cfRule type="cellIs" dxfId="267" priority="252" operator="lessThan">
      <formula>0</formula>
    </cfRule>
  </conditionalFormatting>
  <conditionalFormatting sqref="I22:I29">
    <cfRule type="cellIs" dxfId="266" priority="251" operator="lessThan">
      <formula>0</formula>
    </cfRule>
  </conditionalFormatting>
  <conditionalFormatting sqref="I22:I29">
    <cfRule type="cellIs" dxfId="265" priority="250" operator="lessThan">
      <formula>0</formula>
    </cfRule>
  </conditionalFormatting>
  <conditionalFormatting sqref="I22:I29">
    <cfRule type="cellIs" dxfId="264" priority="249" operator="lessThan">
      <formula>0</formula>
    </cfRule>
  </conditionalFormatting>
  <conditionalFormatting sqref="I22:I29">
    <cfRule type="cellIs" dxfId="263" priority="248" operator="lessThan">
      <formula>0</formula>
    </cfRule>
  </conditionalFormatting>
  <conditionalFormatting sqref="I22:I29">
    <cfRule type="cellIs" dxfId="262" priority="247" operator="lessThan">
      <formula>0</formula>
    </cfRule>
  </conditionalFormatting>
  <conditionalFormatting sqref="I22:I29">
    <cfRule type="cellIs" dxfId="261" priority="246" operator="lessThan">
      <formula>0</formula>
    </cfRule>
  </conditionalFormatting>
  <conditionalFormatting sqref="I22:I29">
    <cfRule type="cellIs" dxfId="260" priority="245" operator="lessThan">
      <formula>0</formula>
    </cfRule>
  </conditionalFormatting>
  <conditionalFormatting sqref="I22:I29">
    <cfRule type="cellIs" dxfId="259" priority="244" operator="lessThan">
      <formula>0</formula>
    </cfRule>
  </conditionalFormatting>
  <conditionalFormatting sqref="I22:I29">
    <cfRule type="cellIs" dxfId="258" priority="243" operator="lessThan">
      <formula>0</formula>
    </cfRule>
  </conditionalFormatting>
  <conditionalFormatting sqref="I22:I29">
    <cfRule type="cellIs" dxfId="257" priority="242" operator="lessThan">
      <formula>0</formula>
    </cfRule>
  </conditionalFormatting>
  <conditionalFormatting sqref="I22:I29">
    <cfRule type="cellIs" dxfId="256" priority="241" operator="lessThan">
      <formula>0</formula>
    </cfRule>
  </conditionalFormatting>
  <conditionalFormatting sqref="I22:I29">
    <cfRule type="cellIs" dxfId="255" priority="240" operator="lessThan">
      <formula>0</formula>
    </cfRule>
  </conditionalFormatting>
  <conditionalFormatting sqref="I22:I29">
    <cfRule type="cellIs" dxfId="254" priority="239" operator="lessThan">
      <formula>0</formula>
    </cfRule>
  </conditionalFormatting>
  <conditionalFormatting sqref="I22:I29">
    <cfRule type="cellIs" dxfId="253" priority="238" operator="lessThan">
      <formula>0</formula>
    </cfRule>
  </conditionalFormatting>
  <conditionalFormatting sqref="I22:I29">
    <cfRule type="cellIs" dxfId="252" priority="237" operator="lessThan">
      <formula>0</formula>
    </cfRule>
  </conditionalFormatting>
  <conditionalFormatting sqref="I22:I29">
    <cfRule type="cellIs" dxfId="251" priority="236" operator="lessThan">
      <formula>0</formula>
    </cfRule>
  </conditionalFormatting>
  <conditionalFormatting sqref="I22:I29">
    <cfRule type="cellIs" dxfId="250" priority="235" operator="lessThan">
      <formula>0</formula>
    </cfRule>
  </conditionalFormatting>
  <conditionalFormatting sqref="I22:I29">
    <cfRule type="cellIs" dxfId="249" priority="234" operator="lessThan">
      <formula>0</formula>
    </cfRule>
  </conditionalFormatting>
  <conditionalFormatting sqref="I22:I29">
    <cfRule type="cellIs" dxfId="248" priority="233" operator="lessThan">
      <formula>0</formula>
    </cfRule>
  </conditionalFormatting>
  <conditionalFormatting sqref="I22:I29">
    <cfRule type="cellIs" dxfId="247" priority="232" operator="lessThan">
      <formula>0</formula>
    </cfRule>
  </conditionalFormatting>
  <conditionalFormatting sqref="I22:I29">
    <cfRule type="cellIs" dxfId="246" priority="231" operator="lessThan">
      <formula>0</formula>
    </cfRule>
  </conditionalFormatting>
  <conditionalFormatting sqref="I22:I29">
    <cfRule type="cellIs" dxfId="245" priority="230" operator="lessThan">
      <formula>0</formula>
    </cfRule>
  </conditionalFormatting>
  <conditionalFormatting sqref="I22:I29">
    <cfRule type="cellIs" dxfId="244" priority="229" operator="lessThan">
      <formula>0</formula>
    </cfRule>
  </conditionalFormatting>
  <conditionalFormatting sqref="I22:I29">
    <cfRule type="cellIs" dxfId="243" priority="228" operator="lessThan">
      <formula>0</formula>
    </cfRule>
  </conditionalFormatting>
  <conditionalFormatting sqref="I22:I29">
    <cfRule type="cellIs" dxfId="242" priority="227" operator="lessThan">
      <formula>0</formula>
    </cfRule>
  </conditionalFormatting>
  <conditionalFormatting sqref="I22:I29">
    <cfRule type="cellIs" dxfId="241" priority="226" operator="lessThan">
      <formula>0</formula>
    </cfRule>
  </conditionalFormatting>
  <conditionalFormatting sqref="I22:I29">
    <cfRule type="cellIs" dxfId="240" priority="225" operator="lessThan">
      <formula>0</formula>
    </cfRule>
  </conditionalFormatting>
  <conditionalFormatting sqref="I22:I29">
    <cfRule type="cellIs" dxfId="239" priority="224" operator="lessThan">
      <formula>0</formula>
    </cfRule>
  </conditionalFormatting>
  <conditionalFormatting sqref="I22:I29">
    <cfRule type="cellIs" dxfId="238" priority="223" operator="lessThan">
      <formula>0</formula>
    </cfRule>
  </conditionalFormatting>
  <conditionalFormatting sqref="I22:I29">
    <cfRule type="cellIs" dxfId="237" priority="222" operator="lessThan">
      <formula>0</formula>
    </cfRule>
  </conditionalFormatting>
  <conditionalFormatting sqref="I22:I29">
    <cfRule type="cellIs" dxfId="236" priority="221" operator="lessThan">
      <formula>0</formula>
    </cfRule>
  </conditionalFormatting>
  <conditionalFormatting sqref="I22:I29">
    <cfRule type="cellIs" dxfId="235" priority="220" operator="lessThan">
      <formula>0</formula>
    </cfRule>
  </conditionalFormatting>
  <conditionalFormatting sqref="I22:I29">
    <cfRule type="cellIs" dxfId="234" priority="219" operator="lessThan">
      <formula>0</formula>
    </cfRule>
  </conditionalFormatting>
  <conditionalFormatting sqref="I22:I29">
    <cfRule type="cellIs" dxfId="233" priority="218" operator="lessThan">
      <formula>0</formula>
    </cfRule>
  </conditionalFormatting>
  <conditionalFormatting sqref="I22:I29">
    <cfRule type="cellIs" dxfId="232" priority="217" operator="lessThan">
      <formula>0</formula>
    </cfRule>
  </conditionalFormatting>
  <conditionalFormatting sqref="I22:I29">
    <cfRule type="cellIs" dxfId="231" priority="216" operator="lessThan">
      <formula>0</formula>
    </cfRule>
  </conditionalFormatting>
  <conditionalFormatting sqref="I22:I29">
    <cfRule type="cellIs" dxfId="230" priority="215" operator="lessThan">
      <formula>0</formula>
    </cfRule>
  </conditionalFormatting>
  <conditionalFormatting sqref="I22:I29">
    <cfRule type="cellIs" dxfId="229" priority="214" operator="lessThan">
      <formula>0</formula>
    </cfRule>
  </conditionalFormatting>
  <conditionalFormatting sqref="I22:I29">
    <cfRule type="cellIs" dxfId="228" priority="213" operator="lessThan">
      <formula>0</formula>
    </cfRule>
  </conditionalFormatting>
  <conditionalFormatting sqref="I22:I29">
    <cfRule type="cellIs" dxfId="227" priority="212" operator="lessThan">
      <formula>0</formula>
    </cfRule>
  </conditionalFormatting>
  <conditionalFormatting sqref="I22:I29">
    <cfRule type="cellIs" dxfId="226" priority="211" operator="lessThan">
      <formula>0</formula>
    </cfRule>
  </conditionalFormatting>
  <conditionalFormatting sqref="I22:I29">
    <cfRule type="cellIs" dxfId="225" priority="210" operator="lessThan">
      <formula>0</formula>
    </cfRule>
  </conditionalFormatting>
  <conditionalFormatting sqref="I22:I29">
    <cfRule type="cellIs" dxfId="224" priority="209" operator="lessThan">
      <formula>0</formula>
    </cfRule>
  </conditionalFormatting>
  <conditionalFormatting sqref="I22:I29">
    <cfRule type="cellIs" dxfId="223" priority="208" operator="lessThan">
      <formula>0</formula>
    </cfRule>
  </conditionalFormatting>
  <conditionalFormatting sqref="I22:I29">
    <cfRule type="cellIs" dxfId="222" priority="207" operator="lessThan">
      <formula>0</formula>
    </cfRule>
  </conditionalFormatting>
  <conditionalFormatting sqref="I22:I29">
    <cfRule type="cellIs" dxfId="221" priority="206" operator="lessThan">
      <formula>0</formula>
    </cfRule>
  </conditionalFormatting>
  <conditionalFormatting sqref="I22:I29">
    <cfRule type="cellIs" dxfId="220" priority="205" operator="lessThan">
      <formula>0</formula>
    </cfRule>
  </conditionalFormatting>
  <conditionalFormatting sqref="I22:I29">
    <cfRule type="cellIs" dxfId="219" priority="204" operator="lessThan">
      <formula>0</formula>
    </cfRule>
  </conditionalFormatting>
  <conditionalFormatting sqref="I22:I29">
    <cfRule type="cellIs" dxfId="218" priority="203" operator="lessThan">
      <formula>0</formula>
    </cfRule>
  </conditionalFormatting>
  <conditionalFormatting sqref="I22:I29">
    <cfRule type="cellIs" dxfId="217" priority="202" operator="lessThan">
      <formula>0</formula>
    </cfRule>
  </conditionalFormatting>
  <conditionalFormatting sqref="I22:I29">
    <cfRule type="cellIs" dxfId="216" priority="201" operator="lessThan">
      <formula>0</formula>
    </cfRule>
  </conditionalFormatting>
  <conditionalFormatting sqref="I22:I29">
    <cfRule type="cellIs" dxfId="215" priority="200" operator="lessThan">
      <formula>0</formula>
    </cfRule>
  </conditionalFormatting>
  <conditionalFormatting sqref="I22:I29">
    <cfRule type="cellIs" dxfId="214" priority="199" operator="lessThan">
      <formula>0</formula>
    </cfRule>
  </conditionalFormatting>
  <conditionalFormatting sqref="I22:I29">
    <cfRule type="cellIs" dxfId="213" priority="198" operator="lessThan">
      <formula>0</formula>
    </cfRule>
  </conditionalFormatting>
  <conditionalFormatting sqref="I22:I29">
    <cfRule type="cellIs" dxfId="212" priority="197" operator="lessThan">
      <formula>0</formula>
    </cfRule>
  </conditionalFormatting>
  <conditionalFormatting sqref="I22:I29">
    <cfRule type="cellIs" dxfId="211" priority="196" operator="lessThan">
      <formula>0</formula>
    </cfRule>
  </conditionalFormatting>
  <conditionalFormatting sqref="I22:I29">
    <cfRule type="cellIs" dxfId="210" priority="195" operator="lessThan">
      <formula>0</formula>
    </cfRule>
  </conditionalFormatting>
  <conditionalFormatting sqref="I22:I29">
    <cfRule type="cellIs" dxfId="209" priority="194" operator="lessThan">
      <formula>0</formula>
    </cfRule>
  </conditionalFormatting>
  <conditionalFormatting sqref="I22:I29">
    <cfRule type="cellIs" dxfId="208" priority="193" operator="lessThan">
      <formula>0</formula>
    </cfRule>
  </conditionalFormatting>
  <conditionalFormatting sqref="I22:I29">
    <cfRule type="cellIs" dxfId="207" priority="192" operator="lessThan">
      <formula>0</formula>
    </cfRule>
  </conditionalFormatting>
  <conditionalFormatting sqref="I22:I29">
    <cfRule type="cellIs" dxfId="206" priority="191" operator="lessThan">
      <formula>0</formula>
    </cfRule>
  </conditionalFormatting>
  <conditionalFormatting sqref="I22:I29">
    <cfRule type="cellIs" dxfId="205" priority="190" operator="lessThan">
      <formula>0</formula>
    </cfRule>
  </conditionalFormatting>
  <conditionalFormatting sqref="I22:I29">
    <cfRule type="cellIs" dxfId="204" priority="189" operator="lessThan">
      <formula>0</formula>
    </cfRule>
  </conditionalFormatting>
  <conditionalFormatting sqref="I22:I29">
    <cfRule type="cellIs" dxfId="203" priority="188" operator="lessThan">
      <formula>0</formula>
    </cfRule>
  </conditionalFormatting>
  <conditionalFormatting sqref="I22:I29">
    <cfRule type="cellIs" dxfId="202" priority="187" operator="lessThan">
      <formula>0</formula>
    </cfRule>
  </conditionalFormatting>
  <conditionalFormatting sqref="I22:I29">
    <cfRule type="cellIs" dxfId="201" priority="186" operator="lessThan">
      <formula>0</formula>
    </cfRule>
  </conditionalFormatting>
  <conditionalFormatting sqref="I22:I29">
    <cfRule type="cellIs" dxfId="200" priority="185" operator="lessThan">
      <formula>0</formula>
    </cfRule>
  </conditionalFormatting>
  <conditionalFormatting sqref="I22:I29">
    <cfRule type="cellIs" dxfId="199" priority="184" operator="lessThan">
      <formula>0</formula>
    </cfRule>
  </conditionalFormatting>
  <conditionalFormatting sqref="I22:I29">
    <cfRule type="cellIs" dxfId="198" priority="183" operator="lessThan">
      <formula>0</formula>
    </cfRule>
  </conditionalFormatting>
  <conditionalFormatting sqref="I22:I29">
    <cfRule type="cellIs" dxfId="197" priority="182" operator="lessThan">
      <formula>0</formula>
    </cfRule>
  </conditionalFormatting>
  <conditionalFormatting sqref="I22:I29">
    <cfRule type="cellIs" dxfId="196" priority="181" operator="lessThan">
      <formula>0</formula>
    </cfRule>
  </conditionalFormatting>
  <conditionalFormatting sqref="I22:I29">
    <cfRule type="cellIs" dxfId="195" priority="180" operator="lessThan">
      <formula>0</formula>
    </cfRule>
  </conditionalFormatting>
  <conditionalFormatting sqref="I22:I29">
    <cfRule type="cellIs" dxfId="194" priority="179" operator="lessThan">
      <formula>0</formula>
    </cfRule>
  </conditionalFormatting>
  <conditionalFormatting sqref="I22:I29">
    <cfRule type="cellIs" dxfId="193" priority="178" operator="lessThan">
      <formula>0</formula>
    </cfRule>
  </conditionalFormatting>
  <conditionalFormatting sqref="I22:I29">
    <cfRule type="cellIs" dxfId="192" priority="177" operator="lessThan">
      <formula>0</formula>
    </cfRule>
  </conditionalFormatting>
  <conditionalFormatting sqref="I22:I29">
    <cfRule type="cellIs" dxfId="191" priority="176" operator="lessThan">
      <formula>0</formula>
    </cfRule>
  </conditionalFormatting>
  <conditionalFormatting sqref="I22:I29">
    <cfRule type="cellIs" dxfId="190" priority="175" operator="lessThan">
      <formula>0</formula>
    </cfRule>
  </conditionalFormatting>
  <conditionalFormatting sqref="I22:I29">
    <cfRule type="cellIs" dxfId="189" priority="174" operator="lessThan">
      <formula>0</formula>
    </cfRule>
  </conditionalFormatting>
  <conditionalFormatting sqref="I22:I29">
    <cfRule type="cellIs" dxfId="188" priority="173" operator="lessThan">
      <formula>0</formula>
    </cfRule>
  </conditionalFormatting>
  <conditionalFormatting sqref="I22:I29">
    <cfRule type="cellIs" dxfId="187" priority="172" operator="lessThan">
      <formula>0</formula>
    </cfRule>
  </conditionalFormatting>
  <conditionalFormatting sqref="I22:I29">
    <cfRule type="cellIs" dxfId="186" priority="171" operator="lessThan">
      <formula>0</formula>
    </cfRule>
  </conditionalFormatting>
  <conditionalFormatting sqref="I22:I29">
    <cfRule type="cellIs" dxfId="185" priority="170" operator="lessThan">
      <formula>0</formula>
    </cfRule>
  </conditionalFormatting>
  <conditionalFormatting sqref="I22:I29">
    <cfRule type="cellIs" dxfId="184" priority="169" operator="lessThan">
      <formula>0</formula>
    </cfRule>
  </conditionalFormatting>
  <conditionalFormatting sqref="I22:I29">
    <cfRule type="cellIs" dxfId="183" priority="168" operator="lessThan">
      <formula>0</formula>
    </cfRule>
  </conditionalFormatting>
  <conditionalFormatting sqref="I22:I29">
    <cfRule type="cellIs" dxfId="182" priority="167" operator="lessThan">
      <formula>0</formula>
    </cfRule>
  </conditionalFormatting>
  <conditionalFormatting sqref="I22:I29">
    <cfRule type="cellIs" dxfId="181" priority="166" operator="lessThan">
      <formula>0</formula>
    </cfRule>
  </conditionalFormatting>
  <conditionalFormatting sqref="I22:I29">
    <cfRule type="cellIs" dxfId="180" priority="165" operator="lessThan">
      <formula>0</formula>
    </cfRule>
  </conditionalFormatting>
  <conditionalFormatting sqref="I22:I29">
    <cfRule type="cellIs" dxfId="179" priority="164" operator="lessThan">
      <formula>0</formula>
    </cfRule>
  </conditionalFormatting>
  <conditionalFormatting sqref="I22:I29">
    <cfRule type="cellIs" dxfId="178" priority="163" operator="lessThan">
      <formula>0</formula>
    </cfRule>
  </conditionalFormatting>
  <conditionalFormatting sqref="I22:I29">
    <cfRule type="cellIs" dxfId="177" priority="162" operator="lessThan">
      <formula>0</formula>
    </cfRule>
  </conditionalFormatting>
  <conditionalFormatting sqref="I22:I29">
    <cfRule type="cellIs" dxfId="176" priority="161" operator="lessThan">
      <formula>0</formula>
    </cfRule>
  </conditionalFormatting>
  <conditionalFormatting sqref="I22:I29">
    <cfRule type="cellIs" dxfId="175" priority="160" operator="lessThan">
      <formula>0</formula>
    </cfRule>
  </conditionalFormatting>
  <conditionalFormatting sqref="I22:I29">
    <cfRule type="cellIs" dxfId="174" priority="159" operator="lessThan">
      <formula>0</formula>
    </cfRule>
  </conditionalFormatting>
  <conditionalFormatting sqref="I22:I29">
    <cfRule type="cellIs" dxfId="173" priority="158" operator="lessThan">
      <formula>0</formula>
    </cfRule>
  </conditionalFormatting>
  <conditionalFormatting sqref="I22:I29">
    <cfRule type="cellIs" dxfId="172" priority="157" operator="lessThan">
      <formula>0</formula>
    </cfRule>
  </conditionalFormatting>
  <conditionalFormatting sqref="I22:I29">
    <cfRule type="cellIs" dxfId="171" priority="156" operator="lessThan">
      <formula>0</formula>
    </cfRule>
  </conditionalFormatting>
  <conditionalFormatting sqref="I22:I29">
    <cfRule type="cellIs" dxfId="170" priority="155" operator="lessThan">
      <formula>0</formula>
    </cfRule>
  </conditionalFormatting>
  <conditionalFormatting sqref="I22:I29">
    <cfRule type="cellIs" dxfId="169" priority="154" operator="lessThan">
      <formula>0</formula>
    </cfRule>
  </conditionalFormatting>
  <conditionalFormatting sqref="I22:I29">
    <cfRule type="cellIs" dxfId="168" priority="153" operator="lessThan">
      <formula>0</formula>
    </cfRule>
  </conditionalFormatting>
  <conditionalFormatting sqref="I22:I29">
    <cfRule type="cellIs" dxfId="167" priority="152" operator="lessThan">
      <formula>0</formula>
    </cfRule>
  </conditionalFormatting>
  <conditionalFormatting sqref="I22:I29">
    <cfRule type="cellIs" dxfId="166" priority="151" operator="lessThan">
      <formula>0</formula>
    </cfRule>
  </conditionalFormatting>
  <conditionalFormatting sqref="I22:I29">
    <cfRule type="cellIs" dxfId="165" priority="150" operator="lessThan">
      <formula>0</formula>
    </cfRule>
  </conditionalFormatting>
  <conditionalFormatting sqref="I22:I29">
    <cfRule type="cellIs" dxfId="164" priority="149" operator="lessThan">
      <formula>0</formula>
    </cfRule>
  </conditionalFormatting>
  <conditionalFormatting sqref="I22:I29">
    <cfRule type="cellIs" dxfId="163" priority="148" operator="lessThan">
      <formula>0</formula>
    </cfRule>
  </conditionalFormatting>
  <conditionalFormatting sqref="I22:I29">
    <cfRule type="cellIs" dxfId="162" priority="147" operator="lessThan">
      <formula>0</formula>
    </cfRule>
  </conditionalFormatting>
  <conditionalFormatting sqref="I22:I29">
    <cfRule type="cellIs" dxfId="161" priority="146" operator="lessThan">
      <formula>0</formula>
    </cfRule>
  </conditionalFormatting>
  <conditionalFormatting sqref="I22:I29">
    <cfRule type="cellIs" dxfId="160" priority="145" operator="lessThan">
      <formula>0</formula>
    </cfRule>
  </conditionalFormatting>
  <conditionalFormatting sqref="I22:I29">
    <cfRule type="cellIs" dxfId="159" priority="144" operator="lessThan">
      <formula>0</formula>
    </cfRule>
  </conditionalFormatting>
  <conditionalFormatting sqref="I22:I29">
    <cfRule type="cellIs" dxfId="158" priority="143" operator="lessThan">
      <formula>0</formula>
    </cfRule>
  </conditionalFormatting>
  <conditionalFormatting sqref="I22:I29">
    <cfRule type="cellIs" dxfId="157" priority="142" operator="lessThan">
      <formula>0</formula>
    </cfRule>
  </conditionalFormatting>
  <conditionalFormatting sqref="I22:I29">
    <cfRule type="cellIs" dxfId="156" priority="141" operator="lessThan">
      <formula>0</formula>
    </cfRule>
  </conditionalFormatting>
  <conditionalFormatting sqref="I22:I29">
    <cfRule type="cellIs" dxfId="155" priority="140" operator="lessThan">
      <formula>0</formula>
    </cfRule>
  </conditionalFormatting>
  <conditionalFormatting sqref="I22:I29">
    <cfRule type="cellIs" dxfId="154" priority="139" operator="lessThan">
      <formula>0</formula>
    </cfRule>
  </conditionalFormatting>
  <conditionalFormatting sqref="I22:I29">
    <cfRule type="cellIs" dxfId="153" priority="138" operator="lessThan">
      <formula>0</formula>
    </cfRule>
  </conditionalFormatting>
  <conditionalFormatting sqref="I22:I29">
    <cfRule type="cellIs" dxfId="152" priority="137" operator="lessThan">
      <formula>0</formula>
    </cfRule>
  </conditionalFormatting>
  <conditionalFormatting sqref="I22:I29">
    <cfRule type="cellIs" dxfId="151" priority="136" operator="lessThan">
      <formula>0</formula>
    </cfRule>
  </conditionalFormatting>
  <conditionalFormatting sqref="I22:I29">
    <cfRule type="cellIs" dxfId="150" priority="135" operator="lessThan">
      <formula>0</formula>
    </cfRule>
  </conditionalFormatting>
  <conditionalFormatting sqref="I22:I29">
    <cfRule type="cellIs" dxfId="149" priority="134" operator="lessThan">
      <formula>0</formula>
    </cfRule>
  </conditionalFormatting>
  <conditionalFormatting sqref="I22:I29">
    <cfRule type="cellIs" dxfId="148" priority="133" operator="lessThan">
      <formula>0</formula>
    </cfRule>
  </conditionalFormatting>
  <conditionalFormatting sqref="I22:I29">
    <cfRule type="cellIs" dxfId="147" priority="132" operator="lessThan">
      <formula>0</formula>
    </cfRule>
  </conditionalFormatting>
  <conditionalFormatting sqref="I22:I29">
    <cfRule type="cellIs" dxfId="146" priority="131" operator="lessThan">
      <formula>0</formula>
    </cfRule>
  </conditionalFormatting>
  <conditionalFormatting sqref="I22:I29">
    <cfRule type="cellIs" dxfId="145" priority="130" operator="lessThan">
      <formula>0</formula>
    </cfRule>
  </conditionalFormatting>
  <conditionalFormatting sqref="I22:I29">
    <cfRule type="cellIs" dxfId="144" priority="129" operator="lessThan">
      <formula>0</formula>
    </cfRule>
  </conditionalFormatting>
  <conditionalFormatting sqref="I22:I29">
    <cfRule type="cellIs" dxfId="143" priority="128" operator="lessThan">
      <formula>0</formula>
    </cfRule>
  </conditionalFormatting>
  <conditionalFormatting sqref="I22:I29">
    <cfRule type="cellIs" dxfId="142" priority="127" operator="lessThan">
      <formula>0</formula>
    </cfRule>
  </conditionalFormatting>
  <conditionalFormatting sqref="I22:I29">
    <cfRule type="cellIs" dxfId="141" priority="126" operator="lessThan">
      <formula>0</formula>
    </cfRule>
  </conditionalFormatting>
  <conditionalFormatting sqref="I22:I29">
    <cfRule type="cellIs" dxfId="140" priority="125" operator="lessThan">
      <formula>0</formula>
    </cfRule>
  </conditionalFormatting>
  <conditionalFormatting sqref="I22:I29">
    <cfRule type="cellIs" dxfId="139" priority="124" operator="lessThan">
      <formula>0</formula>
    </cfRule>
  </conditionalFormatting>
  <conditionalFormatting sqref="I22:I29">
    <cfRule type="cellIs" dxfId="138" priority="123" operator="lessThan">
      <formula>0</formula>
    </cfRule>
  </conditionalFormatting>
  <conditionalFormatting sqref="I22:I29">
    <cfRule type="cellIs" dxfId="137" priority="122" operator="lessThan">
      <formula>0</formula>
    </cfRule>
  </conditionalFormatting>
  <conditionalFormatting sqref="I22:I29">
    <cfRule type="cellIs" dxfId="136" priority="121" operator="lessThan">
      <formula>0</formula>
    </cfRule>
  </conditionalFormatting>
  <conditionalFormatting sqref="I22:I29">
    <cfRule type="cellIs" dxfId="135" priority="120" operator="lessThan">
      <formula>0</formula>
    </cfRule>
  </conditionalFormatting>
  <conditionalFormatting sqref="I22:I29">
    <cfRule type="cellIs" dxfId="134" priority="119" operator="lessThan">
      <formula>0</formula>
    </cfRule>
  </conditionalFormatting>
  <conditionalFormatting sqref="I22:I29">
    <cfRule type="cellIs" dxfId="133" priority="118" operator="lessThan">
      <formula>0</formula>
    </cfRule>
  </conditionalFormatting>
  <conditionalFormatting sqref="I22:I29">
    <cfRule type="cellIs" dxfId="132" priority="117" operator="lessThan">
      <formula>0</formula>
    </cfRule>
  </conditionalFormatting>
  <conditionalFormatting sqref="I22:I29">
    <cfRule type="cellIs" dxfId="131" priority="116" operator="lessThan">
      <formula>0</formula>
    </cfRule>
  </conditionalFormatting>
  <conditionalFormatting sqref="I22:I29">
    <cfRule type="cellIs" dxfId="130" priority="115" operator="lessThan">
      <formula>0</formula>
    </cfRule>
  </conditionalFormatting>
  <conditionalFormatting sqref="I22:I29">
    <cfRule type="cellIs" dxfId="129" priority="114" operator="lessThan">
      <formula>0</formula>
    </cfRule>
  </conditionalFormatting>
  <conditionalFormatting sqref="I22:I29">
    <cfRule type="cellIs" dxfId="128" priority="113" operator="lessThan">
      <formula>0</formula>
    </cfRule>
  </conditionalFormatting>
  <conditionalFormatting sqref="I22:I29">
    <cfRule type="cellIs" dxfId="127" priority="112" operator="lessThan">
      <formula>0</formula>
    </cfRule>
  </conditionalFormatting>
  <conditionalFormatting sqref="I22:I29">
    <cfRule type="cellIs" dxfId="126" priority="111" operator="lessThan">
      <formula>0</formula>
    </cfRule>
  </conditionalFormatting>
  <conditionalFormatting sqref="I22:I29">
    <cfRule type="cellIs" dxfId="125" priority="110" operator="lessThan">
      <formula>0</formula>
    </cfRule>
  </conditionalFormatting>
  <conditionalFormatting sqref="I22:I29">
    <cfRule type="cellIs" dxfId="124" priority="109" operator="lessThan">
      <formula>0</formula>
    </cfRule>
  </conditionalFormatting>
  <conditionalFormatting sqref="I22:I29">
    <cfRule type="cellIs" dxfId="123" priority="108" operator="lessThan">
      <formula>0</formula>
    </cfRule>
  </conditionalFormatting>
  <conditionalFormatting sqref="I22:I29">
    <cfRule type="cellIs" dxfId="122" priority="107" operator="lessThan">
      <formula>0</formula>
    </cfRule>
  </conditionalFormatting>
  <conditionalFormatting sqref="I22:I29">
    <cfRule type="cellIs" dxfId="121" priority="106" operator="lessThan">
      <formula>0</formula>
    </cfRule>
  </conditionalFormatting>
  <conditionalFormatting sqref="I22:I29">
    <cfRule type="cellIs" dxfId="120" priority="105" operator="lessThan">
      <formula>0</formula>
    </cfRule>
  </conditionalFormatting>
  <conditionalFormatting sqref="I22:I29">
    <cfRule type="cellIs" dxfId="119" priority="104" operator="lessThan">
      <formula>0</formula>
    </cfRule>
  </conditionalFormatting>
  <conditionalFormatting sqref="I22:I29">
    <cfRule type="cellIs" dxfId="118" priority="103" operator="lessThan">
      <formula>0</formula>
    </cfRule>
  </conditionalFormatting>
  <conditionalFormatting sqref="I22:I29">
    <cfRule type="cellIs" dxfId="117" priority="102" operator="lessThan">
      <formula>0</formula>
    </cfRule>
  </conditionalFormatting>
  <conditionalFormatting sqref="I22:I29">
    <cfRule type="cellIs" dxfId="116" priority="101" operator="lessThan">
      <formula>0</formula>
    </cfRule>
  </conditionalFormatting>
  <conditionalFormatting sqref="I22:I29">
    <cfRule type="cellIs" dxfId="115" priority="100" operator="lessThan">
      <formula>0</formula>
    </cfRule>
  </conditionalFormatting>
  <conditionalFormatting sqref="B1:E1048576">
    <cfRule type="cellIs" dxfId="0" priority="1" operator="lessThan">
      <formula>0</formula>
    </cfRule>
  </conditionalFormatting>
  <pageMargins left="0.51181102362204722" right="0.51181102362204722" top="0.78740157480314965" bottom="0.78740157480314965" header="0.31496062992125984" footer="0.31496062992125984"/>
  <pageSetup scale="75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5" name="Button 1">
              <controlPr defaultSize="0" print="0" autoFill="0" autoPict="0" macro="[0]!Atualizar">
                <anchor moveWithCells="1" sizeWithCells="1">
                  <from>
                    <xdr:col>10</xdr:col>
                    <xdr:colOff>0</xdr:colOff>
                    <xdr:row>25</xdr:row>
                    <xdr:rowOff>180975</xdr:rowOff>
                  </from>
                  <to>
                    <xdr:col>12</xdr:col>
                    <xdr:colOff>247650</xdr:colOff>
                    <xdr:row>29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1D89F-A80A-434B-9A12-6B02DB7CC5B6}">
  <sheetPr codeName="Sheet1">
    <tabColor rgb="FFFFFF00"/>
  </sheetPr>
  <dimension ref="A1:AM79"/>
  <sheetViews>
    <sheetView zoomScale="85" zoomScaleNormal="85" zoomScaleSheetLayoutView="90" workbookViewId="0">
      <pane xSplit="6" ySplit="11" topLeftCell="G12" activePane="bottomRight" state="frozen"/>
      <selection pane="topRight" activeCell="F1" sqref="F1"/>
      <selection pane="bottomLeft" activeCell="A14" sqref="A14"/>
      <selection pane="bottomRight" activeCell="K16" sqref="K16"/>
    </sheetView>
  </sheetViews>
  <sheetFormatPr defaultRowHeight="15" outlineLevelCol="2"/>
  <cols>
    <col min="1" max="1" width="2.140625" style="264" customWidth="1"/>
    <col min="2" max="2" width="9.7109375" customWidth="1"/>
    <col min="3" max="3" width="8.42578125" customWidth="1" outlineLevel="1"/>
    <col min="4" max="4" width="8.28515625" customWidth="1" outlineLevel="1"/>
    <col min="5" max="5" width="8.42578125" customWidth="1" outlineLevel="1"/>
    <col min="6" max="6" width="8" customWidth="1"/>
    <col min="7" max="7" width="8.85546875" hidden="1" customWidth="1"/>
    <col min="8" max="8" width="9.28515625" customWidth="1"/>
    <col min="9" max="9" width="12.140625" style="3" customWidth="1"/>
    <col min="10" max="10" width="10.85546875" bestFit="1" customWidth="1"/>
    <col min="11" max="11" width="12.42578125" style="3" customWidth="1" outlineLevel="2"/>
    <col min="12" max="12" width="8.42578125" style="1" customWidth="1" outlineLevel="2"/>
    <col min="13" max="13" width="8.5703125" style="1" customWidth="1" outlineLevel="2"/>
    <col min="14" max="14" width="13.140625" customWidth="1" outlineLevel="1"/>
    <col min="15" max="15" width="10.5703125" customWidth="1" outlineLevel="1"/>
    <col min="16" max="16" width="8.28515625" customWidth="1" outlineLevel="1"/>
    <col min="17" max="17" width="12.28515625" customWidth="1" outlineLevel="1"/>
    <col min="18" max="18" width="8.140625" customWidth="1" outlineLevel="1"/>
    <col min="19" max="19" width="8.28515625" customWidth="1" outlineLevel="1"/>
    <col min="20" max="20" width="13.7109375" customWidth="1"/>
    <col min="21" max="21" width="9.42578125" customWidth="1"/>
    <col min="22" max="22" width="8.28515625" customWidth="1"/>
    <col min="23" max="23" width="12.140625" customWidth="1"/>
    <col min="24" max="24" width="9.85546875" style="3" customWidth="1"/>
    <col min="25" max="25" width="11.85546875" style="53" customWidth="1"/>
    <col min="26" max="26" width="11.42578125" style="5" customWidth="1"/>
    <col min="27" max="27" width="9.140625" customWidth="1"/>
    <col min="28" max="28" width="8.7109375" customWidth="1"/>
    <col min="29" max="29" width="9.42578125" customWidth="1"/>
    <col min="30" max="30" width="16.140625" customWidth="1"/>
    <col min="31" max="31" width="15.28515625" customWidth="1"/>
    <col min="32" max="32" width="12" customWidth="1"/>
    <col min="33" max="33" width="10.5703125" style="3" customWidth="1"/>
    <col min="34" max="34" width="9.85546875" customWidth="1"/>
    <col min="35" max="35" width="12.140625" style="31" customWidth="1"/>
  </cols>
  <sheetData>
    <row r="1" spans="1:39">
      <c r="B1" s="397" t="s">
        <v>84</v>
      </c>
      <c r="C1" s="402" cm="1">
        <f t="array" ref="C1">_xll.BDP(B1&amp;" EQUITY","LAST_PRICE")</f>
        <v>325.17</v>
      </c>
      <c r="D1" s="32">
        <f t="shared" ref="D1:D10" si="0">C1/E1-1</f>
        <v>-1.8117583114412583E-2</v>
      </c>
      <c r="E1" s="400">
        <f>_xll.BDP(B1&amp;" EQUITY","PX_YEST_CLOSE")</f>
        <v>331.17</v>
      </c>
      <c r="F1" t="s">
        <v>975</v>
      </c>
      <c r="H1" s="399" cm="1">
        <f t="array" ref="H1">_xll.BDP(F1&amp;" EQUITY","LAST_PRICE")</f>
        <v>626.55999999999995</v>
      </c>
      <c r="I1" s="139">
        <f>H1/J1-1</f>
        <v>-5.9179108029637773E-3</v>
      </c>
      <c r="J1" s="396">
        <f>_xll.BDP(F1&amp;" EQUITY","PX_YEST_CLOSE")</f>
        <v>630.29</v>
      </c>
      <c r="K1" s="397" t="s">
        <v>6</v>
      </c>
      <c r="L1" s="402" cm="1">
        <f t="array" ref="L1">_xll.BDP(K1&amp;" EQUITY","LAST_PRICE")</f>
        <v>85.61</v>
      </c>
      <c r="M1" s="32">
        <f t="shared" ref="M1:M10" si="1">L1/N1-1</f>
        <v>3.1638153269275548E-3</v>
      </c>
      <c r="N1" s="400">
        <f>_xll.BDP(K1&amp;" EQUITY","PX_YEST_CLOSE")</f>
        <v>85.34</v>
      </c>
      <c r="P1" s="1">
        <f>S1/$M$6</f>
        <v>-3.0965551876534962</v>
      </c>
      <c r="Q1" t="s">
        <v>577</v>
      </c>
      <c r="R1" s="5">
        <f>SUM(U18:U48)</f>
        <v>2.5929036175289522E-2</v>
      </c>
      <c r="S1" s="5">
        <f>T1/R1/10000</f>
        <v>-6.5989455251005795E-3</v>
      </c>
      <c r="T1" s="205">
        <f>SUM(V18:V48)</f>
        <v>-1.7110429723909781</v>
      </c>
      <c r="U1" s="338">
        <f>SUM(U15:U16)</f>
        <v>-6.9918877894941372E-3</v>
      </c>
      <c r="V1" s="295">
        <f>SUM(V15:V16)</f>
        <v>-5.8430641151498638E-2</v>
      </c>
      <c r="W1" s="205"/>
      <c r="Z1" s="205" t="e">
        <f>#REF!+#REF!+#REF!+#REF!+#REF!+#REF!+#REF!+#REF!</f>
        <v>#REF!</v>
      </c>
      <c r="AF1" t="s">
        <v>984</v>
      </c>
      <c r="AG1" s="196">
        <f>_xll.BDP(AG2&amp;" index","LAST_PRICE")</f>
        <v>24787.5</v>
      </c>
      <c r="AH1" s="196"/>
      <c r="AI1" s="196">
        <f>_xll.BDP(AI2&amp;" index","LAST_PRICE")</f>
        <v>6848.25</v>
      </c>
    </row>
    <row r="2" spans="1:39">
      <c r="B2" s="397" t="s">
        <v>42</v>
      </c>
      <c r="C2" s="402" cm="1">
        <f t="array" ref="C2">_xll.BDP(B2&amp;" EQUITY","LAST_PRICE")</f>
        <v>182.81</v>
      </c>
      <c r="D2" s="32">
        <f t="shared" si="0"/>
        <v>-2.2092650048143758E-2</v>
      </c>
      <c r="E2" s="400">
        <f>_xll.BDP(B2&amp;" EQUITY","PX_YEST_CLOSE")</f>
        <v>186.94</v>
      </c>
      <c r="F2" t="s">
        <v>340</v>
      </c>
      <c r="H2" s="399" cm="1">
        <f t="array" ref="H2">_xll.BDP(F2&amp;" EQUITY","LAST_PRICE")</f>
        <v>411.66</v>
      </c>
      <c r="I2" s="139">
        <f t="shared" ref="I2:I8" si="2">H2/J2-1</f>
        <v>-5.5801145010507813E-3</v>
      </c>
      <c r="J2" s="396">
        <f>_xll.BDP(F2&amp;" EQUITY","PX_YEST_CLOSE")</f>
        <v>413.97</v>
      </c>
      <c r="K2" s="397" t="s">
        <v>37</v>
      </c>
      <c r="L2" s="402" cm="1">
        <f t="array" ref="L2">_xll.BDP(K2&amp;" EQUITY","LAST_PRICE")</f>
        <v>82.77</v>
      </c>
      <c r="M2" s="32">
        <f t="shared" si="1"/>
        <v>2.2356719367588873E-2</v>
      </c>
      <c r="N2" s="400">
        <f>_xll.BDP(K2&amp;" EQUITY","PX_YEST_CLOSE")</f>
        <v>80.959999999999994</v>
      </c>
      <c r="O2" s="49"/>
      <c r="P2" s="1">
        <f>S2/$M$6</f>
        <v>1.5913595265916567</v>
      </c>
      <c r="Q2" t="s">
        <v>1014</v>
      </c>
      <c r="R2" s="5">
        <f>SUM(U23:U27)</f>
        <v>1.5465900947052513E-3</v>
      </c>
      <c r="S2" s="5">
        <f>T2/R2/10000</f>
        <v>3.3912829549102427E-3</v>
      </c>
      <c r="T2" s="205">
        <f>SUM(V23:V27)</f>
        <v>5.2449246264069362E-2</v>
      </c>
      <c r="U2" s="338"/>
      <c r="V2" s="295"/>
      <c r="W2" s="205">
        <f>W5/W6</f>
        <v>-2.2971473064349017</v>
      </c>
      <c r="Z2" s="18" t="s">
        <v>376</v>
      </c>
      <c r="AA2" s="5"/>
      <c r="AB2" s="1" t="str" cm="1">
        <f t="array" ref="AB2">_xll.BDP($A2&amp;" Equity","volatility_30d")</f>
        <v>#N/A Invalid Security</v>
      </c>
      <c r="AC2" s="14" t="str" cm="1">
        <f t="array" ref="AC2">_xll.BDP($A2&amp;" Equity","EQY_BETA")</f>
        <v>#N/A Invalid Security</v>
      </c>
      <c r="AD2" s="1" t="str" cm="1">
        <f t="array" ref="AD2">_xll.BDP($A2&amp;" Equity","EQY_BETA")</f>
        <v>#N/A Invalid Security</v>
      </c>
      <c r="AF2" s="3"/>
      <c r="AG2" t="s">
        <v>573</v>
      </c>
      <c r="AH2" s="31"/>
      <c r="AI2" t="s">
        <v>2</v>
      </c>
      <c r="AL2" t="s">
        <v>97</v>
      </c>
    </row>
    <row r="3" spans="1:39" ht="15.75" thickBot="1">
      <c r="B3" s="397" t="s">
        <v>44</v>
      </c>
      <c r="C3" s="402" cm="1">
        <f t="array" ref="C3">_xll.BDP(B3&amp;" EQUITY","LAST_PRICE")</f>
        <v>366.36</v>
      </c>
      <c r="D3" s="32">
        <f t="shared" si="0"/>
        <v>-4.7269763651182073E-3</v>
      </c>
      <c r="E3" s="400">
        <f>_xll.BDP(B3&amp;" EQUITY","PX_YEST_CLOSE")</f>
        <v>368.1</v>
      </c>
      <c r="F3" t="s">
        <v>333</v>
      </c>
      <c r="H3" s="399" cm="1">
        <f t="array" ref="H3">_xll.BDP(F3&amp;" EQUITY","LAST_PRICE")</f>
        <v>1406.61</v>
      </c>
      <c r="I3" s="139">
        <f t="shared" si="2"/>
        <v>-1.8480740935555851E-4</v>
      </c>
      <c r="J3" s="396">
        <f>_xll.BDP(F3&amp;" EQUITY","PX_YEST_CLOSE")</f>
        <v>1406.87</v>
      </c>
      <c r="K3" s="397" t="s">
        <v>43</v>
      </c>
      <c r="L3" s="402" cm="1">
        <f t="array" ref="L3">_xll.BDP(K3&amp;" EQUITY","LAST_PRICE")</f>
        <v>354.66</v>
      </c>
      <c r="M3" s="32">
        <f t="shared" si="1"/>
        <v>8.9900426742532957E-3</v>
      </c>
      <c r="N3" s="400">
        <f>_xll.BDP(K3&amp;" EQUITY","PX_YEST_CLOSE")</f>
        <v>351.5</v>
      </c>
      <c r="O3" s="5"/>
      <c r="P3" s="1">
        <f>S3/$M$6</f>
        <v>4.7910639020990757</v>
      </c>
      <c r="Q3" t="s">
        <v>1040</v>
      </c>
      <c r="R3" s="5">
        <f>SUM(U43:U48)</f>
        <v>2.7020584604253292E-3</v>
      </c>
      <c r="S3" s="5">
        <f>T3/R3/10000</f>
        <v>1.0210045609161427E-2</v>
      </c>
      <c r="T3" s="205">
        <f>SUM(V43:V48)</f>
        <v>0.2758814011956312</v>
      </c>
      <c r="U3" s="205">
        <f>U5/-U6</f>
        <v>1.5738228976480866</v>
      </c>
      <c r="W3" s="44" t="s">
        <v>98</v>
      </c>
      <c r="X3" s="5">
        <f>_xll.BDP("SPY Equity","LAST_PRICE")/_xll.BDP("SPY Equity","PX_YEST_CLOSE")-1</f>
        <v>7.0456647144312434E-4</v>
      </c>
      <c r="AC3" s="92" cm="1">
        <f t="array" ref="AC3">_xll.BDP("brl Curncy","LAST_PRICE")</f>
        <v>5.2229000000000001</v>
      </c>
      <c r="AD3" s="8">
        <f>AD5*$AC$3</f>
        <v>12381200210.865301</v>
      </c>
      <c r="AF3" s="3" t="s">
        <v>985</v>
      </c>
      <c r="AG3">
        <v>25550</v>
      </c>
      <c r="AH3" s="20">
        <f>AG3/$AG$1-1</f>
        <v>3.0761472516389388E-2</v>
      </c>
      <c r="AI3">
        <v>6904</v>
      </c>
      <c r="AJ3" s="20">
        <f>AI3/$AI$1-1</f>
        <v>8.1407658890957357E-3</v>
      </c>
    </row>
    <row r="4" spans="1:39" ht="30.75" thickBot="1">
      <c r="B4" s="397" t="s">
        <v>332</v>
      </c>
      <c r="C4" s="402" cm="1">
        <f t="array" ref="C4">_xll.BDP(B4&amp;" EQUITY","LAST_PRICE")</f>
        <v>207.32</v>
      </c>
      <c r="D4" s="32">
        <f t="shared" si="0"/>
        <v>6.7009808682139127E-3</v>
      </c>
      <c r="E4" s="400">
        <f>_xll.BDP(B4&amp;" EQUITY","PX_YEST_CLOSE")</f>
        <v>205.94</v>
      </c>
      <c r="F4" t="s">
        <v>976</v>
      </c>
      <c r="H4" s="399" cm="1">
        <f t="array" ref="H4">_xll.BDP(F4&amp;" EQUITY","LAST_PRICE")</f>
        <v>354.91</v>
      </c>
      <c r="I4" s="139">
        <f t="shared" si="2"/>
        <v>8.075763573799466E-2</v>
      </c>
      <c r="J4" s="396">
        <f>_xll.BDP(F4&amp;" EQUITY","PX_YEST_CLOSE")</f>
        <v>328.39</v>
      </c>
      <c r="K4" s="397" t="s">
        <v>0</v>
      </c>
      <c r="L4" s="402" cm="1">
        <f t="array" ref="L4">_xll.BDP(K4&amp;" EQUITY","LAST_PRICE")</f>
        <v>681.75</v>
      </c>
      <c r="M4" s="32">
        <f t="shared" si="1"/>
        <v>7.0456647144312434E-4</v>
      </c>
      <c r="N4" s="400">
        <f>_xll.BDP(K4&amp;" EQUITY","PX_YEST_CLOSE")</f>
        <v>681.27</v>
      </c>
      <c r="O4" s="11" t="s">
        <v>99</v>
      </c>
      <c r="P4" s="12" t="s">
        <v>100</v>
      </c>
      <c r="Q4" s="25"/>
      <c r="R4" s="11" t="s">
        <v>101</v>
      </c>
      <c r="S4" s="12" t="s">
        <v>102</v>
      </c>
      <c r="T4" s="11"/>
      <c r="U4" s="23" t="s">
        <v>103</v>
      </c>
      <c r="V4" s="24" t="s">
        <v>104</v>
      </c>
      <c r="W4" s="11" t="s">
        <v>105</v>
      </c>
      <c r="X4" s="11" t="s">
        <v>106</v>
      </c>
      <c r="Y4" s="11" t="s">
        <v>107</v>
      </c>
      <c r="Z4" s="11" t="s">
        <v>108</v>
      </c>
      <c r="AA4" s="23" t="s">
        <v>109</v>
      </c>
      <c r="AC4" s="83"/>
      <c r="AD4" s="84" t="s">
        <v>110</v>
      </c>
      <c r="AE4" s="85" t="s">
        <v>540</v>
      </c>
      <c r="AF4" s="3" t="s">
        <v>986</v>
      </c>
      <c r="AG4">
        <v>24677</v>
      </c>
      <c r="AH4" s="20">
        <f>AG4/$AG$1-1</f>
        <v>-4.4578920827029744E-3</v>
      </c>
      <c r="AI4">
        <v>6700</v>
      </c>
      <c r="AJ4" s="20">
        <f>AI4/$AI$1-1</f>
        <v>-2.1647866243200808E-2</v>
      </c>
    </row>
    <row r="5" spans="1:39">
      <c r="B5" s="397" t="s">
        <v>316</v>
      </c>
      <c r="C5" s="402" cm="1">
        <f t="array" ref="C5">_xll.BDP(B5&amp;" EQUITY","LAST_PRICE")</f>
        <v>198.79</v>
      </c>
      <c r="D5" s="32">
        <f t="shared" si="0"/>
        <v>-4.0581162324649922E-3</v>
      </c>
      <c r="E5" s="400">
        <f>_xll.BDP(B5&amp;" EQUITY","PX_YEST_CLOSE")</f>
        <v>199.6</v>
      </c>
      <c r="F5" t="s">
        <v>977</v>
      </c>
      <c r="H5" s="399" cm="1">
        <f t="array" ref="H5">_xll.BDP(F5&amp;" EQUITY","LAST_PRICE")</f>
        <v>1464.13</v>
      </c>
      <c r="I5" s="139">
        <f t="shared" si="2"/>
        <v>9.1532549884552061E-3</v>
      </c>
      <c r="J5" s="396">
        <f>_xll.BDP(F5&amp;" EQUITY","PX_YEST_CLOSE")</f>
        <v>1450.85</v>
      </c>
      <c r="K5" s="397" t="s">
        <v>3</v>
      </c>
      <c r="L5" s="401" cm="1">
        <f t="array" ref="L5">_xll.BDP(K5&amp;" EQUITY","LAST_PRICE")</f>
        <v>202.87</v>
      </c>
      <c r="M5" s="32">
        <f t="shared" si="1"/>
        <v>1.0359081627571154E-2</v>
      </c>
      <c r="N5" s="400">
        <f>_xll.BDP(K5&amp;" EQUITY","PX_YEST_CLOSE")</f>
        <v>200.79</v>
      </c>
      <c r="O5" s="26">
        <f>SUMIF(O12:O57,"&gt;0")</f>
        <v>2.1514182928061058E-2</v>
      </c>
      <c r="P5" s="19">
        <f>SUMIF($F$12:$F$57,"Long",P12:P57)</f>
        <v>-0.68912658329266696</v>
      </c>
      <c r="R5" s="26">
        <f>SUMIF(R12:R57,"&gt;0")</f>
        <v>1.0247776918985969E-2</v>
      </c>
      <c r="S5" s="137">
        <f>SUMIF($F$12:$F$57,"Long",S12:S57)</f>
        <v>-1.1140213019903129</v>
      </c>
      <c r="T5" t="s">
        <v>47</v>
      </c>
      <c r="U5" s="32">
        <f>SUMIF($F$12:$F$57,"Long",U12:U57)</f>
        <v>2.7899055910288417E-2</v>
      </c>
      <c r="V5" s="38">
        <f>SUMIF($F$12:$F$57,"Long",V12:V57)</f>
        <v>-1.8031478852829805</v>
      </c>
      <c r="W5" s="5">
        <f>V5/U5/10000</f>
        <v>-6.4631143472422253E-3</v>
      </c>
      <c r="X5" s="5">
        <f>W5-$X$3</f>
        <v>-7.1676808186853496E-3</v>
      </c>
      <c r="Y5" s="54">
        <f>$U5*X5*10000</f>
        <v>-1.9997152790760442</v>
      </c>
      <c r="Z5" s="9">
        <f>U5*$X$3*10000</f>
        <v>0.19656739379306351</v>
      </c>
      <c r="AA5" s="32">
        <f>SUMIF($F$12:$F$57,"Long",AA12:AA57)</f>
        <v>4.00900172507331E-2</v>
      </c>
      <c r="AB5" s="205">
        <f>AA5/U5</f>
        <v>1.4369668056025144</v>
      </c>
      <c r="AC5" s="86" t="s">
        <v>111</v>
      </c>
      <c r="AD5" s="87">
        <v>2370560457</v>
      </c>
      <c r="AE5" s="88">
        <f>AD5</f>
        <v>2370560457</v>
      </c>
      <c r="AF5" s="3" t="s">
        <v>987</v>
      </c>
      <c r="AG5">
        <v>22750</v>
      </c>
      <c r="AH5" s="20">
        <f>AG5/$AG$1-1</f>
        <v>-8.2198688855269819E-2</v>
      </c>
      <c r="AI5">
        <v>6265</v>
      </c>
      <c r="AJ5" s="20">
        <f>AI5/$AI$1-1</f>
        <v>-8.5167743584127376E-2</v>
      </c>
    </row>
    <row r="6" spans="1:39">
      <c r="B6" s="397" t="s">
        <v>27</v>
      </c>
      <c r="C6" s="402" cm="1">
        <f t="array" ref="C6">_xll.BDP(B6&amp;" EQUITY","LAST_PRICE")</f>
        <v>255.78</v>
      </c>
      <c r="D6" s="32">
        <f t="shared" si="0"/>
        <v>-2.2733351163412796E-2</v>
      </c>
      <c r="E6" s="400">
        <f>_xll.BDP(B6&amp;" EQUITY","PX_YEST_CLOSE")</f>
        <v>261.73</v>
      </c>
      <c r="F6" t="s">
        <v>978</v>
      </c>
      <c r="H6" s="399" cm="1">
        <f t="array" ref="H6">_xll.BDP(F6&amp;" EQUITY","LAST_PRICE")</f>
        <v>235.53</v>
      </c>
      <c r="I6" s="139">
        <f t="shared" si="2"/>
        <v>1.8331964200786866E-2</v>
      </c>
      <c r="J6" s="396">
        <f>_xll.BDP(F6&amp;" EQUITY","PX_YEST_CLOSE")</f>
        <v>231.29</v>
      </c>
      <c r="K6" s="397" t="s">
        <v>82</v>
      </c>
      <c r="L6" s="398" cm="1">
        <f t="array" ref="L6">_xll.BDP(K6&amp;" EQUITY","LAST_PRICE")</f>
        <v>601.91999999999996</v>
      </c>
      <c r="M6" s="32">
        <f t="shared" si="1"/>
        <v>2.1310602024506853E-3</v>
      </c>
      <c r="N6" s="400">
        <f>_xll.BDP(K6&amp;" EQUITY","PX_YEST_CLOSE")</f>
        <v>600.64</v>
      </c>
      <c r="O6" s="26">
        <f>SUMIF(O12:O57,"&lt;0")</f>
        <v>-1.6484599334697946E-2</v>
      </c>
      <c r="P6" s="19">
        <f>SUMIF($F$12:$F$57,"Short",P12:P57)</f>
        <v>-0.48419614425929008</v>
      </c>
      <c r="R6" s="26">
        <f>SUMIF(R12:R57,"&lt;0")</f>
        <v>-4.4913645378186172E-3</v>
      </c>
      <c r="S6" s="137">
        <f>SUMIF($F$12:$F$57,"Short",S12:S57)</f>
        <v>-1.455814279537355E-2</v>
      </c>
      <c r="T6" t="s">
        <v>48</v>
      </c>
      <c r="U6" s="32">
        <f>SUMIF($F$12:$F$57,"Short",U12:U57)</f>
        <v>-1.7726934810759605E-2</v>
      </c>
      <c r="V6" s="38">
        <f>SUMIF($F$12:$F$57,"Short",V12:V57)</f>
        <v>-0.49875428705466368</v>
      </c>
      <c r="W6" s="5">
        <f>V6/U6/10000</f>
        <v>2.8135393534134165E-3</v>
      </c>
      <c r="X6" s="5">
        <f>$X$3-W6</f>
        <v>-2.1089728819702921E-3</v>
      </c>
      <c r="Y6" s="54">
        <f>-$U6*X6*10000</f>
        <v>-0.37385624796347183</v>
      </c>
      <c r="Z6" s="9">
        <f>U6*$X$3*10000</f>
        <v>-0.12489803909119183</v>
      </c>
      <c r="AA6" s="32">
        <f>SUMIF($F$12:$F$57,"Short",AA12:AA57)</f>
        <v>-5.2857814727100046E-3</v>
      </c>
      <c r="AB6" s="205">
        <f>AA6/U6</f>
        <v>0.29817797205988072</v>
      </c>
      <c r="AC6" s="86" t="s">
        <v>112</v>
      </c>
      <c r="AD6" s="129">
        <v>153800000</v>
      </c>
      <c r="AE6" s="88">
        <f>AD6</f>
        <v>153800000</v>
      </c>
      <c r="AF6" s="3"/>
      <c r="AG6"/>
      <c r="AH6" s="31"/>
      <c r="AI6"/>
    </row>
    <row r="7" spans="1:39" ht="15.75" thickBot="1">
      <c r="B7" s="397" t="s">
        <v>38</v>
      </c>
      <c r="C7" s="401" cm="1">
        <f t="array" ref="C7">_xll.BDP(B7&amp;" EQUITY","LAST_PRICE")</f>
        <v>401.32</v>
      </c>
      <c r="D7" s="32">
        <f t="shared" si="0"/>
        <v>-1.2940473820425291E-3</v>
      </c>
      <c r="E7" s="400">
        <f>_xll.BDP(B7&amp;" EQUITY","PX_YEST_CLOSE")</f>
        <v>401.84</v>
      </c>
      <c r="F7" t="s">
        <v>983</v>
      </c>
      <c r="H7" s="399" cm="1">
        <f t="array" ref="H7">_xll.BDP(F7&amp;" EQUITY","LAST_PRICE")</f>
        <v>281.58</v>
      </c>
      <c r="I7" s="139">
        <f t="shared" si="2"/>
        <v>-8.870116156283081E-3</v>
      </c>
      <c r="J7" s="396">
        <f>_xll.BDP(F7&amp;" EQUITY","PX_YEST_CLOSE")</f>
        <v>284.10000000000002</v>
      </c>
      <c r="K7" s="397" t="s">
        <v>88</v>
      </c>
      <c r="L7" s="401" cm="1">
        <f t="array" ref="L7">_xll.BDP(K7&amp;" EQUITY","LAST_PRICE")</f>
        <v>102.68</v>
      </c>
      <c r="M7" s="32">
        <f t="shared" si="1"/>
        <v>1.1426319936958418E-2</v>
      </c>
      <c r="N7" s="400">
        <f>_xll.BDP(K7&amp;" EQUITY","PX_YEST_CLOSE")</f>
        <v>101.52</v>
      </c>
      <c r="O7" s="28">
        <f>O5+O6</f>
        <v>5.0295835933631128E-3</v>
      </c>
      <c r="P7" s="136">
        <f>SUM(P12:P57)</f>
        <v>-0.68547761946325969</v>
      </c>
      <c r="Q7" s="27"/>
      <c r="R7" s="28">
        <f>R5+R6</f>
        <v>5.7564123811673518E-3</v>
      </c>
      <c r="S7" s="136">
        <f>SUM(S12:S57)</f>
        <v>-1.1285794447856865</v>
      </c>
      <c r="T7" s="363" t="s">
        <v>846</v>
      </c>
      <c r="U7" s="271">
        <f>U5+U6</f>
        <v>1.0172121099528812E-2</v>
      </c>
      <c r="V7" s="272">
        <f>V5+V6</f>
        <v>-2.3019021723376443</v>
      </c>
      <c r="W7" s="43">
        <f>V7/U7/10000</f>
        <v>-2.2629519938022286E-2</v>
      </c>
      <c r="X7" s="43"/>
      <c r="Y7" s="55">
        <f>Y5+Y6</f>
        <v>-2.3735715270395161</v>
      </c>
      <c r="Z7" s="46">
        <f>Z5+Z6</f>
        <v>7.1669354701871676E-2</v>
      </c>
      <c r="AA7" s="33">
        <f>AA5+AA6</f>
        <v>3.4804235778023093E-2</v>
      </c>
      <c r="AB7" s="42"/>
      <c r="AC7" s="89" t="s">
        <v>113</v>
      </c>
      <c r="AD7" s="90">
        <f>AD5+AD6</f>
        <v>2524360457</v>
      </c>
      <c r="AE7" s="91">
        <f>AE5+AE6</f>
        <v>2524360457</v>
      </c>
      <c r="AG7"/>
      <c r="AH7" s="31"/>
      <c r="AI7"/>
      <c r="AK7" s="60" t="s">
        <v>114</v>
      </c>
      <c r="AL7" s="61" t="s">
        <v>115</v>
      </c>
      <c r="AM7" s="61" t="s">
        <v>116</v>
      </c>
    </row>
    <row r="8" spans="1:39">
      <c r="B8" s="397" t="s">
        <v>229</v>
      </c>
      <c r="C8" s="398" cm="1">
        <f t="array" ref="C8">_xll.BDP(B8&amp;" EQUITY","LAST_PRICE")</f>
        <v>305.72000000000003</v>
      </c>
      <c r="D8" s="32">
        <f t="shared" si="0"/>
        <v>-1.0614886731391548E-2</v>
      </c>
      <c r="E8" s="400">
        <f>_xll.BDP(B8&amp;" EQUITY","PX_YEST_CLOSE")</f>
        <v>309</v>
      </c>
      <c r="F8" t="s">
        <v>280</v>
      </c>
      <c r="H8" s="399" cm="1">
        <f t="array" ref="H8">_xll.BDP(F8&amp;" EQUITY","LAST_PRICE")</f>
        <v>425.99</v>
      </c>
      <c r="I8" s="139">
        <f t="shared" si="2"/>
        <v>-1.2013822854094691E-2</v>
      </c>
      <c r="J8" s="396">
        <f>_xll.BDP(F8&amp;" EQUITY","PX_YEST_CLOSE")</f>
        <v>431.17</v>
      </c>
      <c r="K8" s="397" t="s">
        <v>89</v>
      </c>
      <c r="L8" s="401" cm="1">
        <f t="array" ref="L8">_xll.BDP(K8&amp;" EQUITY","LAST_PRICE")</f>
        <v>262.95999999999998</v>
      </c>
      <c r="M8" s="32">
        <f t="shared" si="1"/>
        <v>1.3177159590043841E-2</v>
      </c>
      <c r="N8" s="400">
        <f>_xll.BDP(K8&amp;" EQUITY","PX_YEST_CLOSE")</f>
        <v>259.54000000000002</v>
      </c>
      <c r="O8" s="29">
        <f>O5-O6</f>
        <v>3.7998782262759004E-2</v>
      </c>
      <c r="P8" s="30"/>
      <c r="Q8" s="6"/>
      <c r="R8" s="29">
        <f>R5-R6</f>
        <v>1.4739141456804586E-2</v>
      </c>
      <c r="S8" s="30"/>
      <c r="T8" s="6" t="s">
        <v>15</v>
      </c>
      <c r="U8" s="34">
        <f>U5-U6</f>
        <v>4.5625990721048018E-2</v>
      </c>
      <c r="V8" s="40"/>
      <c r="AA8" s="34">
        <f>AA5-AA6</f>
        <v>4.5375798723443106E-2</v>
      </c>
      <c r="AB8" s="42"/>
      <c r="AD8" s="48">
        <f>AD5/AD7</f>
        <v>0.93907367722643742</v>
      </c>
      <c r="AG8"/>
      <c r="AH8" s="31"/>
      <c r="AI8"/>
      <c r="AK8" s="62">
        <v>2025</v>
      </c>
      <c r="AL8" s="62">
        <v>10</v>
      </c>
      <c r="AM8" s="62">
        <v>16</v>
      </c>
    </row>
    <row r="9" spans="1:39">
      <c r="B9" s="397" t="s">
        <v>29</v>
      </c>
      <c r="C9" s="401" cm="1">
        <f t="array" ref="C9">_xll.BDP(B9&amp;" EQUITY","LAST_PRICE")</f>
        <v>639.77</v>
      </c>
      <c r="D9" s="32">
        <f t="shared" si="0"/>
        <v>-1.5450670195903404E-2</v>
      </c>
      <c r="E9" s="400">
        <f>_xll.BDP(B9&amp;" EQUITY","PX_YEST_CLOSE")</f>
        <v>649.80999999999995</v>
      </c>
      <c r="F9" t="s">
        <v>996</v>
      </c>
      <c r="H9" s="399" cm="1">
        <f t="array" ref="H9">_xll.BDP(F9&amp;" EQUITY","LAST_PRICE")</f>
        <v>204.53</v>
      </c>
      <c r="I9" s="139">
        <f>H9/J9-1</f>
        <v>3.8774909197996088E-3</v>
      </c>
      <c r="J9" s="396">
        <f>_xll.BDP(F9&amp;" EQUITY","PX_YEST_CLOSE")</f>
        <v>203.74</v>
      </c>
      <c r="K9" s="397" t="s">
        <v>337</v>
      </c>
      <c r="L9" s="401" cm="1">
        <f t="array" ref="L9">_xll.BDP(K9&amp;" EQUITY","LAST_PRICE")</f>
        <v>87.94</v>
      </c>
      <c r="M9" s="32">
        <f t="shared" si="1"/>
        <v>9.0648307515777127E-3</v>
      </c>
      <c r="N9" s="400">
        <f>_xll.BDP(K9&amp;" EQUITY","PX_YEST_CLOSE")</f>
        <v>87.15</v>
      </c>
      <c r="O9" s="29"/>
      <c r="P9" s="45"/>
      <c r="Q9" s="29"/>
      <c r="R9" s="29"/>
      <c r="S9" s="45"/>
      <c r="T9" s="266" t="s">
        <v>797</v>
      </c>
      <c r="U9" s="267">
        <f>SUM(U49:U51)</f>
        <v>6.1387487500165678E-4</v>
      </c>
      <c r="V9" s="268">
        <f>SUM(V49:V51)</f>
        <v>0.48784510808869785</v>
      </c>
      <c r="W9" s="121">
        <v>1.5</v>
      </c>
      <c r="X9" s="177">
        <v>0.25</v>
      </c>
      <c r="AD9" s="17"/>
      <c r="AF9" s="3"/>
      <c r="AG9" s="205"/>
      <c r="AH9" s="31"/>
      <c r="AI9"/>
    </row>
    <row r="10" spans="1:39">
      <c r="B10" s="397" t="s">
        <v>552</v>
      </c>
      <c r="C10" s="401" cm="1">
        <f t="array" ref="C10">_xll.BDP(B10&amp;" EQUITY","LAST_PRICE")</f>
        <v>160.13999999999999</v>
      </c>
      <c r="D10" s="32">
        <f t="shared" si="0"/>
        <v>2.3389570552147187E-2</v>
      </c>
      <c r="E10" s="400">
        <f>_xll.BDP(B10&amp;" EQUITY","PX_YEST_CLOSE")</f>
        <v>156.47999999999999</v>
      </c>
      <c r="F10" t="s">
        <v>271</v>
      </c>
      <c r="H10" s="399" cm="1">
        <f t="array" ref="H10">_xll.BDP(F10&amp;" EQUITY","LAST_PRICE")</f>
        <v>107.08</v>
      </c>
      <c r="I10" s="139">
        <f>H10/J10-1</f>
        <v>3.6692806660857613E-2</v>
      </c>
      <c r="J10" s="396">
        <f>_xll.BDP(F10&amp;" EQUITY","PX_YEST_CLOSE")</f>
        <v>103.29</v>
      </c>
      <c r="K10" s="397" t="s">
        <v>78</v>
      </c>
      <c r="L10" s="401" cm="1">
        <f t="array" ref="L10">_xll.BDP(K10&amp;" EQUITY","LAST_PRICE")</f>
        <v>103.94</v>
      </c>
      <c r="M10" s="32">
        <f t="shared" si="1"/>
        <v>5.7590557590557534E-2</v>
      </c>
      <c r="N10" s="400">
        <f>_xll.BDP(K10&amp;" EQUITY","PX_YEST_CLOSE")</f>
        <v>98.28</v>
      </c>
      <c r="P10" s="49">
        <f>SUM(Tabelad[D1 P&amp;L bps])</f>
        <v>-0.68547761946325969</v>
      </c>
      <c r="Q10" s="6"/>
      <c r="S10" s="49">
        <f>SUM(Tabelad[Options P&amp;L bps])</f>
        <v>-1.1285794447856865</v>
      </c>
      <c r="T10" s="269" t="s">
        <v>847</v>
      </c>
      <c r="U10" s="269">
        <f>U7+U9</f>
        <v>1.0785995974530468E-2</v>
      </c>
      <c r="V10" s="270">
        <f>V7+V9</f>
        <v>-1.8140570642489464</v>
      </c>
      <c r="W10" s="16">
        <f>AE7*W9/10000</f>
        <v>378654.06855000003</v>
      </c>
      <c r="X10" s="274"/>
      <c r="Y10" s="53">
        <v>0.35</v>
      </c>
      <c r="Z10" s="37">
        <f>SUM(Tabelad[Column1])</f>
        <v>6.4545116191894927</v>
      </c>
      <c r="AA10" s="124">
        <f>SUM(Tabelad[Expo Beta Adj])</f>
        <v>3.5416009227983741E-2</v>
      </c>
      <c r="AD10" s="15">
        <f>SUM(Tabelad[Daily P&amp;L])</f>
        <v>-162496.61388580967</v>
      </c>
      <c r="AE10" s="139"/>
      <c r="AF10" s="185" t="str">
        <f>_xll.BDP(B10&amp;" Equity","EXPECTED_REPORT_DT")</f>
        <v>10/03/2026</v>
      </c>
      <c r="AG10" s="139"/>
      <c r="AH10" s="19" t="e">
        <f>SUM(AH12:AH57)+#REF!+#REF!</f>
        <v>#VALUE!</v>
      </c>
      <c r="AI10"/>
    </row>
    <row r="11" spans="1:39" s="10" customFormat="1" ht="36" customHeight="1" thickBot="1">
      <c r="A11" s="311"/>
      <c r="B11" s="56" t="s">
        <v>117</v>
      </c>
      <c r="C11" s="56" t="s">
        <v>541</v>
      </c>
      <c r="D11" s="56" t="s">
        <v>542</v>
      </c>
      <c r="E11" s="56" t="s">
        <v>119</v>
      </c>
      <c r="F11" s="56" t="s">
        <v>120</v>
      </c>
      <c r="G11" s="56" t="s">
        <v>121</v>
      </c>
      <c r="H11" s="56" t="s">
        <v>381</v>
      </c>
      <c r="I11" s="343" t="s">
        <v>122</v>
      </c>
      <c r="J11" s="344" t="s">
        <v>51</v>
      </c>
      <c r="K11" s="356" t="s">
        <v>123</v>
      </c>
      <c r="L11" s="345" t="s">
        <v>124</v>
      </c>
      <c r="M11" s="346" t="s">
        <v>125</v>
      </c>
      <c r="N11" s="345" t="s">
        <v>126</v>
      </c>
      <c r="O11" s="56" t="s">
        <v>99</v>
      </c>
      <c r="P11" s="344" t="s">
        <v>100</v>
      </c>
      <c r="Q11" s="345" t="s">
        <v>127</v>
      </c>
      <c r="R11" s="56" t="s">
        <v>101</v>
      </c>
      <c r="S11" s="344" t="s">
        <v>102</v>
      </c>
      <c r="T11" s="56" t="s">
        <v>11</v>
      </c>
      <c r="U11" s="56" t="s">
        <v>103</v>
      </c>
      <c r="V11" s="344" t="s">
        <v>104</v>
      </c>
      <c r="W11" s="56" t="s">
        <v>128</v>
      </c>
      <c r="X11" s="343" t="s">
        <v>129</v>
      </c>
      <c r="Y11" s="347" t="s">
        <v>130</v>
      </c>
      <c r="Z11" s="56" t="s">
        <v>1012</v>
      </c>
      <c r="AA11" s="56" t="s">
        <v>131</v>
      </c>
      <c r="AB11" s="347" t="s">
        <v>372</v>
      </c>
      <c r="AC11" s="56" t="s">
        <v>1013</v>
      </c>
      <c r="AD11" s="56" t="s">
        <v>377</v>
      </c>
      <c r="AE11" s="10" t="s">
        <v>132</v>
      </c>
      <c r="AF11" s="10" t="s">
        <v>133</v>
      </c>
      <c r="AG11" s="56" t="s">
        <v>134</v>
      </c>
      <c r="AH11" s="348" t="s">
        <v>135</v>
      </c>
      <c r="AI11" s="56" t="s">
        <v>472</v>
      </c>
      <c r="AJ11" s="10" t="s">
        <v>136</v>
      </c>
    </row>
    <row r="12" spans="1:39">
      <c r="B12" s="39" t="s">
        <v>334</v>
      </c>
      <c r="C12" t="s">
        <v>572</v>
      </c>
      <c r="E12" t="s">
        <v>137</v>
      </c>
      <c r="F12" s="21" t="str">
        <f t="shared" ref="F12:F17" si="3">IF(T12&gt;0,"Long","Short")</f>
        <v>Long</v>
      </c>
      <c r="G12" s="15"/>
      <c r="H12" s="362">
        <v>3678</v>
      </c>
      <c r="I12" s="35" cm="1">
        <f t="array" ref="I12">_xll.BDP(B12&amp;" Equity","LAST_PRICE")</f>
        <v>155.72999999999999</v>
      </c>
      <c r="J12" s="50">
        <f t="shared" ref="J12:J57" si="4">I12/K12-1</f>
        <v>-1.8900018900018911E-2</v>
      </c>
      <c r="K12" s="355">
        <f>_xll.BDP(B12&amp;" equity","PX_YEST_CLOSE")</f>
        <v>158.72999999999999</v>
      </c>
      <c r="L12" s="52">
        <f>_xll.BDP(E12&amp;" Curncy","PX_LAST")</f>
        <v>1</v>
      </c>
      <c r="M12" s="51">
        <v>1</v>
      </c>
      <c r="N12" s="15">
        <f t="shared" ref="N12:N57" si="5">IFERROR(IF(((I12/L12)*H12*M12)&lt;&gt;0,((I12/L12)*H12*M12),0),"-")</f>
        <v>572774.93999999994</v>
      </c>
      <c r="O12" s="284">
        <f>IFERROR(IF(Tabelad[[#This Row],[D1 Exp USD]]&lt;&gt;0,N12/$AE$7,0),"-")</f>
        <v>2.2689903037092295E-4</v>
      </c>
      <c r="P12" s="19">
        <f>IFERROR(IF(Tabelad[[#This Row],[D1 Exp USD]]&lt;&gt;0,((I12-K12)/L12*M12*H12)/$AD$7*10000,0),"-")</f>
        <v>-4.3710080980721051E-2</v>
      </c>
      <c r="Q12" s="15">
        <f>IF(SUM(SUMIFS(Options!$AL$4:$AL$28, Options!$D$4:$D$28, B12), SUMIFS(Options!$AL$4:$AL$28, Options!$D$4:$D$28, B12 &amp; " US"))=0,0,SUM(SUMIFS(Options!$AL$4:$AL$28, Options!$D$4:$D$28, B12), SUMIFS(Options!$AL$4:$AL$28, Options!$D$4:$D$28, B12 &amp; " US")))</f>
        <v>0</v>
      </c>
      <c r="R12" s="18">
        <f>Q12/$AE$7</f>
        <v>0</v>
      </c>
      <c r="S12" s="19">
        <f>IF(SUM(SUMIFS(Options!$AK$4:$AK$28, Options!$D$4:$D$28, B12), SUMIFS(Options!$AK$4:$AK$28, Options!$D$4:$D$28, B12 &amp; " US"))=0,0,SUM(SUMIFS(Options!$AK$4:$AK$28, Options!$D$4:$D$28, B12), SUMIFS(Options!AK$4:$AK$28, Options!$D$4:$D$28, B12 &amp; " US")))</f>
        <v>0</v>
      </c>
      <c r="T12" s="13">
        <f t="shared" ref="T12:T57" si="6">N12+Q12</f>
        <v>572774.93999999994</v>
      </c>
      <c r="U12" s="47">
        <f t="shared" ref="U12:U57" si="7">T12/$AE$7</f>
        <v>2.2689903037092295E-4</v>
      </c>
      <c r="V12" s="19">
        <f t="shared" ref="V12:V57" si="8">P12+S12</f>
        <v>-4.3710080980721051E-2</v>
      </c>
      <c r="W12" s="15">
        <f t="shared" ref="W12:W57" si="9">$W$10/(I12/L12*M12)</f>
        <v>2431.4779974956659</v>
      </c>
      <c r="X12" s="18"/>
      <c r="Y12" s="301">
        <f>Tabelad[[#This Row],[Exp %]]*$Y$10*$AD$7/Tabelad[[#This Row],[Price Today]]</f>
        <v>1287.3</v>
      </c>
      <c r="Z12" s="195">
        <f>Tabelad[[#This Row],[Vol 10d]]/16*Tabelad[[#This Row],[Exp %]]*100</f>
        <v>5.1599123982834658E-2</v>
      </c>
      <c r="AA12" s="18">
        <f>Tabelad[[#This Row],[Exp %]]*Tabelad[[#This Row],[Beta]]</f>
        <v>1.962202609871776E-4</v>
      </c>
      <c r="AB12" s="35">
        <f>_xll.BDP($B12&amp;" Equity","volatility_10d")</f>
        <v>36.385610920228643</v>
      </c>
      <c r="AC12" s="35">
        <f>_xll.BDP(B12&amp;" EQUITY","eqy_beta")</f>
        <v>0.86479109525680542</v>
      </c>
      <c r="AD12" s="15">
        <f>Tabelad[[#This Row],[D1 P&amp;L bps]]*$AD$5/10000</f>
        <v>-10361.738954516512</v>
      </c>
      <c r="AE12" s="206"/>
      <c r="AF12" s="185" t="str">
        <f>_xll.BDP(B12&amp;" Equity","EXPECTED_REPORT_DT")</f>
        <v>20/02/2026</v>
      </c>
      <c r="AG12" s="139" t="e">
        <f>_xll.BDP(B12&amp;" Index","CHG_PCT_1D_PRE_FROM_REGULAR")/100</f>
        <v>#VALUE!</v>
      </c>
      <c r="AH12" s="19" t="e">
        <f t="shared" ref="AH12:AH57" si="10">(T12*AG12)/$AD$7*10000</f>
        <v>#VALUE!</v>
      </c>
      <c r="AI12" s="361" t="str">
        <f>_xll.BDP(B12&amp;" Equity","DVD_EX_DT")</f>
        <v>12/06/2025</v>
      </c>
    </row>
    <row r="13" spans="1:39">
      <c r="B13" s="39" t="s">
        <v>800</v>
      </c>
      <c r="C13" t="s">
        <v>572</v>
      </c>
      <c r="E13" t="s">
        <v>137</v>
      </c>
      <c r="F13" s="21" t="str">
        <f t="shared" si="3"/>
        <v>Long</v>
      </c>
      <c r="G13" s="15"/>
      <c r="H13" s="362">
        <v>4500</v>
      </c>
      <c r="I13" s="35" cm="1">
        <f t="array" ref="I13">_xll.BDP(B13&amp;" Equity","LAST_PRICE")</f>
        <v>137.01</v>
      </c>
      <c r="J13" s="50">
        <f t="shared" si="4"/>
        <v>-9.9002746061569447E-3</v>
      </c>
      <c r="K13" s="355">
        <f>_xll.BDP(B13&amp;" equity","PX_YEST_CLOSE")</f>
        <v>138.38</v>
      </c>
      <c r="L13" s="52">
        <f>_xll.BDP(E13&amp;" Curncy","PX_LAST")</f>
        <v>1</v>
      </c>
      <c r="M13" s="51">
        <v>1</v>
      </c>
      <c r="N13" s="15">
        <f t="shared" si="5"/>
        <v>616545</v>
      </c>
      <c r="O13" s="284">
        <f>IFERROR(IF(Tabelad[[#This Row],[D1 Exp USD]]&lt;&gt;0,N13/$AE$7,0),"-")</f>
        <v>2.4423809931356407E-4</v>
      </c>
      <c r="P13" s="19">
        <f>IFERROR(IF(Tabelad[[#This Row],[D1 Exp USD]]&lt;&gt;0,((I13-K13)/L13*M13*H13)/$AD$7*10000,0),"-")</f>
        <v>-2.4422027301626438E-2</v>
      </c>
      <c r="Q13" s="15">
        <f>IF(SUM(SUMIFS(Options!$AL$4:$AL$28, Options!$D$4:$D$28, B13), SUMIFS(Options!$AL$4:$AL$28, Options!$D$4:$D$28, B13 &amp; " US"))=0,0,SUM(SUMIFS(Options!$AL$4:$AL$28, Options!$D$4:$D$28, B13), SUMIFS(Options!$AL$4:$AL$28, Options!$D$4:$D$28, B13 &amp; " US")))</f>
        <v>0</v>
      </c>
      <c r="R13" s="18">
        <f>Q13/$AE$7</f>
        <v>0</v>
      </c>
      <c r="S13" s="19">
        <f>IF(SUM(SUMIFS(Options!$AK$4:$AK$28, Options!$D$4:$D$28, B13), SUMIFS(Options!$AK$4:$AK$28, Options!$D$4:$D$28, B13 &amp; " US"))=0,0,SUM(SUMIFS(Options!$AK$4:$AK$28, Options!$D$4:$D$28, B13), SUMIFS(Options!AK$4:$AK$28, Options!$D$4:$D$28, B13 &amp; " US")))</f>
        <v>0</v>
      </c>
      <c r="T13" s="13">
        <f t="shared" si="6"/>
        <v>616545</v>
      </c>
      <c r="U13" s="47">
        <f t="shared" si="7"/>
        <v>2.4423809931356407E-4</v>
      </c>
      <c r="V13" s="19">
        <f t="shared" si="8"/>
        <v>-2.4422027301626438E-2</v>
      </c>
      <c r="W13" s="15">
        <f t="shared" si="9"/>
        <v>2763.6965809065036</v>
      </c>
      <c r="X13" s="18"/>
      <c r="Y13" s="301">
        <f>Tabelad[[#This Row],[Exp %]]*$Y$10*$AD$7/Tabelad[[#This Row],[Price Today]]</f>
        <v>1575</v>
      </c>
      <c r="Z13" s="195">
        <f>Tabelad[[#This Row],[Vol 10d]]/16*Tabelad[[#This Row],[Exp %]]*100</f>
        <v>7.5273556884125098E-2</v>
      </c>
      <c r="AA13" s="18">
        <f>Tabelad[[#This Row],[Exp %]]*Tabelad[[#This Row],[Beta]]</f>
        <v>2.5388663927316434E-4</v>
      </c>
      <c r="AB13" s="35">
        <f>_xll.BDP($B13&amp;" Equity","volatility_10d")</f>
        <v>49.311590351011013</v>
      </c>
      <c r="AC13" s="35">
        <f>_xll.BDP(B13&amp;" EQUITY","eqy_beta")</f>
        <v>1.0395046472549438</v>
      </c>
      <c r="AD13" s="15">
        <f>Tabelad[[#This Row],[D1 P&amp;L bps]]*$AD$5/10000</f>
        <v>-5789.3892201010049</v>
      </c>
      <c r="AE13" s="206"/>
      <c r="AF13" s="185" t="str">
        <f>_xll.BDP(B13&amp;" Equity","EXPECTED_REPORT_DT")</f>
        <v>26/02/2026</v>
      </c>
      <c r="AG13" s="139" t="e">
        <f>_xll.BDP(B13&amp;" Index","CHG_PCT_1D_PRE_FROM_REGULAR")/100</f>
        <v>#VALUE!</v>
      </c>
      <c r="AH13" s="19" t="e">
        <f t="shared" si="10"/>
        <v>#VALUE!</v>
      </c>
      <c r="AI13" s="361" t="str">
        <f>_xll.BDP(B13&amp;" Equity","DVD_EX_DT")</f>
        <v>#N/A Field Not Applicable</v>
      </c>
    </row>
    <row r="14" spans="1:39">
      <c r="B14" s="39" t="s">
        <v>7</v>
      </c>
      <c r="C14" t="s">
        <v>572</v>
      </c>
      <c r="E14" t="s">
        <v>137</v>
      </c>
      <c r="F14" s="21" t="str">
        <f t="shared" si="3"/>
        <v>Long</v>
      </c>
      <c r="G14" s="15"/>
      <c r="H14" s="362">
        <v>10000</v>
      </c>
      <c r="I14" s="35" cm="1">
        <f t="array" ref="I14">_xll.BDP(B14&amp;" Equity","LAST_PRICE")</f>
        <v>33.68</v>
      </c>
      <c r="J14" s="50">
        <f t="shared" si="4"/>
        <v>-4.1395623891188338E-3</v>
      </c>
      <c r="K14" s="355">
        <f>_xll.BDP(B14&amp;" equity","PX_YEST_CLOSE")</f>
        <v>33.82</v>
      </c>
      <c r="L14" s="52">
        <f>_xll.BDP(E14&amp;" Curncy","PX_LAST")</f>
        <v>1</v>
      </c>
      <c r="M14" s="51">
        <v>1</v>
      </c>
      <c r="N14" s="15">
        <f t="shared" si="5"/>
        <v>336800</v>
      </c>
      <c r="O14" s="284">
        <f>IFERROR(IF(Tabelad[[#This Row],[D1 Exp USD]]&lt;&gt;0,N14/$AE$7,0),"-")</f>
        <v>1.3341993179542187E-4</v>
      </c>
      <c r="P14" s="19">
        <f>IFERROR(IF(Tabelad[[#This Row],[D1 Exp USD]]&lt;&gt;0,((I14-K14)/L14*M14*H14)/$AD$7*10000,0),"-")</f>
        <v>-5.5459591601422619E-3</v>
      </c>
      <c r="Q14" s="15">
        <f>IF(SUM(SUMIFS(Options!$AL$4:$AL$28, Options!$D$4:$D$28, B14), SUMIFS(Options!$AL$4:$AL$28, Options!$D$4:$D$28, B14 &amp; " US"))=0,0,SUM(SUMIFS(Options!$AL$4:$AL$28, Options!$D$4:$D$28, B14), SUMIFS(Options!$AL$4:$AL$28, Options!$D$4:$D$28, B14 &amp; " US")))</f>
        <v>909958.94402265549</v>
      </c>
      <c r="R14" s="18">
        <f>Q14/$AE$7</f>
        <v>3.6047108149684325E-4</v>
      </c>
      <c r="S14" s="19">
        <f>IF(SUM(SUMIFS(Options!$AK$4:$AK$28, Options!$D$4:$D$28, B14), SUMIFS(Options!$AK$4:$AK$28, Options!$D$4:$D$28, B14 &amp; " US"))=0,0,SUM(SUMIFS(Options!$AK$4:$AK$28, Options!$D$4:$D$28, B14), SUMIFS(Options!AK$4:$AK$28, Options!$D$4:$D$28, B14 &amp; " US")))</f>
        <v>0</v>
      </c>
      <c r="T14" s="13">
        <f t="shared" si="6"/>
        <v>1246758.9440226555</v>
      </c>
      <c r="U14" s="47">
        <f t="shared" si="7"/>
        <v>4.9389101329226517E-4</v>
      </c>
      <c r="V14" s="19">
        <f t="shared" si="8"/>
        <v>-5.5459591601422619E-3</v>
      </c>
      <c r="W14" s="15">
        <f t="shared" si="9"/>
        <v>11242.697997327792</v>
      </c>
      <c r="X14" s="18"/>
      <c r="Y14" s="301">
        <f>Tabelad[[#This Row],[Exp %]]*$Y$10*$AD$7/Tabelad[[#This Row],[Price Today]]</f>
        <v>12956.224180757999</v>
      </c>
      <c r="Z14" s="195">
        <f>Tabelad[[#This Row],[Vol 10d]]/16*Tabelad[[#This Row],[Exp %]]*100</f>
        <v>4.0223783685283017E-2</v>
      </c>
      <c r="AA14" s="18">
        <f>Tabelad[[#This Row],[Exp %]]*Tabelad[[#This Row],[Beta]]</f>
        <v>5.6273247576804598E-4</v>
      </c>
      <c r="AB14" s="35">
        <f>_xll.BDP($B14&amp;" Equity","volatility_10d")</f>
        <v>13.030821003897936</v>
      </c>
      <c r="AC14" s="35">
        <f>_xll.BDP(B14&amp;" EQUITY","eqy_beta")</f>
        <v>1.1393859386444092</v>
      </c>
      <c r="AD14" s="15">
        <f>Tabelad[[#This Row],[D1 P&amp;L bps]]*$AD$5/10000</f>
        <v>-1314.7031481170177</v>
      </c>
      <c r="AE14" s="206"/>
      <c r="AF14" s="185" t="str">
        <f>_xll.BDP(B14&amp;" Equity","EXPECTED_REPORT_DT")</f>
        <v>#N/A N/A</v>
      </c>
      <c r="AG14" s="139">
        <f>_xll.BDP(B14&amp;" Index","CHG_PCT_1D_PRE_FROM_REGULAR")/100</f>
        <v>-9.4618480000000001E-3</v>
      </c>
      <c r="AH14" s="19">
        <f t="shared" si="10"/>
        <v>-4.6731216963373928E-2</v>
      </c>
      <c r="AI14" s="361" t="str">
        <f>_xll.BDP(B14&amp;" Equity","DVD_EX_DT")</f>
        <v>19/12/2025</v>
      </c>
    </row>
    <row r="15" spans="1:39" s="58" customFormat="1">
      <c r="A15" s="488"/>
      <c r="B15" s="349" t="s">
        <v>82</v>
      </c>
      <c r="C15" s="58" t="s">
        <v>26</v>
      </c>
      <c r="E15" s="58" t="s">
        <v>137</v>
      </c>
      <c r="F15" s="133" t="str">
        <f t="shared" si="3"/>
        <v>Short</v>
      </c>
      <c r="G15" s="330"/>
      <c r="H15" s="457"/>
      <c r="I15" s="14" cm="1">
        <f t="array" ref="I15">_xll.BDP(B15&amp;" Equity","LAST_PRICE")</f>
        <v>601.91999999999996</v>
      </c>
      <c r="J15" s="456">
        <f t="shared" si="4"/>
        <v>2.1310602024506853E-3</v>
      </c>
      <c r="K15" s="489">
        <f>_xll.BDP(B15&amp;" equity","PX_YEST_CLOSE")</f>
        <v>600.64</v>
      </c>
      <c r="L15" s="8">
        <f>_xll.BDP(E15&amp;" Curncy","PX_LAST")</f>
        <v>1</v>
      </c>
      <c r="M15" s="455">
        <v>1</v>
      </c>
      <c r="N15" s="330">
        <f t="shared" si="5"/>
        <v>0</v>
      </c>
      <c r="O15" s="494">
        <f>IFERROR(IF(Tabelad[[#This Row],[D1 Exp USD]]&lt;&gt;0,N15/$AE$7,0),"-")</f>
        <v>0</v>
      </c>
      <c r="P15" s="454">
        <f>IFERROR(IF(Tabelad[[#This Row],[D1 Exp USD]]&lt;&gt;0,((I15-K15)/L15*M15*H15)/$AD$7*10000,0),"-")</f>
        <v>0</v>
      </c>
      <c r="Q15" s="330">
        <f>IF(SUM(SUMIFS(Options!$AL$4:$AL$28, Options!$D$4:$D$28, B15), SUMIFS(Options!$AL$4:$AL$28, Options!$D$4:$D$28, B15 &amp; " US"))=0,0,SUM(SUMIFS(Options!$AL$4:$AL$28, Options!$D$4:$D$28, B15), SUMIFS(Options!$AL$4:$AL$28, Options!$D$4:$D$28, B15 &amp; " US")))</f>
        <v>-10213795.055580139</v>
      </c>
      <c r="R15" s="125">
        <f>Q15/$AE$7</f>
        <v>-4.0460921605935847E-3</v>
      </c>
      <c r="S15" s="454">
        <f>IF(SUM(SUMIFS(Options!$AK$4:$AK$28, Options!$D$4:$D$28, B15), SUMIFS(Options!$AK$4:$AK$28, Options!$D$4:$D$28, B15 &amp; " US"))=0,0,SUM(SUMIFS(Options!$AK$4:$AK$28, Options!$D$4:$D$28, B15), SUMIFS(Options!AK$4:$AK$28, Options!$D$4:$D$28, B15 &amp; " US")))</f>
        <v>-3.5256454660904282E-2</v>
      </c>
      <c r="T15" s="495">
        <f t="shared" si="6"/>
        <v>-10213795.055580139</v>
      </c>
      <c r="U15" s="496">
        <f t="shared" si="7"/>
        <v>-4.0460921605935847E-3</v>
      </c>
      <c r="V15" s="454">
        <f t="shared" si="8"/>
        <v>-3.5256454660904282E-2</v>
      </c>
      <c r="W15" s="330">
        <f t="shared" si="9"/>
        <v>629.0770676335726</v>
      </c>
      <c r="X15" s="125"/>
      <c r="Y15" s="453">
        <f>Tabelad[[#This Row],[Exp %]]*$Y$10*$AD$7/Tabelad[[#This Row],[Price Today]]</f>
        <v>-5939.0421807765961</v>
      </c>
      <c r="Z15" s="452">
        <f>Tabelad[[#This Row],[Vol 10d]]/16*Tabelad[[#This Row],[Exp %]]*100</f>
        <v>-0.56555766817095854</v>
      </c>
      <c r="AA15" s="125">
        <f>Tabelad[[#This Row],[Exp %]]*Tabelad[[#This Row],[Beta]]</f>
        <v>-4.0508899147288866E-3</v>
      </c>
      <c r="AB15" s="14">
        <f>_xll.BDP($B15&amp;" Equity","volatility_10d")</f>
        <v>22.364598559731789</v>
      </c>
      <c r="AC15" s="14">
        <f>_xll.BDP(B15&amp;" EQUITY","eqy_beta")</f>
        <v>1.0011857748031616</v>
      </c>
      <c r="AD15" s="330">
        <f>Tabelad[[#This Row],[D1 P&amp;L bps]]*$AD$5/10000</f>
        <v>0</v>
      </c>
      <c r="AE15" s="265"/>
      <c r="AF15" s="451" t="str">
        <f>_xll.BDP(B15&amp;" Equity","EXPECTED_REPORT_DT")</f>
        <v>#N/A N/A</v>
      </c>
      <c r="AG15" s="450">
        <f>_xll.BDP(B15&amp;" Index","CHG_PCT_1D_PRE_FROM_REGULAR")/100</f>
        <v>-4.6621820000000003E-4</v>
      </c>
      <c r="AH15" s="454">
        <f t="shared" si="10"/>
        <v>1.8863618041460521E-2</v>
      </c>
      <c r="AI15" s="449" t="str">
        <f>_xll.BDP(B15&amp;" Equity","DVD_EX_DT")</f>
        <v>22/12/2025</v>
      </c>
    </row>
    <row r="16" spans="1:39" s="310" customFormat="1">
      <c r="A16" s="497"/>
      <c r="B16" s="498" t="s">
        <v>573</v>
      </c>
      <c r="C16" s="310" t="s">
        <v>26</v>
      </c>
      <c r="E16" s="310" t="s">
        <v>137</v>
      </c>
      <c r="F16" s="499" t="str">
        <f t="shared" si="3"/>
        <v>Short</v>
      </c>
      <c r="G16" s="500"/>
      <c r="H16" s="501">
        <v>-15</v>
      </c>
      <c r="I16" s="121" cm="1">
        <f t="array" ref="I16">_xll.BDP(B16&amp;" Index","LAST_PRICE")</f>
        <v>24787.5</v>
      </c>
      <c r="J16" s="502">
        <f t="shared" si="4"/>
        <v>7.8730620155043063E-4</v>
      </c>
      <c r="K16" s="355">
        <f>_xll.BDP(B16&amp;" Index","PX_YEST_CLOSE")</f>
        <v>24768</v>
      </c>
      <c r="L16" s="177">
        <f>_xll.BDP(E16&amp;" Curncy","PX_LAST")</f>
        <v>1</v>
      </c>
      <c r="M16" s="503">
        <v>20</v>
      </c>
      <c r="N16" s="500">
        <f t="shared" si="5"/>
        <v>-7436250</v>
      </c>
      <c r="O16" s="504">
        <f>IFERROR(IF(Tabelad[[#This Row],[D1 Exp USD]]&lt;&gt;0,N16/$AE$7,0),"-")</f>
        <v>-2.945795628900552E-3</v>
      </c>
      <c r="P16" s="505">
        <f>IFERROR(IF(Tabelad[[#This Row],[D1 Exp USD]]&lt;&gt;0,((I16-K16)/L16*M16*H16)/$AD$7*10000,0),"-")</f>
        <v>-2.3174186490594356E-2</v>
      </c>
      <c r="Q16" s="500"/>
      <c r="R16" s="338"/>
      <c r="S16" s="505"/>
      <c r="T16" s="506">
        <f t="shared" si="6"/>
        <v>-7436250</v>
      </c>
      <c r="U16" s="507">
        <f t="shared" si="7"/>
        <v>-2.945795628900552E-3</v>
      </c>
      <c r="V16" s="505">
        <f t="shared" si="8"/>
        <v>-2.3174186490594356E-2</v>
      </c>
      <c r="W16" s="500">
        <f t="shared" si="9"/>
        <v>0.76380044084720122</v>
      </c>
      <c r="X16" s="338"/>
      <c r="Y16" s="508">
        <f>Tabelad[[#This Row],[Exp %]]*$Y$10*$AD$7/Tabelad[[#This Row],[Price Today]]</f>
        <v>-104.99999999999999</v>
      </c>
      <c r="Z16" s="509">
        <f>Tabelad[[#This Row],[Vol 10d]]/16*Tabelad[[#This Row],[Exp %]]*100</f>
        <v>-0.40814411466059747</v>
      </c>
      <c r="AA16" s="338"/>
      <c r="AB16" s="121">
        <f>_xll.BDP($B16&amp;" Index","volatility_10d")</f>
        <v>22.168224334716797</v>
      </c>
      <c r="AC16" s="121" t="str">
        <f>_xll.BDP(B16&amp;" Index","eqy_beta")</f>
        <v>#N/A Field Not Applicable</v>
      </c>
      <c r="AD16" s="500">
        <f>Tabelad[[#This Row],[D1 P&amp;L bps]]*$AD$5/10000</f>
        <v>-5493.5810117746587</v>
      </c>
      <c r="AE16" s="295"/>
      <c r="AF16" s="510" t="str">
        <f>_xll.BDP(B16&amp;" Index","EXPECTED_REPORT_DT")</f>
        <v>#N/A Field Not Applicable</v>
      </c>
      <c r="AG16" s="511" t="e">
        <f>_xll.BDP(B16&amp;" Index","CHG_PCT_1D_PRE_FROM_REGULAR")/100</f>
        <v>#VALUE!</v>
      </c>
      <c r="AH16" s="505" t="e">
        <f t="shared" si="10"/>
        <v>#VALUE!</v>
      </c>
      <c r="AI16" s="512" t="str">
        <f>_xll.BDP(B16&amp;" Index","DVD_EX_DT")</f>
        <v>#N/A Field Not Applicable</v>
      </c>
    </row>
    <row r="17" spans="1:35" s="310" customFormat="1">
      <c r="A17" s="497"/>
      <c r="B17" s="498" t="s">
        <v>573</v>
      </c>
      <c r="C17" s="310" t="s">
        <v>26</v>
      </c>
      <c r="E17" s="310" t="s">
        <v>137</v>
      </c>
      <c r="F17" s="499" t="str">
        <f t="shared" si="3"/>
        <v>Short</v>
      </c>
      <c r="G17" s="500"/>
      <c r="H17" s="501">
        <v>-50</v>
      </c>
      <c r="I17" s="121" cm="1">
        <f t="array" ref="I17">_xll.BDP(B17&amp;" Index","LAST_PRICE")</f>
        <v>24787.5</v>
      </c>
      <c r="J17" s="502">
        <f t="shared" si="4"/>
        <v>4.4505822470275458E-3</v>
      </c>
      <c r="K17" s="355">
        <v>24677.67</v>
      </c>
      <c r="L17" s="177">
        <f>_xll.BDP(E17&amp;" Curncy","PX_LAST")</f>
        <v>1</v>
      </c>
      <c r="M17" s="503">
        <v>20</v>
      </c>
      <c r="N17" s="500">
        <f t="shared" si="5"/>
        <v>-24787500</v>
      </c>
      <c r="O17" s="504">
        <f>IFERROR(IF(Tabelad[[#This Row],[D1 Exp USD]]&lt;&gt;0,N17/$AE$7,0),"-")</f>
        <v>-9.819318763001841E-3</v>
      </c>
      <c r="P17" s="505">
        <f>IFERROR(IF(Tabelad[[#This Row],[D1 Exp USD]]&lt;&gt;0,((I17-K17)/L17*M17*H17)/$AD$7*10000,0),"-")</f>
        <v>-0.43508049611316557</v>
      </c>
      <c r="Q17" s="500"/>
      <c r="R17" s="338"/>
      <c r="S17" s="505"/>
      <c r="T17" s="506">
        <f t="shared" si="6"/>
        <v>-24787500</v>
      </c>
      <c r="U17" s="507">
        <f t="shared" si="7"/>
        <v>-9.819318763001841E-3</v>
      </c>
      <c r="V17" s="505">
        <f t="shared" si="8"/>
        <v>-0.43508049611316557</v>
      </c>
      <c r="W17" s="500">
        <f t="shared" si="9"/>
        <v>0.76380044084720122</v>
      </c>
      <c r="X17" s="338"/>
      <c r="Y17" s="508">
        <f>Tabelad[[#This Row],[Exp %]]*$Y$10*$AD$7/Tabelad[[#This Row],[Price Today]]</f>
        <v>-350</v>
      </c>
      <c r="Z17" s="509">
        <f>Tabelad[[#This Row],[Vol 10d]]/16*Tabelad[[#This Row],[Exp %]]*100</f>
        <v>-1.3604803822019915</v>
      </c>
      <c r="AA17" s="338"/>
      <c r="AB17" s="121">
        <f>_xll.BDP($B17&amp;" Index","volatility_10d")</f>
        <v>22.168224334716797</v>
      </c>
      <c r="AC17" s="121" t="str">
        <f>_xll.BDP(B17&amp;" Index","eqy_beta")</f>
        <v>#N/A Field Not Applicable</v>
      </c>
      <c r="AD17" s="500">
        <f>Tabelad[[#This Row],[D1 P&amp;L bps]]*$AD$5/10000</f>
        <v>-103138.46196978126</v>
      </c>
      <c r="AE17" s="295"/>
      <c r="AF17" s="510" t="str">
        <f>_xll.BDP(B17&amp;" Index","EXPECTED_REPORT_DT")</f>
        <v>#N/A Field Not Applicable</v>
      </c>
      <c r="AG17" s="511" t="e">
        <f>_xll.BDP(B17&amp;" Index","CHG_PCT_1D_PRE_FROM_REGULAR")/100</f>
        <v>#VALUE!</v>
      </c>
      <c r="AH17" s="505" t="e">
        <f t="shared" si="10"/>
        <v>#VALUE!</v>
      </c>
      <c r="AI17" s="512" t="str">
        <f>_xll.BDP(B17&amp;" Index","DVD_EX_DT")</f>
        <v>#N/A Field Not Applicable</v>
      </c>
    </row>
    <row r="18" spans="1:35">
      <c r="B18" s="39" t="s">
        <v>807</v>
      </c>
      <c r="C18" t="s">
        <v>830</v>
      </c>
      <c r="E18" t="s">
        <v>137</v>
      </c>
      <c r="F18" s="21" t="s">
        <v>47</v>
      </c>
      <c r="G18" s="15"/>
      <c r="H18" s="362">
        <v>2000</v>
      </c>
      <c r="I18" s="35" cm="1">
        <f t="array" ref="I18">_xll.BDP(B18&amp;" Equity","LAST_PRICE")</f>
        <v>306.02</v>
      </c>
      <c r="J18" s="50">
        <f t="shared" si="4"/>
        <v>-1.0828457833662042E-2</v>
      </c>
      <c r="K18" s="355">
        <f>_xll.BDP(B18&amp;" equity","PX_YEST_CLOSE")</f>
        <v>309.37</v>
      </c>
      <c r="L18" s="52">
        <f>_xll.BDP(E18&amp;" Curncy","PX_LAST")</f>
        <v>1</v>
      </c>
      <c r="M18" s="51">
        <v>1</v>
      </c>
      <c r="N18" s="15">
        <f t="shared" si="5"/>
        <v>612040</v>
      </c>
      <c r="O18" s="284">
        <f>IFERROR(IF(Tabelad[[#This Row],[D1 Exp USD]]&lt;&gt;0,N18/$AE$7,0),"-")</f>
        <v>2.4245348888381831E-4</v>
      </c>
      <c r="P18" s="19">
        <f>IFERROR(IF(Tabelad[[#This Row],[D1 Exp USD]]&lt;&gt;0,((I18-K18)/L18*M18*H18)/$AD$7*10000,0),"-")</f>
        <v>-2.65413759806809E-2</v>
      </c>
      <c r="Q18" s="15">
        <f>IF(SUM(SUMIFS(Options!$AL$4:$AL$28, Options!$D$4:$D$28, B18), SUMIFS(Options!$AL$4:$AL$28, Options!$D$4:$D$28, B18 &amp; " US"))=0,0,SUM(SUMIFS(Options!$AL$4:$AL$28, Options!$D$4:$D$28, B18), SUMIFS(Options!$AL$4:$AL$28, Options!$D$4:$D$28, B18 &amp; " US")))</f>
        <v>0</v>
      </c>
      <c r="R18" s="18">
        <f t="shared" ref="R18:R24" si="11">Q18/$AE$7</f>
        <v>0</v>
      </c>
      <c r="S18" s="19">
        <f>IF(SUM(SUMIFS(Options!$AK$4:$AK$28, Options!$D$4:$D$28, B18), SUMIFS(Options!$AK$4:$AK$28, Options!$D$4:$D$28, B18 &amp; " US"))=0,0,SUM(SUMIFS(Options!$AK$4:$AK$28, Options!$D$4:$D$28, B18), SUMIFS(Options!AK$4:$AK$28, Options!$D$4:$D$28, B18 &amp; " US")))</f>
        <v>0</v>
      </c>
      <c r="T18" s="13">
        <f t="shared" si="6"/>
        <v>612040</v>
      </c>
      <c r="U18" s="47">
        <f t="shared" si="7"/>
        <v>2.4245348888381831E-4</v>
      </c>
      <c r="V18" s="19">
        <f t="shared" si="8"/>
        <v>-2.65413759806809E-2</v>
      </c>
      <c r="W18" s="15">
        <f t="shared" si="9"/>
        <v>1237.3507239722896</v>
      </c>
      <c r="X18" s="18"/>
      <c r="Y18" s="301">
        <f>Tabelad[[#This Row],[Exp %]]*$Y$10*$AD$7/Tabelad[[#This Row],[Price Today]]</f>
        <v>700</v>
      </c>
      <c r="Z18" s="195">
        <f>Tabelad[[#This Row],[Vol 10d]]/16*Tabelad[[#This Row],[Exp %]]*100</f>
        <v>2.3510663291660211E-2</v>
      </c>
      <c r="AA18" s="18">
        <f>Tabelad[[#This Row],[Exp %]]*Tabelad[[#This Row],[Beta]]</f>
        <v>2.4865621237368568E-4</v>
      </c>
      <c r="AB18" s="35">
        <f>_xll.BDP($B18&amp;" Equity","volatility_10d")</f>
        <v>15.515165997335728</v>
      </c>
      <c r="AC18" s="35">
        <f>_xll.BDP(B18&amp;" EQUITY","eqy_beta")</f>
        <v>1.0255831480026245</v>
      </c>
      <c r="AD18" s="15">
        <f>Tabelad[[#This Row],[D1 P&amp;L bps]]*$AD$5/10000</f>
        <v>-6291.7936374171741</v>
      </c>
      <c r="AE18" s="206"/>
      <c r="AF18" s="185" t="str">
        <f>_xll.BDP(B18&amp;" Equity","EXPECTED_REPORT_DT")</f>
        <v>24/04/2026</v>
      </c>
      <c r="AG18" s="139">
        <f>_xll.BDP(B18&amp;" Index","CHG_PCT_1D_PRE_FROM_REGULAR")/100</f>
        <v>-5.1718210000000001E-3</v>
      </c>
      <c r="AH18" s="19">
        <f t="shared" si="10"/>
        <v>-1.2539260453325983E-2</v>
      </c>
      <c r="AI18" s="361" t="str">
        <f>_xll.BDP(B18&amp;" Equity","DVD_EX_DT")</f>
        <v>09/03/2026</v>
      </c>
    </row>
    <row r="19" spans="1:35">
      <c r="B19" s="39" t="s">
        <v>29</v>
      </c>
      <c r="C19" t="s">
        <v>830</v>
      </c>
      <c r="E19" t="s">
        <v>137</v>
      </c>
      <c r="F19" s="21" t="s">
        <v>47</v>
      </c>
      <c r="G19" s="15"/>
      <c r="H19" s="362">
        <v>8100</v>
      </c>
      <c r="I19" s="35" cm="1">
        <f t="array" ref="I19">_xll.BDP(B19&amp;" Equity","LAST_PRICE")</f>
        <v>639.77</v>
      </c>
      <c r="J19" s="50">
        <f t="shared" si="4"/>
        <v>-1.5450670195903404E-2</v>
      </c>
      <c r="K19" s="355">
        <f>_xll.BDP(B19&amp;" equity","PX_YEST_CLOSE")</f>
        <v>649.80999999999995</v>
      </c>
      <c r="L19" s="52">
        <f>_xll.BDP(E19&amp;" Curncy","PX_LAST")</f>
        <v>1</v>
      </c>
      <c r="M19" s="51">
        <v>1</v>
      </c>
      <c r="N19" s="15">
        <f t="shared" si="5"/>
        <v>5182137</v>
      </c>
      <c r="O19" s="284">
        <f>IFERROR(IF(Tabelad[[#This Row],[D1 Exp USD]]&lt;&gt;0,N19/$AE$7,0),"-")</f>
        <v>2.0528514403044301E-3</v>
      </c>
      <c r="P19" s="19">
        <f>IFERROR(IF(Tabelad[[#This Row],[D1 Exp USD]]&lt;&gt;0,((I19-K19)/L19*M19*H19)/$AD$7*10000,0),"-")</f>
        <v>-0.32215684481386131</v>
      </c>
      <c r="Q19" s="15">
        <f>IF(SUM(SUMIFS(Options!$AL$4:$AL$28, Options!$D$4:$D$28, B19), SUMIFS(Options!$AL$4:$AL$28, Options!$D$4:$D$28, B19 &amp; " US"))=0,0,SUM(SUMIFS(Options!$AL$4:$AL$28, Options!$D$4:$D$28, B19), SUMIFS(Options!$AL$4:$AL$28, Options!$D$4:$D$28, B19 &amp; " US")))</f>
        <v>3199101.6604730487</v>
      </c>
      <c r="R19" s="18">
        <f>Q19/$AE$7</f>
        <v>1.2672919398661966E-3</v>
      </c>
      <c r="S19" s="19">
        <f>IF(SUM(SUMIFS(Options!$AK$4:$AK$28, Options!$D$4:$D$28, B19), SUMIFS(Options!$AK$4:$AK$28, Options!$D$4:$D$28, B19 &amp; " US"))=0,0,SUM(SUMIFS(Options!$AK$4:$AK$28, Options!$D$4:$D$28, B19), SUMIFS(Options!AK$4:$AK$28, Options!$D$4:$D$28, B19 &amp; " US")))</f>
        <v>-0.2491720222663906</v>
      </c>
      <c r="T19" s="13">
        <f t="shared" si="6"/>
        <v>8381238.6604730487</v>
      </c>
      <c r="U19" s="47">
        <f t="shared" si="7"/>
        <v>3.320143380170627E-3</v>
      </c>
      <c r="V19" s="19">
        <f t="shared" si="8"/>
        <v>-0.57132886708025188</v>
      </c>
      <c r="W19" s="15">
        <f t="shared" si="9"/>
        <v>591.85968168247973</v>
      </c>
      <c r="X19" s="18"/>
      <c r="Y19" s="301">
        <f>Tabelad[[#This Row],[Exp %]]*$Y$10*$AD$7/Tabelad[[#This Row],[Price Today]]</f>
        <v>4585.1376762986183</v>
      </c>
      <c r="Z19" s="195">
        <f>Tabelad[[#This Row],[Vol 10d]]/16*Tabelad[[#This Row],[Exp %]]*100</f>
        <v>0.57490622749003051</v>
      </c>
      <c r="AA19" s="18">
        <f>Tabelad[[#This Row],[Exp %]]*Tabelad[[#This Row],[Beta]]</f>
        <v>3.9517703120889591E-3</v>
      </c>
      <c r="AB19" s="35">
        <f>_xll.BDP($B19&amp;" Equity","volatility_10d")</f>
        <v>27.705127720622002</v>
      </c>
      <c r="AC19" s="35" cm="1">
        <f t="array" ref="AC19">_xll.BDP(B19&amp;" EQUITY","eqy_beta")</f>
        <v>1.1902408599853516</v>
      </c>
      <c r="AD19" s="15">
        <f>Tabelad[[#This Row],[D1 P&amp;L bps]]*$AD$5/10000</f>
        <v>-76369.227726762503</v>
      </c>
      <c r="AE19" s="206"/>
      <c r="AF19" s="185" t="str">
        <f>_xll.BDP(B19&amp;" Equity","EXPECTED_REPORT_DT")</f>
        <v>30/04/2026</v>
      </c>
      <c r="AG19" s="139" t="e">
        <f>_xll.BDP(B19&amp;" Index","CHG_PCT_1D_PRE_FROM_REGULAR")/100</f>
        <v>#VALUE!</v>
      </c>
      <c r="AH19" s="19" t="e">
        <f t="shared" si="10"/>
        <v>#VALUE!</v>
      </c>
      <c r="AI19" s="361" t="str">
        <f>_xll.BDP(B19&amp;" Equity","DVD_EX_DT")</f>
        <v>16/03/2026</v>
      </c>
    </row>
    <row r="20" spans="1:35">
      <c r="B20" s="39" t="s">
        <v>316</v>
      </c>
      <c r="C20" t="s">
        <v>830</v>
      </c>
      <c r="E20" t="s">
        <v>137</v>
      </c>
      <c r="F20" s="21" t="s">
        <v>48</v>
      </c>
      <c r="G20" s="15"/>
      <c r="H20" s="362"/>
      <c r="I20" s="35" cm="1">
        <f t="array" ref="I20">_xll.BDP(B20&amp;" Equity","LAST_PRICE")</f>
        <v>198.79</v>
      </c>
      <c r="J20" s="50">
        <f t="shared" si="4"/>
        <v>-4.0581162324649922E-3</v>
      </c>
      <c r="K20" s="355">
        <f>_xll.BDP(B20&amp;" equity","PX_YEST_CLOSE")</f>
        <v>199.6</v>
      </c>
      <c r="L20" s="52">
        <f>_xll.BDP(E20&amp;" Curncy","PX_LAST")</f>
        <v>1</v>
      </c>
      <c r="M20" s="51">
        <v>1</v>
      </c>
      <c r="N20" s="15">
        <f t="shared" si="5"/>
        <v>0</v>
      </c>
      <c r="O20" s="284">
        <f>IFERROR(IF(Tabelad[[#This Row],[D1 Exp USD]]&lt;&gt;0,N20/$AE$7,0),"-")</f>
        <v>0</v>
      </c>
      <c r="P20" s="19">
        <f>IFERROR(IF(Tabelad[[#This Row],[D1 Exp USD]]&lt;&gt;0,((I20-K20)/L20*M20*H20)/$AD$7*10000,0),"-")</f>
        <v>0</v>
      </c>
      <c r="Q20" s="15">
        <f>IF(SUM(SUMIFS(Options!$AL$4:$AL$28, Options!$D$4:$D$28, B20), SUMIFS(Options!$AL$4:$AL$28, Options!$D$4:$D$28, B20 &amp; " US"))=0,0,SUM(SUMIFS(Options!$AL$4:$AL$28, Options!$D$4:$D$28, B20), SUMIFS(Options!$AL$4:$AL$28, Options!$D$4:$D$28, B20 &amp; " US")))</f>
        <v>130871.79509103298</v>
      </c>
      <c r="R20" s="18">
        <f>Q20/$AE$7</f>
        <v>5.1843545056383753E-5</v>
      </c>
      <c r="S20" s="19">
        <f>IF(SUM(SUMIFS(Options!$AK$4:$AK$28, Options!$D$4:$D$28, B20), SUMIFS(Options!$AK$4:$AK$28, Options!$D$4:$D$28, B20 &amp; " US"))=0,0,SUM(SUMIFS(Options!$AK$4:$AK$28, Options!$D$4:$D$28, B20), SUMIFS(Options!AK$4:$AK$28, Options!$D$4:$D$28, B20 &amp; " US")))</f>
        <v>3.505838469089894E-2</v>
      </c>
      <c r="T20" s="13">
        <f t="shared" si="6"/>
        <v>130871.79509103298</v>
      </c>
      <c r="U20" s="47">
        <f t="shared" si="7"/>
        <v>5.1843545056383753E-5</v>
      </c>
      <c r="V20" s="19">
        <f t="shared" si="8"/>
        <v>3.505838469089894E-2</v>
      </c>
      <c r="W20" s="15">
        <f t="shared" si="9"/>
        <v>1904.7943485587809</v>
      </c>
      <c r="X20" s="18"/>
      <c r="Y20" s="301">
        <f>Tabelad[[#This Row],[Exp %]]*$Y$10*$AD$7/Tabelad[[#This Row],[Price Today]]</f>
        <v>230.41968047618866</v>
      </c>
      <c r="Z20" s="195">
        <f>Tabelad[[#This Row],[Vol 10d]]/16*Tabelad[[#This Row],[Exp %]]*100</f>
        <v>9.3606255995774875E-3</v>
      </c>
      <c r="AA20" s="18">
        <f>Tabelad[[#This Row],[Exp %]]*Tabelad[[#This Row],[Beta]]</f>
        <v>6.6098460693528915E-5</v>
      </c>
      <c r="AB20" s="35">
        <f>_xll.BDP($B20&amp;" Equity","volatility_10d")</f>
        <v>28.888844200440705</v>
      </c>
      <c r="AC20" s="35" cm="1">
        <f t="array" ref="AC20">_xll.BDP(B20&amp;" EQUITY","eqy_beta")</f>
        <v>1.2749602794647217</v>
      </c>
      <c r="AD20" s="15">
        <f>Tabelad[[#This Row],[D1 P&amp;L bps]]*$AD$5/10000</f>
        <v>0</v>
      </c>
      <c r="AE20" s="206"/>
      <c r="AF20" s="185" t="str">
        <f>_xll.BDP(B20&amp;" Equity","EXPECTED_REPORT_DT")</f>
        <v>01/05/2026</v>
      </c>
      <c r="AG20" s="139">
        <f>_xll.BDP(B20&amp;" Index","CHG_PCT_1D_PRE_FROM_REGULAR")/100</f>
        <v>-3.557148E-3</v>
      </c>
      <c r="AH20" s="19">
        <f t="shared" si="10"/>
        <v>-1.8441516261022536E-3</v>
      </c>
      <c r="AI20" s="361" t="str">
        <f>_xll.BDP(B20&amp;" Equity","DVD_EX_DT")</f>
        <v>#N/A Field Not Applicable</v>
      </c>
    </row>
    <row r="21" spans="1:35">
      <c r="B21" s="39" t="s">
        <v>982</v>
      </c>
      <c r="C21" t="s">
        <v>830</v>
      </c>
      <c r="E21" t="s">
        <v>137</v>
      </c>
      <c r="F21" s="21" t="s">
        <v>48</v>
      </c>
      <c r="G21" s="15"/>
      <c r="H21" s="362"/>
      <c r="I21" s="35" cm="1">
        <f t="array" ref="I21">_xll.BDP(B21&amp;" Equity","LAST_PRICE")</f>
        <v>76.87</v>
      </c>
      <c r="J21" s="50">
        <f t="shared" si="4"/>
        <v>1.3313999472712945E-2</v>
      </c>
      <c r="K21" s="355">
        <f>_xll.BDP(B21&amp;" equity","PX_YEST_CLOSE")</f>
        <v>75.86</v>
      </c>
      <c r="L21" s="52">
        <f>_xll.BDP(E21&amp;" Curncy","PX_LAST")</f>
        <v>1</v>
      </c>
      <c r="M21" s="51">
        <v>1</v>
      </c>
      <c r="N21" s="15">
        <f t="shared" si="5"/>
        <v>0</v>
      </c>
      <c r="O21" s="284">
        <f>IFERROR(IF(Tabelad[[#This Row],[D1 Exp USD]]&lt;&gt;0,N21/$AE$7,0),"-")</f>
        <v>0</v>
      </c>
      <c r="P21" s="19">
        <f>IFERROR(IF(Tabelad[[#This Row],[D1 Exp USD]]&lt;&gt;0,((I21-K21)/L21*M21*H21)/$AD$7*10000,0),"-")</f>
        <v>0</v>
      </c>
      <c r="Q21" s="15">
        <f>IF(SUM(SUMIFS(Options!$AL$4:$AL$28, Options!$D$4:$D$28, B21), SUMIFS(Options!$AL$4:$AL$28, Options!$D$4:$D$28, B21 &amp; " US"))=0,0,SUM(SUMIFS(Options!$AL$4:$AL$28, Options!$D$4:$D$28, B21), SUMIFS(Options!$AL$4:$AL$28, Options!$D$4:$D$28, B21 &amp; " US")))</f>
        <v>-394320.68084180349</v>
      </c>
      <c r="R21" s="18">
        <f>Q21/$AE$7</f>
        <v>-1.5620617085343748E-4</v>
      </c>
      <c r="S21" s="19">
        <f>IF(SUM(SUMIFS(Options!$AK$4:$AK$28, Options!$D$4:$D$28, B21), SUMIFS(Options!$AK$4:$AK$28, Options!$D$4:$D$28, B21 &amp; " US"))=0,0,SUM(SUMIFS(Options!$AK$4:$AK$28, Options!$D$4:$D$28, B21), SUMIFS(Options!AK$4:$AK$28, Options!$D$4:$D$28, B21 &amp; " US")))</f>
        <v>1.3270687990340377E-2</v>
      </c>
      <c r="T21" s="13">
        <f t="shared" si="6"/>
        <v>-394320.68084180349</v>
      </c>
      <c r="U21" s="47">
        <f t="shared" si="7"/>
        <v>-1.5620617085343748E-4</v>
      </c>
      <c r="V21" s="19">
        <f t="shared" si="8"/>
        <v>1.3270687990340377E-2</v>
      </c>
      <c r="W21" s="15">
        <f t="shared" si="9"/>
        <v>4925.9017633667227</v>
      </c>
      <c r="X21" s="18"/>
      <c r="Y21" s="301">
        <f>Tabelad[[#This Row],[Exp %]]*$Y$10*$AD$7/Tabelad[[#This Row],[Price Today]]</f>
        <v>-1795.3979223966594</v>
      </c>
      <c r="Z21" s="195">
        <f>Tabelad[[#This Row],[Vol 10d]]/16*Tabelad[[#This Row],[Exp %]]*100</f>
        <v>-3.7948542361993666E-2</v>
      </c>
      <c r="AA21" s="18">
        <f>Tabelad[[#This Row],[Exp %]]*Tabelad[[#This Row],[Beta]]</f>
        <v>-1.7342045210348936E-4</v>
      </c>
      <c r="AB21" s="35">
        <f>_xll.BDP($B21&amp;" Equity","volatility_10d")</f>
        <v>38.870210726923858</v>
      </c>
      <c r="AC21" s="35" cm="1">
        <f t="array" ref="AC21">_xll.BDP(B21&amp;" EQUITY","eqy_beta")</f>
        <v>1.1102023124694824</v>
      </c>
      <c r="AD21" s="15">
        <f>Tabelad[[#This Row],[D1 P&amp;L bps]]*$AD$5/10000</f>
        <v>0</v>
      </c>
      <c r="AE21" s="206"/>
      <c r="AF21" s="185" t="str">
        <f>_xll.BDP(B21&amp;" Equity","EXPECTED_REPORT_DT")</f>
        <v>17/04/2026</v>
      </c>
      <c r="AG21" s="139">
        <f>_xll.BDP(B21&amp;" Index","CHG_PCT_1D_PRE_FROM_REGULAR")/100</f>
        <v>1.3181979999999998E-3</v>
      </c>
      <c r="AH21" s="19">
        <f t="shared" si="10"/>
        <v>-2.0591066200665955E-3</v>
      </c>
      <c r="AI21" s="361" t="str">
        <f>_xll.BDP(B21&amp;" Equity","DVD_EX_DT")</f>
        <v>#N/A Field Not Applicable</v>
      </c>
    </row>
    <row r="22" spans="1:35" s="446" customFormat="1" ht="15.75" thickBot="1">
      <c r="A22" s="448"/>
      <c r="B22" s="447" t="s">
        <v>425</v>
      </c>
      <c r="C22" s="446" t="s">
        <v>796</v>
      </c>
      <c r="E22" s="446" t="s">
        <v>137</v>
      </c>
      <c r="F22" s="459" t="s">
        <v>47</v>
      </c>
      <c r="G22" s="475"/>
      <c r="H22" s="471">
        <v>38496</v>
      </c>
      <c r="I22" s="474" cm="1">
        <f t="array" ref="I22">_xll.BDP(B22&amp;" Equity","LAST_PRICE")</f>
        <v>133.97</v>
      </c>
      <c r="J22" s="469">
        <f t="shared" si="4"/>
        <v>2.4235474006116142E-2</v>
      </c>
      <c r="K22" s="473">
        <f>_xll.BDP(B22&amp;" equity","PX_YEST_CLOSE")</f>
        <v>130.80000000000001</v>
      </c>
      <c r="L22" s="468">
        <f>_xll.BDP(E22&amp;" Curncy","PX_LAST")</f>
        <v>1</v>
      </c>
      <c r="M22" s="472">
        <v>1</v>
      </c>
      <c r="N22" s="475">
        <f t="shared" si="5"/>
        <v>5157309.12</v>
      </c>
      <c r="O22" s="470">
        <f>IFERROR(IF(Tabelad[[#This Row],[D1 Exp USD]]&lt;&gt;0,N22/$AE$7,0),"-")</f>
        <v>2.043016125410651E-3</v>
      </c>
      <c r="P22" s="467">
        <f>IFERROR(IF(Tabelad[[#This Row],[D1 Exp USD]]&lt;&gt;0,((I22-K22)/L22*M22*H22)/$AD$7*10000,0),"-")</f>
        <v>0.48341875924100453</v>
      </c>
      <c r="Q22" s="475">
        <f>IF(SUM(SUMIFS(Options!$AL$4:$AL$28, Options!$D$4:$D$28, B22), SUMIFS(Options!$AL$4:$AL$28, Options!$D$4:$D$28, B22 &amp; " US"))=0,0,SUM(SUMIFS(Options!$AL$4:$AL$28, Options!$D$4:$D$28, B22), SUMIFS(Options!$AL$4:$AL$28, Options!$D$4:$D$28, B22 &amp; " US")))</f>
        <v>0</v>
      </c>
      <c r="R22" s="274">
        <f>Q22/$AE$7</f>
        <v>0</v>
      </c>
      <c r="S22" s="467">
        <f>IF(SUM(SUMIFS(Options!$AK$4:$AK$28, Options!$D$4:$D$28, B22), SUMIFS(Options!$AK$4:$AK$28, Options!$D$4:$D$28, B22 &amp; " US"))=0,0,SUM(SUMIFS(Options!$AK$4:$AK$28, Options!$D$4:$D$28, B22), SUMIFS(Options!AK$4:$AK$28, Options!$D$4:$D$28, B22 &amp; " US")))</f>
        <v>0</v>
      </c>
      <c r="T22" s="464">
        <f t="shared" si="6"/>
        <v>5157309.12</v>
      </c>
      <c r="U22" s="466">
        <f t="shared" si="7"/>
        <v>2.043016125410651E-3</v>
      </c>
      <c r="V22" s="467">
        <f t="shared" si="8"/>
        <v>0.48341875924100453</v>
      </c>
      <c r="W22" s="475">
        <f t="shared" si="9"/>
        <v>2826.4094091960887</v>
      </c>
      <c r="X22" s="274"/>
      <c r="Y22" s="463">
        <f>Tabelad[[#This Row],[Exp %]]*$Y$10*$AD$7/Tabelad[[#This Row],[Price Today]]</f>
        <v>13473.599999999999</v>
      </c>
      <c r="Z22" s="465">
        <f>Tabelad[[#This Row],[Vol 10d]]/16*Tabelad[[#This Row],[Exp %]]*100</f>
        <v>0.52654667630822938</v>
      </c>
      <c r="AA22" s="274">
        <f>Tabelad[[#This Row],[Exp %]]*Tabelad[[#This Row],[Beta]]</f>
        <v>1.8442421173168503E-3</v>
      </c>
      <c r="AB22" s="474">
        <f>_xll.BDP($B22&amp;" Equity","volatility_10d")</f>
        <v>41.236810205001568</v>
      </c>
      <c r="AC22" s="474">
        <f>_xll.BDP(B22&amp;" EQUITY","eqy_beta")</f>
        <v>0.9027056097984314</v>
      </c>
      <c r="AD22" s="475">
        <f>Tabelad[[#This Row],[D1 P&amp;L bps]]*$AD$5/10000</f>
        <v>114597.33948287286</v>
      </c>
      <c r="AE22" s="462"/>
      <c r="AF22" s="461" t="str">
        <f>_xll.BDP(B22&amp;" Equity","EXPECTED_REPORT_DT")</f>
        <v>#N/A N/A</v>
      </c>
      <c r="AG22" s="460">
        <f>_xll.BDP(B22&amp;" Index","CHG_PCT_1D_PRE_FROM_REGULAR")/100</f>
        <v>6.6513389999999992E-3</v>
      </c>
      <c r="AH22" s="467">
        <f t="shared" si="10"/>
        <v>0.13588792832572752</v>
      </c>
      <c r="AI22" s="458" t="str">
        <f>_xll.BDP(B22&amp;" Equity","DVD_EX_DT")</f>
        <v>16/12/2025</v>
      </c>
    </row>
    <row r="23" spans="1:35">
      <c r="B23" s="408" t="s">
        <v>432</v>
      </c>
      <c r="C23" s="424" t="s">
        <v>796</v>
      </c>
      <c r="D23" s="424"/>
      <c r="E23" s="424" t="s">
        <v>770</v>
      </c>
      <c r="F23" s="425" t="s">
        <v>47</v>
      </c>
      <c r="G23" s="409"/>
      <c r="H23" s="426">
        <v>1563</v>
      </c>
      <c r="I23" s="410" cm="1">
        <f t="array" ref="I23">_xll.BDP(B23&amp;" Equity","LAST_PRICE")</f>
        <v>886000</v>
      </c>
      <c r="J23" s="411">
        <f t="shared" si="4"/>
        <v>-8.9485458612975632E-3</v>
      </c>
      <c r="K23" s="412">
        <f>_xll.BDP(B23&amp;" equity","PX_YEST_CLOSE")</f>
        <v>894000</v>
      </c>
      <c r="L23" s="413">
        <f>_xll.BDP(E23&amp;" Curncy","PX_LAST")</f>
        <v>1444.1</v>
      </c>
      <c r="M23" s="414">
        <v>1</v>
      </c>
      <c r="N23" s="409">
        <f t="shared" si="5"/>
        <v>958948.82625856937</v>
      </c>
      <c r="O23" s="415">
        <f>IFERROR(IF(Tabelad[[#This Row],[D1 Exp USD]]&lt;&gt;0,N23/$AE$7,0),"-")</f>
        <v>3.7987793050688301E-4</v>
      </c>
      <c r="P23" s="416">
        <f>IFERROR(IF(Tabelad[[#This Row],[D1 Exp USD]]&lt;&gt;0,((I23-K23)/L23*M23*H23)/$AD$7*10000,0),"-")</f>
        <v>-3.4300490339221938E-2</v>
      </c>
      <c r="Q23" s="409">
        <f>IF(SUM(SUMIFS(Options!$AL$4:$AL$28, Options!$D$4:$D$28, B23), SUMIFS(Options!$AL$4:$AL$28, Options!$D$4:$D$28, B23 &amp; " US"))=0,0,SUM(SUMIFS(Options!$AL$4:$AL$28, Options!$D$4:$D$28, B23), SUMIFS(Options!$AL$4:$AL$28, Options!$D$4:$D$28, B23 &amp; " US")))</f>
        <v>0</v>
      </c>
      <c r="R23" s="417">
        <f t="shared" si="11"/>
        <v>0</v>
      </c>
      <c r="S23" s="418">
        <f>IF(SUM(SUMIFS(Options!$AK$4:$AK$28, Options!$D$4:$D$28, B23), SUMIFS(Options!$AK$4:$AK$28, Options!$D$4:$D$28, B23 &amp; " US"))=0,0,SUM(SUMIFS(Options!$AK$4:$AK$28, Options!$D$4:$D$28, B23), SUMIFS(Options!AK$4:$AK$28, Options!$D$4:$D$28, B23 &amp; " US")))</f>
        <v>0</v>
      </c>
      <c r="T23" s="427">
        <f t="shared" si="6"/>
        <v>958948.82625856937</v>
      </c>
      <c r="U23" s="406">
        <f t="shared" si="7"/>
        <v>3.7987793050688301E-4</v>
      </c>
      <c r="V23" s="403">
        <f t="shared" si="8"/>
        <v>-3.4300490339221938E-2</v>
      </c>
      <c r="W23" s="15">
        <f t="shared" si="9"/>
        <v>617.17194175288375</v>
      </c>
      <c r="X23" s="18"/>
      <c r="Y23" s="301">
        <f>Tabelad[[#This Row],[Exp %]]*$Y$10*$AD$7/Tabelad[[#This Row],[Price Today]]</f>
        <v>0.37881725642268543</v>
      </c>
      <c r="Z23" s="195">
        <f>Tabelad[[#This Row],[Vol 10d]]/16*Tabelad[[#This Row],[Exp %]]*100</f>
        <v>0.14720967832839024</v>
      </c>
      <c r="AA23" s="18">
        <f>Tabelad[[#This Row],[Exp %]]*Tabelad[[#This Row],[Beta]]</f>
        <v>6.413015649672487E-4</v>
      </c>
      <c r="AB23" s="35">
        <f>_xll.BDP($B23&amp;" Equity","volatility_10d")</f>
        <v>62.002940000000002</v>
      </c>
      <c r="AC23" s="35">
        <f>_xll.BDP(B23&amp;" EQUITY","eqy_beta")</f>
        <v>1.688178</v>
      </c>
      <c r="AD23" s="15">
        <f>Tabelad[[#This Row],[D1 P&amp;L bps]]*$AD$5/10000</f>
        <v>-8131.1386053870037</v>
      </c>
      <c r="AE23" s="206"/>
      <c r="AF23" s="185" t="str">
        <f>_xll.BDP(B23&amp;" Equity","EXPECTED_REPORT_DT")</f>
        <v>23/04/2026</v>
      </c>
      <c r="AG23" s="139" t="e">
        <f>_xll.BDP(B23&amp;" Index","CHG_PCT_1D_PRE_FROM_REGULAR")/100</f>
        <v>#VALUE!</v>
      </c>
      <c r="AH23" s="19" t="e">
        <f t="shared" si="10"/>
        <v>#VALUE!</v>
      </c>
      <c r="AI23" s="361" t="str">
        <f>_xll.BDP(B23&amp;" Equity","DVD_EX_DT")</f>
        <v>26/02/2026</v>
      </c>
    </row>
    <row r="24" spans="1:35">
      <c r="B24" s="419" t="s">
        <v>523</v>
      </c>
      <c r="C24" t="s">
        <v>796</v>
      </c>
      <c r="E24" t="s">
        <v>770</v>
      </c>
      <c r="F24" s="21" t="s">
        <v>47</v>
      </c>
      <c r="G24" s="420"/>
      <c r="H24" s="362">
        <v>1468</v>
      </c>
      <c r="I24" s="421" cm="1">
        <f t="array" ref="I24">_xll.BDP(B24&amp;" Equity","LAST_PRICE")</f>
        <v>562000</v>
      </c>
      <c r="J24" s="50">
        <f t="shared" si="4"/>
        <v>-1.2302284710017597E-2</v>
      </c>
      <c r="K24" s="355">
        <f>_xll.BDP(B24&amp;" equity","PX_YEST_CLOSE")</f>
        <v>569000</v>
      </c>
      <c r="L24" s="422">
        <f>_xll.BDP(E24&amp;" Curncy","PX_LAST")</f>
        <v>1444.1</v>
      </c>
      <c r="M24" s="51">
        <v>1</v>
      </c>
      <c r="N24" s="420">
        <f t="shared" si="5"/>
        <v>571301.15642961022</v>
      </c>
      <c r="O24" s="423">
        <f>IFERROR(IF(Tabelad[[#This Row],[D1 Exp USD]]&lt;&gt;0,N24/$AE$7,0),"-")</f>
        <v>2.2631520583576081E-4</v>
      </c>
      <c r="P24" s="19">
        <f>IFERROR(IF(Tabelad[[#This Row],[D1 Exp USD]]&lt;&gt;0,((I24-K24)/L24*M24*H24)/$AD$7*10000,0),"-")</f>
        <v>-2.8188726705521808E-2</v>
      </c>
      <c r="Q24" s="420">
        <f>IF(SUM(SUMIFS(Options!$AL$4:$AL$28, Options!$D$4:$D$28, B24), SUMIFS(Options!$AL$4:$AL$28, Options!$D$4:$D$28, B24 &amp; " US"))=0,0,SUM(SUMIFS(Options!$AL$4:$AL$28, Options!$D$4:$D$28, B24), SUMIFS(Options!$AL$4:$AL$28, Options!$D$4:$D$28, B24 &amp; " US")))</f>
        <v>0</v>
      </c>
      <c r="R24" s="139">
        <f t="shared" si="11"/>
        <v>0</v>
      </c>
      <c r="S24" s="185">
        <f>IF(SUM(SUMIFS(Options!$AK$4:$AK$28, Options!$D$4:$D$28, B24), SUMIFS(Options!$AK$4:$AK$28, Options!$D$4:$D$28, B24 &amp; " US"))=0,0,SUM(SUMIFS(Options!$AK$4:$AK$28, Options!$D$4:$D$28, B24), SUMIFS(Options!AK$4:$AK$28, Options!$D$4:$D$28, B24 &amp; " US")))</f>
        <v>0</v>
      </c>
      <c r="T24" s="428">
        <f t="shared" si="6"/>
        <v>571301.15642961022</v>
      </c>
      <c r="U24" s="407">
        <f t="shared" si="7"/>
        <v>2.2631520583576081E-4</v>
      </c>
      <c r="V24" s="404">
        <f t="shared" si="8"/>
        <v>-2.8188726705521808E-2</v>
      </c>
      <c r="W24" s="15">
        <f t="shared" si="9"/>
        <v>972.97925336842525</v>
      </c>
      <c r="X24" s="18"/>
      <c r="Y24" s="301">
        <f>Tabelad[[#This Row],[Exp %]]*$Y$10*$AD$7/Tabelad[[#This Row],[Price Today]]</f>
        <v>0.35579253514299569</v>
      </c>
      <c r="Z24" s="195">
        <f>Tabelad[[#This Row],[Vol 10d]]/16*Tabelad[[#This Row],[Exp %]]*100</f>
        <v>0.10475297755285885</v>
      </c>
      <c r="AA24" s="18">
        <f>Tabelad[[#This Row],[Exp %]]*Tabelad[[#This Row],[Beta]]</f>
        <v>4.5097061595192214E-4</v>
      </c>
      <c r="AB24" s="35">
        <f>_xll.BDP($B24&amp;" Equity","volatility_10d")</f>
        <v>74.058109999999999</v>
      </c>
      <c r="AC24" s="35">
        <f>_xll.BDP(B24&amp;" EQUITY","eqy_beta")</f>
        <v>1.992666</v>
      </c>
      <c r="AD24" s="15">
        <f>Tabelad[[#This Row],[D1 P&amp;L bps]]*$AD$5/10000</f>
        <v>-6682.3080861289882</v>
      </c>
      <c r="AE24" s="206"/>
      <c r="AF24" s="185" t="str">
        <f>_xll.BDP(B24&amp;" Equity","EXPECTED_REPORT_DT")</f>
        <v>11/03/2026</v>
      </c>
      <c r="AG24" s="139" t="e">
        <f>_xll.BDP(B24&amp;" Index","CHG_PCT_1D_PRE_FROM_REGULAR")/100</f>
        <v>#VALUE!</v>
      </c>
      <c r="AH24" s="19" t="e">
        <f t="shared" si="10"/>
        <v>#VALUE!</v>
      </c>
      <c r="AI24" s="361" t="str">
        <f>_xll.BDP(B24&amp;" Equity","DVD_EX_DT")</f>
        <v>#N/A N/A</v>
      </c>
    </row>
    <row r="25" spans="1:35">
      <c r="B25" s="419" t="s">
        <v>956</v>
      </c>
      <c r="C25" t="s">
        <v>796</v>
      </c>
      <c r="E25" t="s">
        <v>770</v>
      </c>
      <c r="F25" s="21" t="s">
        <v>47</v>
      </c>
      <c r="G25" s="420"/>
      <c r="H25" s="362">
        <v>7080</v>
      </c>
      <c r="I25" s="421" cm="1">
        <f t="array" ref="I25">_xll.BDP(B25&amp;" Equity","LAST_PRICE")</f>
        <v>182400</v>
      </c>
      <c r="J25" s="50">
        <f t="shared" si="4"/>
        <v>1.3896609227348478E-2</v>
      </c>
      <c r="K25" s="355">
        <f>_xll.BDP(B25&amp;" equity","PX_YEST_CLOSE")</f>
        <v>179900</v>
      </c>
      <c r="L25" s="422">
        <f>_xll.BDP(E25&amp;" Curncy","PX_LAST")</f>
        <v>1444.1</v>
      </c>
      <c r="M25" s="51">
        <v>1</v>
      </c>
      <c r="N25" s="420">
        <f t="shared" si="5"/>
        <v>894253.86053597403</v>
      </c>
      <c r="O25" s="423">
        <f>IFERROR(IF(Tabelad[[#This Row],[D1 Exp USD]]&lt;&gt;0,N25/$AE$7,0),"-")</f>
        <v>3.5424967066657469E-4</v>
      </c>
      <c r="P25" s="19">
        <f>IFERROR(IF(Tabelad[[#This Row],[D1 Exp USD]]&lt;&gt;0,((I25-K25)/L25*M25*H25)/$AD$7*10000,0),"-")</f>
        <v>4.8553957054080964E-2</v>
      </c>
      <c r="Q25" s="420">
        <f>IF(SUM(SUMIFS(Options!$AL$4:$AL$28, Options!$D$4:$D$28, B25), SUMIFS(Options!$AL$4:$AL$28, Options!$D$4:$D$28, B25 &amp; " US"))=0,0,SUM(SUMIFS(Options!$AL$4:$AL$28, Options!$D$4:$D$28, B25), SUMIFS(Options!$AL$4:$AL$28, Options!$D$4:$D$28, B25 &amp; " US")))</f>
        <v>0</v>
      </c>
      <c r="R25" s="139">
        <f>Q25/$AE$7</f>
        <v>0</v>
      </c>
      <c r="S25" s="185">
        <f>IF(SUM(SUMIFS(Options!$AK$4:$AK$28, Options!$D$4:$D$28, B25), SUMIFS(Options!$AK$4:$AK$28, Options!$D$4:$D$28, B25 &amp; " US"))=0,0,SUM(SUMIFS(Options!$AK$4:$AK$28, Options!$D$4:$D$28, B25), SUMIFS(Options!AK$4:$AK$28, Options!$D$4:$D$28, B25 &amp; " US")))</f>
        <v>0</v>
      </c>
      <c r="T25" s="428">
        <f t="shared" si="6"/>
        <v>894253.86053597403</v>
      </c>
      <c r="U25" s="407">
        <f t="shared" si="7"/>
        <v>3.5424967066657469E-4</v>
      </c>
      <c r="V25" s="404">
        <f t="shared" si="8"/>
        <v>4.8553957054080964E-2</v>
      </c>
      <c r="W25" s="15">
        <f t="shared" si="9"/>
        <v>2997.8856381198193</v>
      </c>
      <c r="X25" s="18"/>
      <c r="Y25" s="301">
        <f>Tabelad[[#This Row],[Exp %]]*$Y$10*$AD$7/Tabelad[[#This Row],[Price Today]]</f>
        <v>1.7159476490547747</v>
      </c>
      <c r="Z25" s="195">
        <f>Tabelad[[#This Row],[Vol 10d]]/16*Tabelad[[#This Row],[Exp %]]*100</f>
        <v>0.15392486941710246</v>
      </c>
      <c r="AA25" s="18">
        <f>Tabelad[[#This Row],[Exp %]]*Tabelad[[#This Row],[Beta]]</f>
        <v>4.0980948051457894E-4</v>
      </c>
      <c r="AB25" s="35">
        <f>_xll.BDP($B25&amp;" Equity","volatility_10d")</f>
        <v>69.521529999999998</v>
      </c>
      <c r="AC25" s="35">
        <f>_xll.BDP(B25&amp;" EQUITY","eqy_beta")</f>
        <v>1.156838</v>
      </c>
      <c r="AD25" s="15">
        <f>Tabelad[[#This Row],[D1 P&amp;L bps]]*$AD$5/10000</f>
        <v>11510.009062328054</v>
      </c>
      <c r="AE25" s="206"/>
      <c r="AF25" s="185" t="str">
        <f>_xll.BDP(B25&amp;" Equity","EXPECTED_REPORT_DT")</f>
        <v>07/04/2026</v>
      </c>
      <c r="AG25" s="139" t="e">
        <f>_xll.BDP(B25&amp;" Index","CHG_PCT_1D_PRE_FROM_REGULAR")/100</f>
        <v>#VALUE!</v>
      </c>
      <c r="AH25" s="19" t="e">
        <f t="shared" si="10"/>
        <v>#VALUE!</v>
      </c>
      <c r="AI25" s="361" t="str">
        <f>_xll.BDP(B25&amp;" Equity","DVD_EX_DT")</f>
        <v>29/12/2025</v>
      </c>
    </row>
    <row r="26" spans="1:35">
      <c r="B26" s="419" t="s">
        <v>1041</v>
      </c>
      <c r="C26" t="s">
        <v>796</v>
      </c>
      <c r="E26" t="s">
        <v>770</v>
      </c>
      <c r="F26" s="21" t="s">
        <v>47</v>
      </c>
      <c r="G26" s="420"/>
      <c r="H26" s="362">
        <v>4400</v>
      </c>
      <c r="I26" s="421" cm="1">
        <f t="array" ref="I26">_xll.BDP(B26&amp;" Equity","LAST_PRICE")</f>
        <v>127600</v>
      </c>
      <c r="J26" s="50">
        <f t="shared" si="4"/>
        <v>4.5045045045045029E-2</v>
      </c>
      <c r="K26" s="355">
        <f>_xll.BDP(B26&amp;" equity","PX_YEST_CLOSE")</f>
        <v>122100</v>
      </c>
      <c r="L26" s="422">
        <f>_xll.BDP(E26&amp;" Curncy","PX_LAST")</f>
        <v>1444.1</v>
      </c>
      <c r="M26" s="51">
        <v>1</v>
      </c>
      <c r="N26" s="420">
        <f t="shared" si="5"/>
        <v>388781.94030884287</v>
      </c>
      <c r="O26" s="423">
        <f>IFERROR(IF(Tabelad[[#This Row],[D1 Exp USD]]&lt;&gt;0,N26/$AE$7,0),"-")</f>
        <v>1.5401205451097861E-4</v>
      </c>
      <c r="P26" s="19">
        <f>IFERROR(IF(Tabelad[[#This Row],[D1 Exp USD]]&lt;&gt;0,((I26-K26)/L26*M26*H26)/$AD$7*10000,0),"-")</f>
        <v>6.6384506254732148E-2</v>
      </c>
      <c r="Q26" s="420">
        <f>IF(SUM(SUMIFS(Options!$AL$4:$AL$28, Options!$D$4:$D$28, B26), SUMIFS(Options!$AL$4:$AL$28, Options!$D$4:$D$28, B26 &amp; " US"))=0,0,SUM(SUMIFS(Options!$AL$4:$AL$28, Options!$D$4:$D$28, B26), SUMIFS(Options!$AL$4:$AL$28, Options!$D$4:$D$28, B26 &amp; " US")))</f>
        <v>0</v>
      </c>
      <c r="R26" s="139">
        <f>Q26/$AE$7</f>
        <v>0</v>
      </c>
      <c r="S26" s="185">
        <f>IF(SUM(SUMIFS(Options!$AK$4:$AK$28, Options!$D$4:$D$28, B26), SUMIFS(Options!$AK$4:$AK$28, Options!$D$4:$D$28, B26 &amp; " US"))=0,0,SUM(SUMIFS(Options!$AK$4:$AK$28, Options!$D$4:$D$28, B26), SUMIFS(Options!AK$4:$AK$28, Options!$D$4:$D$28, B26 &amp; " US")))</f>
        <v>0</v>
      </c>
      <c r="T26" s="428">
        <f t="shared" si="6"/>
        <v>388781.94030884287</v>
      </c>
      <c r="U26" s="407">
        <f t="shared" si="7"/>
        <v>1.5401205451097861E-4</v>
      </c>
      <c r="V26" s="404">
        <f t="shared" si="8"/>
        <v>6.6384506254732148E-2</v>
      </c>
      <c r="W26" s="15">
        <f t="shared" si="9"/>
        <v>4285.3788432057609</v>
      </c>
      <c r="X26" s="18"/>
      <c r="Y26" s="301">
        <f>Tabelad[[#This Row],[Exp %]]*$Y$10*$AD$7/Tabelad[[#This Row],[Price Today]]</f>
        <v>1.0664081434803683</v>
      </c>
      <c r="Z26" s="195">
        <f>Tabelad[[#This Row],[Vol 10d]]/16*Tabelad[[#This Row],[Exp %]]*100</f>
        <v>6.7092203926343755E-2</v>
      </c>
      <c r="AA26" s="18">
        <f>Tabelad[[#This Row],[Exp %]]*Tabelad[[#This Row],[Beta]]</f>
        <v>1.7360870233901001E-4</v>
      </c>
      <c r="AB26" s="35">
        <f>_xll.BDP($B26&amp;" Equity","volatility_10d")</f>
        <v>69.700729999999993</v>
      </c>
      <c r="AC26" s="35">
        <f>_xll.BDP(B26&amp;" EQUITY","eqy_beta")</f>
        <v>1.1272409999999999</v>
      </c>
      <c r="AD26" s="15">
        <f>Tabelad[[#This Row],[D1 P&amp;L bps]]*$AD$5/10000</f>
        <v>15736.848548493719</v>
      </c>
      <c r="AE26" s="206"/>
      <c r="AF26" s="185" t="str">
        <f>_xll.BDP(B26&amp;" Equity","EXPECTED_REPORT_DT")</f>
        <v>07/04/2026</v>
      </c>
      <c r="AG26" s="139" t="e">
        <f>_xll.BDP(B26&amp;" Index","CHG_PCT_1D_PRE_FROM_REGULAR")/100</f>
        <v>#VALUE!</v>
      </c>
      <c r="AH26" s="19" t="e">
        <f t="shared" si="10"/>
        <v>#VALUE!</v>
      </c>
      <c r="AI26" s="361" t="str">
        <f>_xll.BDP(B26&amp;" Equity","DVD_EX_DT")</f>
        <v>29/12/2025</v>
      </c>
    </row>
    <row r="27" spans="1:35" ht="15.75" thickBot="1">
      <c r="B27" s="429" t="s">
        <v>433</v>
      </c>
      <c r="C27" s="430" t="s">
        <v>545</v>
      </c>
      <c r="D27" s="430"/>
      <c r="E27" s="430" t="s">
        <v>1015</v>
      </c>
      <c r="F27" s="431" t="s">
        <v>47</v>
      </c>
      <c r="G27" s="432"/>
      <c r="H27" s="433">
        <v>17950</v>
      </c>
      <c r="I27" s="434" cm="1">
        <f t="array" ref="I27">_xll.BDP(B27&amp;" Equity","LAST_PRICE")</f>
        <v>1915</v>
      </c>
      <c r="J27" s="435">
        <f t="shared" si="4"/>
        <v>0</v>
      </c>
      <c r="K27" s="436">
        <f>_xll.BDP(B27&amp;" equity","PX_YEST_CLOSE")</f>
        <v>1915</v>
      </c>
      <c r="L27" s="437">
        <f>_xll.BDP(E27&amp;" Curncy","PX_LAST")</f>
        <v>31.510999999999999</v>
      </c>
      <c r="M27" s="438">
        <v>1</v>
      </c>
      <c r="N27" s="432">
        <f t="shared" si="5"/>
        <v>1090865.0947288249</v>
      </c>
      <c r="O27" s="439">
        <f>IFERROR(IF(Tabelad[[#This Row],[D1 Exp USD]]&lt;&gt;0,N27/$AE$7,0),"-")</f>
        <v>4.3213523318505416E-4</v>
      </c>
      <c r="P27" s="440">
        <f>IFERROR(IF(Tabelad[[#This Row],[D1 Exp USD]]&lt;&gt;0,((I27-K27)/L27*M27*H27)/$AD$7*10000,0),"-")</f>
        <v>0</v>
      </c>
      <c r="Q27" s="432">
        <f>IF(SUM(SUMIFS(Options!$AL$4:$AL$28, Options!$D$4:$D$28, B27), SUMIFS(Options!$AL$4:$AL$28, Options!$D$4:$D$28, B27 &amp; " US"))=0,0,SUM(SUMIFS(Options!$AL$4:$AL$28, Options!$D$4:$D$28, B27), SUMIFS(Options!$AL$4:$AL$28, Options!$D$4:$D$28, B27 &amp; " US")))</f>
        <v>0</v>
      </c>
      <c r="R27" s="441">
        <f>Q27/$AE$7</f>
        <v>0</v>
      </c>
      <c r="S27" s="444">
        <f>IF(SUM(SUMIFS(Options!$AK$4:$AK$28, Options!$D$4:$D$28, B27), SUMIFS(Options!$AK$4:$AK$28, Options!$D$4:$D$28, B27 &amp; " US"))=0,0,SUM(SUMIFS(Options!$AK$4:$AK$28, Options!$D$4:$D$28, B27), SUMIFS(Options!AK$4:$AK$28, Options!$D$4:$D$28, B27 &amp; " US")))</f>
        <v>0</v>
      </c>
      <c r="T27" s="445">
        <f t="shared" si="6"/>
        <v>1090865.0947288249</v>
      </c>
      <c r="U27" s="442">
        <f t="shared" si="7"/>
        <v>4.3213523318505416E-4</v>
      </c>
      <c r="V27" s="443">
        <f t="shared" si="8"/>
        <v>0</v>
      </c>
      <c r="W27" s="15">
        <f t="shared" si="9"/>
        <v>6230.688435550418</v>
      </c>
      <c r="X27" s="18"/>
      <c r="Y27" s="301">
        <f>Tabelad[[#This Row],[Exp %]]*$Y$10*$AD$7/Tabelad[[#This Row],[Price Today]]</f>
        <v>199.37482149090795</v>
      </c>
      <c r="Z27" s="195">
        <f>Tabelad[[#This Row],[Vol 10d]]/16*Tabelad[[#This Row],[Exp %]]*100</f>
        <v>7.7532893284500207E-2</v>
      </c>
      <c r="AA27" s="18">
        <f>Tabelad[[#This Row],[Exp %]]*Tabelad[[#This Row],[Beta]]</f>
        <v>5.4778456069573794E-4</v>
      </c>
      <c r="AB27" s="35">
        <f>_xll.BDP($B27&amp;" Equity","volatility_10d")</f>
        <v>28.706900000000001</v>
      </c>
      <c r="AC27" s="35" cm="1">
        <f t="array" ref="AC27">_xll.BDP(B27&amp;" EQUITY","eqy_beta")</f>
        <v>1.2676229999999999</v>
      </c>
      <c r="AD27" s="15">
        <f>Tabelad[[#This Row],[D1 P&amp;L bps]]*$AD$5/10000</f>
        <v>0</v>
      </c>
      <c r="AE27" s="206"/>
      <c r="AF27" s="185" t="str">
        <f>_xll.BDP(B27&amp;" Equity","EXPECTED_REPORT_DT")</f>
        <v>17/04/2026</v>
      </c>
      <c r="AG27" s="139" t="e">
        <f>_xll.BDP(B27&amp;" Index","CHG_PCT_1D_PRE_FROM_REGULAR")/100</f>
        <v>#VALUE!</v>
      </c>
      <c r="AH27" s="19" t="e">
        <f t="shared" si="10"/>
        <v>#VALUE!</v>
      </c>
      <c r="AI27" s="361" t="str">
        <f>_xll.BDP(B27&amp;" Equity","DVD_EX_DT")</f>
        <v>17/03/2026</v>
      </c>
    </row>
    <row r="28" spans="1:35">
      <c r="B28" s="39" t="s">
        <v>44</v>
      </c>
      <c r="C28" t="s">
        <v>545</v>
      </c>
      <c r="E28" t="s">
        <v>137</v>
      </c>
      <c r="F28" s="21" t="s">
        <v>47</v>
      </c>
      <c r="G28" s="15"/>
      <c r="H28" s="362">
        <v>-5000</v>
      </c>
      <c r="I28" s="35" cm="1">
        <f t="array" ref="I28">_xll.BDP(B28&amp;" Equity","LAST_PRICE")</f>
        <v>366.36</v>
      </c>
      <c r="J28" s="50">
        <f t="shared" si="4"/>
        <v>-4.7269763651182073E-3</v>
      </c>
      <c r="K28" s="355">
        <f>_xll.BDP(B28&amp;" equity","PX_YEST_CLOSE")</f>
        <v>368.1</v>
      </c>
      <c r="L28" s="52">
        <f>_xll.BDP(E28&amp;" Curncy","PX_LAST")</f>
        <v>1</v>
      </c>
      <c r="M28" s="51">
        <v>1</v>
      </c>
      <c r="N28" s="15">
        <f t="shared" si="5"/>
        <v>-1831800</v>
      </c>
      <c r="O28" s="284">
        <f>IFERROR(IF(Tabelad[[#This Row],[D1 Exp USD]]&lt;&gt;0,N28/$AE$7,0),"-")</f>
        <v>-7.2564914211061102E-4</v>
      </c>
      <c r="P28" s="19">
        <f>IFERROR(IF(Tabelad[[#This Row],[D1 Exp USD]]&lt;&gt;0,((I28-K28)/L28*M28*H28)/$AD$7*10000,0),"-")</f>
        <v>3.4464174780884101E-2</v>
      </c>
      <c r="Q28" s="15">
        <f>IF(SUM(SUMIFS(Options!$AL$4:$AL$28, Options!$D$4:$D$28, B28), SUMIFS(Options!$AL$4:$AL$28, Options!$D$4:$D$28, B28 &amp; " US"))=0,0,SUM(SUMIFS(Options!$AL$4:$AL$28, Options!$D$4:$D$28, B28), SUMIFS(Options!$AL$4:$AL$28, Options!$D$4:$D$28, B28 &amp; " US")))</f>
        <v>14405927.450412512</v>
      </c>
      <c r="R28" s="18">
        <f>Q28/$AE$7</f>
        <v>5.7067632359971291E-3</v>
      </c>
      <c r="S28" s="19">
        <f>IF(SUM(SUMIFS(Options!$AK$4:$AK$28, Options!$D$4:$D$28, B28), SUMIFS(Options!$AK$4:$AK$28, Options!$D$4:$D$28, B28 &amp; " US"))=0,0,SUM(SUMIFS(Options!$AK$4:$AK$28, Options!$D$4:$D$28, B28), SUMIFS(Options!AK$4:$AK$28, Options!$D$4:$D$28, B28 &amp; " US")))</f>
        <v>-0.18063981264463491</v>
      </c>
      <c r="T28" s="13">
        <f t="shared" si="6"/>
        <v>12574127.450412512</v>
      </c>
      <c r="U28" s="47">
        <f t="shared" si="7"/>
        <v>4.9811140938865184E-3</v>
      </c>
      <c r="V28" s="19">
        <f t="shared" si="8"/>
        <v>-0.14617563786375082</v>
      </c>
      <c r="W28" s="15">
        <f t="shared" si="9"/>
        <v>1033.5573440058959</v>
      </c>
      <c r="X28" s="18"/>
      <c r="Y28" s="301">
        <f>Tabelad[[#This Row],[Exp %]]*$Y$10*$AD$7/Tabelad[[#This Row],[Price Today]]</f>
        <v>12012.623123824596</v>
      </c>
      <c r="Z28" s="195">
        <f>Tabelad[[#This Row],[Vol 10d]]/16*Tabelad[[#This Row],[Exp %]]*100</f>
        <v>1.3476888463877754</v>
      </c>
      <c r="AA28" s="18">
        <f>Tabelad[[#This Row],[Exp %]]*Tabelad[[#This Row],[Beta]]</f>
        <v>7.236918415560057E-3</v>
      </c>
      <c r="AB28" s="35">
        <f>_xll.BDP($B28&amp;" Equity","volatility_10d")</f>
        <v>43.289555580887807</v>
      </c>
      <c r="AC28" s="35" cm="1">
        <f t="array" ref="AC28">_xll.BDP(B28&amp;" EQUITY","eqy_beta")</f>
        <v>1.4528714418411255</v>
      </c>
      <c r="AD28" s="15">
        <f>Tabelad[[#This Row],[D1 P&amp;L bps]]*$AD$5/10000</f>
        <v>8169.9409918700485</v>
      </c>
      <c r="AE28" s="206"/>
      <c r="AF28" s="185" t="str">
        <f>_xll.BDP(B28&amp;" Equity","EXPECTED_REPORT_DT")</f>
        <v>17/04/2026</v>
      </c>
      <c r="AG28" s="139" t="e">
        <f>_xll.BDP(B28&amp;" Index","CHG_PCT_1D_PRE_FROM_REGULAR")/100</f>
        <v>#VALUE!</v>
      </c>
      <c r="AH28" s="19" t="e">
        <f t="shared" si="10"/>
        <v>#VALUE!</v>
      </c>
      <c r="AI28" s="361" t="str">
        <f>_xll.BDP(B28&amp;" Equity","DVD_EX_DT")</f>
        <v>17/03/2026</v>
      </c>
    </row>
    <row r="29" spans="1:35" s="58" customFormat="1">
      <c r="A29" s="488"/>
      <c r="B29" s="349" t="s">
        <v>44</v>
      </c>
      <c r="C29" s="58" t="s">
        <v>545</v>
      </c>
      <c r="E29" s="58" t="s">
        <v>137</v>
      </c>
      <c r="F29" s="133" t="s">
        <v>47</v>
      </c>
      <c r="G29" s="330"/>
      <c r="H29" s="457">
        <v>1640</v>
      </c>
      <c r="I29" s="14" cm="1">
        <f t="array" ref="I29">_xll.BDP(B29&amp;" Equity","LAST_PRICE")</f>
        <v>366.36</v>
      </c>
      <c r="J29" s="456">
        <f t="shared" si="4"/>
        <v>-2.5320591358327649E-3</v>
      </c>
      <c r="K29" s="489">
        <v>367.29</v>
      </c>
      <c r="L29" s="8">
        <f>_xll.BDP(E29&amp;" Curncy","PX_LAST")</f>
        <v>1</v>
      </c>
      <c r="M29" s="455">
        <v>1</v>
      </c>
      <c r="N29" s="330">
        <f t="shared" si="5"/>
        <v>600830.4</v>
      </c>
      <c r="O29" s="494">
        <f>IFERROR(IF(Tabelad[[#This Row],[D1 Exp USD]]&lt;&gt;0,N29/$AE$7,0),"-")</f>
        <v>2.3801291861228044E-4</v>
      </c>
      <c r="P29" s="454">
        <f>IFERROR(IF(Tabelad[[#This Row],[D1 Exp USD]]&lt;&gt;0,((I29-K29)/L29*M29*H29)/$AD$7*10000,0),"-")</f>
        <v>-6.0419263650350044E-3</v>
      </c>
      <c r="Q29" s="330"/>
      <c r="R29" s="125"/>
      <c r="S29" s="454"/>
      <c r="T29" s="495">
        <f t="shared" si="6"/>
        <v>600830.4</v>
      </c>
      <c r="U29" s="496">
        <f t="shared" si="7"/>
        <v>2.3801291861228044E-4</v>
      </c>
      <c r="V29" s="454">
        <f t="shared" si="8"/>
        <v>-6.0419263650350044E-3</v>
      </c>
      <c r="W29" s="330">
        <f t="shared" si="9"/>
        <v>1033.5573440058959</v>
      </c>
      <c r="X29" s="125"/>
      <c r="Y29" s="453">
        <f>Tabelad[[#This Row],[Exp %]]*$Y$10*$AD$7/Tabelad[[#This Row],[Price Today]]</f>
        <v>574</v>
      </c>
      <c r="Z29" s="452">
        <f>Tabelad[[#This Row],[Vol 10d]]/16*Tabelad[[#This Row],[Exp %]]*100</f>
        <v>6.439670918272275E-2</v>
      </c>
      <c r="AA29" s="125">
        <f>Tabelad[[#This Row],[Exp %]]*Tabelad[[#This Row],[Beta]]</f>
        <v>3.4580217224103831E-4</v>
      </c>
      <c r="AB29" s="14">
        <f>_xll.BDP($B29&amp;" Equity","volatility_10d")</f>
        <v>43.289555580887807</v>
      </c>
      <c r="AC29" s="14" cm="1">
        <f t="array" ref="AC29">_xll.BDP(B29&amp;" EQUITY","eqy_beta")</f>
        <v>1.4528714418411255</v>
      </c>
      <c r="AD29" s="330">
        <f>Tabelad[[#This Row],[D1 P&amp;L bps]]*$AD$5/10000</f>
        <v>-1432.2751725057728</v>
      </c>
      <c r="AE29" s="265"/>
      <c r="AF29" s="451" t="str">
        <f>_xll.BDP(B29&amp;" Equity","EXPECTED_REPORT_DT")</f>
        <v>17/04/2026</v>
      </c>
      <c r="AG29" s="450" t="e">
        <f>_xll.BDP(B29&amp;" Index","CHG_PCT_1D_PRE_FROM_REGULAR")/100</f>
        <v>#VALUE!</v>
      </c>
      <c r="AH29" s="454" t="e">
        <f t="shared" si="10"/>
        <v>#VALUE!</v>
      </c>
      <c r="AI29" s="449" t="str">
        <f>_xll.BDP(B29&amp;" Equity","DVD_EX_DT")</f>
        <v>17/03/2026</v>
      </c>
    </row>
    <row r="30" spans="1:35">
      <c r="B30" s="39" t="s">
        <v>84</v>
      </c>
      <c r="C30" t="s">
        <v>545</v>
      </c>
      <c r="E30" t="s">
        <v>137</v>
      </c>
      <c r="F30" s="21" t="s">
        <v>47</v>
      </c>
      <c r="G30" s="15"/>
      <c r="H30" s="362">
        <v>16400</v>
      </c>
      <c r="I30" s="35" cm="1">
        <f t="array" ref="I30">_xll.BDP(B30&amp;" Equity","LAST_PRICE")</f>
        <v>325.17</v>
      </c>
      <c r="J30" s="50">
        <f t="shared" si="4"/>
        <v>-1.8117583114412583E-2</v>
      </c>
      <c r="K30" s="355">
        <f>_xll.BDP(B30&amp;" equity","PX_YEST_CLOSE")</f>
        <v>331.17</v>
      </c>
      <c r="L30" s="52">
        <f>_xll.BDP(E30&amp;" Curncy","PX_LAST")</f>
        <v>1</v>
      </c>
      <c r="M30" s="51">
        <v>1</v>
      </c>
      <c r="N30" s="15">
        <f t="shared" si="5"/>
        <v>5332788</v>
      </c>
      <c r="O30" s="284">
        <f>IFERROR(IF(Tabelad[[#This Row],[D1 Exp USD]]&lt;&gt;0,N30/$AE$7,0),"-")</f>
        <v>2.1125303184069012E-3</v>
      </c>
      <c r="P30" s="19">
        <f>IFERROR(IF(Tabelad[[#This Row],[D1 Exp USD]]&lt;&gt;0,((I30-K30)/L30*M30*H30)/$AD$7*10000,0),"-")</f>
        <v>-0.38980170096999739</v>
      </c>
      <c r="Q30" s="15">
        <f>IF(SUM(SUMIFS(Options!$AL$4:$AL$28, Options!$D$4:$D$28, B30), SUMIFS(Options!$AL$4:$AL$28, Options!$D$4:$D$28, B30 &amp; " US"))=0,0,SUM(SUMIFS(Options!$AL$4:$AL$28, Options!$D$4:$D$28, B30), SUMIFS(Options!$AL$4:$AL$28, Options!$D$4:$D$28, B30 &amp; " US")))</f>
        <v>1884638.8440620899</v>
      </c>
      <c r="R30" s="18">
        <f>Q30/$AE$7</f>
        <v>7.4658071862757352E-4</v>
      </c>
      <c r="S30" s="19">
        <f>IF(SUM(SUMIFS(Options!$AK$4:$AK$28, Options!$D$4:$D$28, B30), SUMIFS(Options!$AK$4:$AK$28, Options!$D$4:$D$28, B30 &amp; " US"))=0,0,SUM(SUMIFS(Options!$AK$4:$AK$28, Options!$D$4:$D$28, B30), SUMIFS(Options!AK$4:$AK$28, Options!$D$4:$D$28, B30 &amp; " US")))</f>
        <v>-0.18206591642866943</v>
      </c>
      <c r="T30" s="13">
        <f t="shared" si="6"/>
        <v>7217426.8440620899</v>
      </c>
      <c r="U30" s="47">
        <f t="shared" si="7"/>
        <v>2.8591110370344746E-3</v>
      </c>
      <c r="V30" s="19">
        <f t="shared" si="8"/>
        <v>-0.57186761739866676</v>
      </c>
      <c r="W30" s="15">
        <f t="shared" si="9"/>
        <v>1164.4803289048805</v>
      </c>
      <c r="X30" s="18"/>
      <c r="Y30" s="301">
        <f>Tabelad[[#This Row],[Exp %]]*$Y$10*$AD$7/Tabelad[[#This Row],[Price Today]]</f>
        <v>7768.5499751567831</v>
      </c>
      <c r="Z30" s="195">
        <f>Tabelad[[#This Row],[Vol 10d]]/16*Tabelad[[#This Row],[Exp %]]*100</f>
        <v>1.0306320616178224</v>
      </c>
      <c r="AA30" s="18">
        <f>Tabelad[[#This Row],[Exp %]]*Tabelad[[#This Row],[Beta]]</f>
        <v>5.7954240652692383E-3</v>
      </c>
      <c r="AB30" s="35">
        <f>_xll.BDP($B30&amp;" Equity","volatility_10d")</f>
        <v>57.675664821290127</v>
      </c>
      <c r="AC30" s="35">
        <f>_xll.BDP(B30&amp;" EQUITY","eqy_beta")</f>
        <v>2.0270020961761475</v>
      </c>
      <c r="AD30" s="15">
        <f>Tabelad[[#This Row],[D1 P&amp;L bps]]*$AD$5/10000</f>
        <v>-92404.849839081435</v>
      </c>
      <c r="AE30" s="206"/>
      <c r="AF30" s="185" t="str">
        <f>_xll.BDP(B30&amp;" Equity","EXPECTED_REPORT_DT")</f>
        <v>04/03/2026</v>
      </c>
      <c r="AG30" s="139">
        <f>_xll.BDP(B30&amp;" Index","CHG_PCT_1D_PRE_FROM_REGULAR")/100</f>
        <v>-3.2612170000000003E-3</v>
      </c>
      <c r="AH30" s="19">
        <f t="shared" si="10"/>
        <v>-9.3241815188644592E-2</v>
      </c>
      <c r="AI30" s="361" t="str">
        <f>_xll.BDP(B30&amp;" Equity","DVD_EX_DT")</f>
        <v>22/12/2025</v>
      </c>
    </row>
    <row r="31" spans="1:35" s="58" customFormat="1">
      <c r="A31" s="488"/>
      <c r="B31" s="349" t="s">
        <v>84</v>
      </c>
      <c r="C31" s="58" t="s">
        <v>545</v>
      </c>
      <c r="E31" s="58" t="s">
        <v>137</v>
      </c>
      <c r="F31" s="133" t="s">
        <v>47</v>
      </c>
      <c r="G31" s="330"/>
      <c r="H31" s="457">
        <v>-3650</v>
      </c>
      <c r="I31" s="14" cm="1">
        <f t="array" ref="I31">_xll.BDP(B31&amp;" Equity","LAST_PRICE")</f>
        <v>325.17</v>
      </c>
      <c r="J31" s="456">
        <f t="shared" si="4"/>
        <v>-1.0829556170717569E-2</v>
      </c>
      <c r="K31" s="599">
        <v>328.73</v>
      </c>
      <c r="L31" s="8">
        <f>_xll.BDP(E31&amp;" Curncy","PX_LAST")</f>
        <v>1</v>
      </c>
      <c r="M31" s="455">
        <v>1</v>
      </c>
      <c r="N31" s="330">
        <f t="shared" si="5"/>
        <v>-1186870.5</v>
      </c>
      <c r="O31" s="494">
        <f>IFERROR(IF(Tabelad[[#This Row],[D1 Exp USD]]&lt;&gt;0,N31/$AE$7,0),"-")</f>
        <v>-4.7016680866982858E-4</v>
      </c>
      <c r="P31" s="454">
        <f>IFERROR(IF(Tabelad[[#This Row],[D1 Exp USD]]&lt;&gt;0,((I31-K31)/L31*M31*H31)/$AD$7*10000,0),"-")</f>
        <v>5.1474423804920219E-2</v>
      </c>
      <c r="Q31" s="330"/>
      <c r="R31" s="125"/>
      <c r="S31" s="454"/>
      <c r="T31" s="495">
        <f t="shared" si="6"/>
        <v>-1186870.5</v>
      </c>
      <c r="U31" s="496">
        <f t="shared" si="7"/>
        <v>-4.7016680866982858E-4</v>
      </c>
      <c r="V31" s="454">
        <f t="shared" si="8"/>
        <v>5.1474423804920219E-2</v>
      </c>
      <c r="W31" s="330">
        <f t="shared" si="9"/>
        <v>1164.4803289048805</v>
      </c>
      <c r="X31" s="125"/>
      <c r="Y31" s="453">
        <f>Tabelad[[#This Row],[Exp %]]*$Y$10*$AD$7/Tabelad[[#This Row],[Price Today]]</f>
        <v>-1277.5</v>
      </c>
      <c r="Z31" s="452">
        <f>Tabelad[[#This Row],[Vol 10d]]/16*Tabelad[[#This Row],[Exp %]]*100</f>
        <v>-0.16948239541835422</v>
      </c>
      <c r="AA31" s="125">
        <f>Tabelad[[#This Row],[Exp %]]*Tabelad[[#This Row],[Beta]]</f>
        <v>-9.5302910672619221E-4</v>
      </c>
      <c r="AB31" s="14">
        <f>_xll.BDP($B31&amp;" Equity","volatility_10d")</f>
        <v>57.675664821290127</v>
      </c>
      <c r="AC31" s="14">
        <f>_xll.BDP(B31&amp;" EQUITY","eqy_beta")</f>
        <v>2.0270020961761475</v>
      </c>
      <c r="AD31" s="330">
        <f>Tabelad[[#This Row],[D1 P&amp;L bps]]*$AD$5/10000</f>
        <v>12202.323361880335</v>
      </c>
      <c r="AE31" s="265"/>
      <c r="AF31" s="451" t="str">
        <f>_xll.BDP(B31&amp;" Equity","EXPECTED_REPORT_DT")</f>
        <v>04/03/2026</v>
      </c>
      <c r="AG31" s="450">
        <f>_xll.BDP(B31&amp;" Index","CHG_PCT_1D_PRE_FROM_REGULAR")/100</f>
        <v>-3.2612170000000003E-3</v>
      </c>
      <c r="AH31" s="454">
        <f t="shared" si="10"/>
        <v>1.5333159892697923E-2</v>
      </c>
      <c r="AI31" s="449" t="str">
        <f>_xll.BDP(B31&amp;" Equity","DVD_EX_DT")</f>
        <v>22/12/2025</v>
      </c>
    </row>
    <row r="32" spans="1:35">
      <c r="B32" s="39" t="s">
        <v>342</v>
      </c>
      <c r="C32" t="s">
        <v>545</v>
      </c>
      <c r="E32" t="s">
        <v>137</v>
      </c>
      <c r="F32" s="21" t="s">
        <v>47</v>
      </c>
      <c r="G32" s="15"/>
      <c r="H32" s="362">
        <v>-1000</v>
      </c>
      <c r="I32" s="35" cm="1">
        <f t="array" ref="I32">_xll.BDP(B32&amp;" Equity","LAST_PRICE")</f>
        <v>46.79</v>
      </c>
      <c r="J32" s="50">
        <f t="shared" si="4"/>
        <v>6.6695352839931665E-3</v>
      </c>
      <c r="K32" s="355">
        <f>_xll.BDP(B32&amp;" equity","PX_YEST_CLOSE")</f>
        <v>46.48</v>
      </c>
      <c r="L32" s="52">
        <f>_xll.BDP(E32&amp;" Curncy","PX_LAST")</f>
        <v>1</v>
      </c>
      <c r="M32" s="51">
        <v>1</v>
      </c>
      <c r="N32" s="15">
        <f t="shared" si="5"/>
        <v>-46790</v>
      </c>
      <c r="O32" s="284">
        <f>IFERROR(IF(Tabelad[[#This Row],[D1 Exp USD]]&lt;&gt;0,N32/$AE$7,0),"-")</f>
        <v>-1.8535387793075386E-5</v>
      </c>
      <c r="P32" s="19">
        <f>IFERROR(IF(Tabelad[[#This Row],[D1 Exp USD]]&lt;&gt;0,((I32-K32)/L32*M32*H32)/$AD$7*10000,0),"-")</f>
        <v>-1.2280338140315049E-3</v>
      </c>
      <c r="Q32" s="15">
        <f>IF(SUM(SUMIFS(Options!$AL$4:$AL$28, Options!$D$4:$D$28, B32), SUMIFS(Options!$AL$4:$AL$28, Options!$D$4:$D$28, B32 &amp; " US"))=0,0,SUM(SUMIFS(Options!$AL$4:$AL$28, Options!$D$4:$D$28, B32), SUMIFS(Options!$AL$4:$AL$28, Options!$D$4:$D$28, B32 &amp; " US")))</f>
        <v>741849.28742051125</v>
      </c>
      <c r="R32" s="18">
        <f>Q32/$AE$7</f>
        <v>2.9387613221534126E-4</v>
      </c>
      <c r="S32" s="19">
        <f>IF(SUM(SUMIFS(Options!$AK$4:$AK$28, Options!$D$4:$D$28, B32), SUMIFS(Options!$AK$4:$AK$28, Options!$D$4:$D$28, B32 &amp; " US"))=0,0,SUM(SUMIFS(Options!$AK$4:$AK$28, Options!$D$4:$D$28, B32), SUMIFS(Options!AK$4:$AK$28, Options!$D$4:$D$28, B32 &amp; " US")))</f>
        <v>2.6145236040670532E-2</v>
      </c>
      <c r="T32" s="13">
        <f t="shared" si="6"/>
        <v>695059.28742051125</v>
      </c>
      <c r="U32" s="47">
        <f t="shared" si="7"/>
        <v>2.7534074442226586E-4</v>
      </c>
      <c r="V32" s="19">
        <f t="shared" si="8"/>
        <v>2.4917202226639026E-2</v>
      </c>
      <c r="W32" s="15">
        <f t="shared" si="9"/>
        <v>8092.6280946783509</v>
      </c>
      <c r="X32" s="18"/>
      <c r="Y32" s="301">
        <f>Tabelad[[#This Row],[Exp %]]*$Y$10*$AD$7/Tabelad[[#This Row],[Price Today]]</f>
        <v>5199.2039024829855</v>
      </c>
      <c r="Z32" s="195">
        <f>Tabelad[[#This Row],[Vol 10d]]/16*Tabelad[[#This Row],[Exp %]]*100</f>
        <v>9.0993638438257668E-2</v>
      </c>
      <c r="AA32" s="18">
        <f>Tabelad[[#This Row],[Exp %]]*Tabelad[[#This Row],[Beta]]</f>
        <v>4.0423623480170996E-4</v>
      </c>
      <c r="AB32" s="35">
        <f>_xll.BDP($B32&amp;" Equity","volatility_10d")</f>
        <v>52.87623588245043</v>
      </c>
      <c r="AC32" s="35">
        <f>_xll.BDP(B32&amp;" EQUITY","eqy_beta")</f>
        <v>1.4681308269500732</v>
      </c>
      <c r="AD32" s="15">
        <f>Tabelad[[#This Row],[D1 P&amp;L bps]]*$AD$5/10000</f>
        <v>-291.11283994019772</v>
      </c>
      <c r="AE32" s="206"/>
      <c r="AF32" s="185" t="str">
        <f>_xll.BDP(B32&amp;" Equity","EXPECTED_REPORT_DT")</f>
        <v>24/04/2026</v>
      </c>
      <c r="AG32" s="139" t="e">
        <f>_xll.BDP(B32&amp;" Index","CHG_PCT_1D_PRE_FROM_REGULAR")/100</f>
        <v>#VALUE!</v>
      </c>
      <c r="AH32" s="19" t="e">
        <f t="shared" si="10"/>
        <v>#VALUE!</v>
      </c>
      <c r="AI32" s="361" t="str">
        <f>_xll.BDP(B32&amp;" Equity","DVD_EX_DT")</f>
        <v>03/09/2024</v>
      </c>
    </row>
    <row r="33" spans="1:35">
      <c r="B33" s="39" t="s">
        <v>42</v>
      </c>
      <c r="C33" t="s">
        <v>545</v>
      </c>
      <c r="E33" t="s">
        <v>137</v>
      </c>
      <c r="F33" s="21" t="s">
        <v>47</v>
      </c>
      <c r="G33" s="15"/>
      <c r="H33" s="362">
        <v>52700</v>
      </c>
      <c r="I33" s="35" cm="1">
        <f t="array" ref="I33">_xll.BDP(B33&amp;" Equity","LAST_PRICE")</f>
        <v>182.81</v>
      </c>
      <c r="J33" s="50">
        <f t="shared" si="4"/>
        <v>-2.2092650048143758E-2</v>
      </c>
      <c r="K33" s="355">
        <f>_xll.BDP(B33&amp;" equity","PX_YEST_CLOSE")</f>
        <v>186.94</v>
      </c>
      <c r="L33" s="52">
        <f>_xll.BDP(E33&amp;" Curncy","PX_LAST")</f>
        <v>1</v>
      </c>
      <c r="M33" s="51">
        <v>1</v>
      </c>
      <c r="N33" s="15">
        <f t="shared" si="5"/>
        <v>9634087</v>
      </c>
      <c r="O33" s="284">
        <f>IFERROR(IF(Tabelad[[#This Row],[D1 Exp USD]]&lt;&gt;0,N33/$AE$7,0),"-")</f>
        <v>3.8164466462326618E-3</v>
      </c>
      <c r="P33" s="19">
        <f>IFERROR(IF(Tabelad[[#This Row],[D1 Exp USD]]&lt;&gt;0,((I33-K33)/L33*M33*H33)/$AD$7*10000,0),"-")</f>
        <v>-0.86220254083151227</v>
      </c>
      <c r="Q33" s="15">
        <f>IF(SUM(SUMIFS(Options!$AL$4:$AL$28, Options!$D$4:$D$28, B33), SUMIFS(Options!$AL$4:$AL$28, Options!$D$4:$D$28, B33 &amp; " US"))=0,0,SUM(SUMIFS(Options!$AL$4:$AL$28, Options!$D$4:$D$28, B33), SUMIFS(Options!$AL$4:$AL$28, Options!$D$4:$D$28, B33 &amp; " US")))</f>
        <v>3599065.9705538303</v>
      </c>
      <c r="R33" s="18">
        <f>Q33/$AE$7</f>
        <v>1.4257337776678025E-3</v>
      </c>
      <c r="S33" s="19">
        <f>IF(SUM(SUMIFS(Options!$AK$4:$AK$28, Options!$D$4:$D$28, B33), SUMIFS(Options!$AK$4:$AK$28, Options!$D$4:$D$28, B33 &amp; " US"))=0,0,SUM(SUMIFS(Options!$AK$4:$AK$28, Options!$D$4:$D$28, B33), SUMIFS(Options!AK$4:$AK$28, Options!$D$4:$D$28, B33 &amp; " US")))</f>
        <v>-0.41614500698067303</v>
      </c>
      <c r="T33" s="13">
        <f t="shared" si="6"/>
        <v>13233152.97055383</v>
      </c>
      <c r="U33" s="47">
        <f t="shared" si="7"/>
        <v>5.2421804239004641E-3</v>
      </c>
      <c r="V33" s="19">
        <f t="shared" si="8"/>
        <v>-1.2783475478121853</v>
      </c>
      <c r="W33" s="15">
        <f t="shared" si="9"/>
        <v>2071.2984440129098</v>
      </c>
      <c r="X33" s="18"/>
      <c r="Y33" s="301">
        <f>Tabelad[[#This Row],[Exp %]]*$Y$10*$AD$7/Tabelad[[#This Row],[Price Today]]</f>
        <v>25335.613695606586</v>
      </c>
      <c r="Z33" s="195">
        <f>Tabelad[[#This Row],[Vol 10d]]/16*Tabelad[[#This Row],[Exp %]]*100</f>
        <v>1.8141637692362342</v>
      </c>
      <c r="AA33" s="18">
        <f>Tabelad[[#This Row],[Exp %]]*Tabelad[[#This Row],[Beta]]</f>
        <v>9.6708294146759331E-3</v>
      </c>
      <c r="AB33" s="35">
        <f>_xll.BDP($B33&amp;" Equity","volatility_10d")</f>
        <v>55.371272944822415</v>
      </c>
      <c r="AC33" s="35" cm="1">
        <f t="array" ref="AC33">_xll.BDP(B33&amp;" EQUITY","eqy_beta")</f>
        <v>1.8448104858398438</v>
      </c>
      <c r="AD33" s="15">
        <f>Tabelad[[#This Row],[D1 P&amp;L bps]]*$AD$5/10000</f>
        <v>-204390.32492201109</v>
      </c>
      <c r="AE33" s="206"/>
      <c r="AF33" s="185" t="str">
        <f>_xll.BDP(B33&amp;" Equity","EXPECTED_REPORT_DT")</f>
        <v>25/02/2026</v>
      </c>
      <c r="AG33" s="139">
        <f>_xll.BDP(B33&amp;" Index","CHG_PCT_1D_PRE_FROM_REGULAR")/100</f>
        <v>2.1932370000000002E-3</v>
      </c>
      <c r="AH33" s="19">
        <f t="shared" si="10"/>
        <v>0.11497344066374184</v>
      </c>
      <c r="AI33" s="361" t="str">
        <f>_xll.BDP(B33&amp;" Equity","DVD_EX_DT")</f>
        <v>04/12/2025</v>
      </c>
    </row>
    <row r="34" spans="1:35" s="58" customFormat="1">
      <c r="A34" s="488"/>
      <c r="B34" s="349" t="s">
        <v>42</v>
      </c>
      <c r="C34" s="58" t="s">
        <v>545</v>
      </c>
      <c r="E34" s="58" t="s">
        <v>137</v>
      </c>
      <c r="F34" s="133" t="s">
        <v>47</v>
      </c>
      <c r="G34" s="330"/>
      <c r="H34" s="457">
        <v>3270</v>
      </c>
      <c r="I34" s="14" cm="1">
        <f t="array" ref="I34">_xll.BDP(B34&amp;" Equity","LAST_PRICE")</f>
        <v>182.81</v>
      </c>
      <c r="J34" s="456">
        <f t="shared" si="4"/>
        <v>-3.3257005779085969E-3</v>
      </c>
      <c r="K34" s="489">
        <v>183.42</v>
      </c>
      <c r="L34" s="8">
        <f>_xll.BDP(E34&amp;" Curncy","PX_LAST")</f>
        <v>1</v>
      </c>
      <c r="M34" s="455">
        <v>1</v>
      </c>
      <c r="N34" s="330">
        <f t="shared" si="5"/>
        <v>597788.69999999995</v>
      </c>
      <c r="O34" s="494">
        <f>IFERROR(IF(Tabelad[[#This Row],[D1 Exp USD]]&lt;&gt;0,N34/$AE$7,0),"-")</f>
        <v>2.3680797975675149E-4</v>
      </c>
      <c r="P34" s="454">
        <f>IFERROR(IF(Tabelad[[#This Row],[D1 Exp USD]]&lt;&gt;0,((I34-K34)/L34*M34*H34)/$AD$7*10000,0),"-")</f>
        <v>-7.9018033833824688E-3</v>
      </c>
      <c r="Q34" s="330"/>
      <c r="R34" s="125"/>
      <c r="S34" s="454"/>
      <c r="T34" s="495">
        <f t="shared" si="6"/>
        <v>597788.69999999995</v>
      </c>
      <c r="U34" s="496">
        <f t="shared" si="7"/>
        <v>2.3680797975675149E-4</v>
      </c>
      <c r="V34" s="454">
        <f t="shared" si="8"/>
        <v>-7.9018033833824688E-3</v>
      </c>
      <c r="W34" s="330">
        <f t="shared" si="9"/>
        <v>2071.2984440129098</v>
      </c>
      <c r="X34" s="125"/>
      <c r="Y34" s="453">
        <f>Tabelad[[#This Row],[Exp %]]*$Y$10*$AD$7/Tabelad[[#This Row],[Price Today]]</f>
        <v>1144.4999999999998</v>
      </c>
      <c r="Z34" s="452">
        <f>Tabelad[[#This Row],[Vol 10d]]/16*Tabelad[[#This Row],[Exp %]]*100</f>
        <v>8.195224551639417E-2</v>
      </c>
      <c r="AA34" s="125">
        <f>Tabelad[[#This Row],[Exp %]]*Tabelad[[#This Row],[Beta]]</f>
        <v>4.3686584418580458E-4</v>
      </c>
      <c r="AB34" s="14">
        <f>_xll.BDP($B34&amp;" Equity","volatility_10d")</f>
        <v>55.371272944822415</v>
      </c>
      <c r="AC34" s="14" cm="1">
        <f t="array" ref="AC34">_xll.BDP(B34&amp;" EQUITY","eqy_beta")</f>
        <v>1.8448104858398438</v>
      </c>
      <c r="AD34" s="330">
        <f>Tabelad[[#This Row],[D1 P&amp;L bps]]*$AD$5/10000</f>
        <v>-1873.1702639635291</v>
      </c>
      <c r="AE34" s="265"/>
      <c r="AF34" s="451" t="str">
        <f>_xll.BDP(B34&amp;" Equity","EXPECTED_REPORT_DT")</f>
        <v>25/02/2026</v>
      </c>
      <c r="AG34" s="450">
        <f>_xll.BDP(B34&amp;" Index","CHG_PCT_1D_PRE_FROM_REGULAR")/100</f>
        <v>2.1932370000000002E-3</v>
      </c>
      <c r="AH34" s="454">
        <f t="shared" si="10"/>
        <v>5.1937602309775838E-3</v>
      </c>
      <c r="AI34" s="449" t="str">
        <f>_xll.BDP(B34&amp;" Equity","DVD_EX_DT")</f>
        <v>04/12/2025</v>
      </c>
    </row>
    <row r="35" spans="1:35">
      <c r="B35" s="39" t="s">
        <v>85</v>
      </c>
      <c r="C35" t="s">
        <v>545</v>
      </c>
      <c r="E35" t="s">
        <v>137</v>
      </c>
      <c r="F35" s="21" t="s">
        <v>48</v>
      </c>
      <c r="G35" s="15"/>
      <c r="H35" s="362">
        <v>-5600</v>
      </c>
      <c r="I35" s="35" cm="1">
        <f t="array" ref="I35">_xll.BDP(B35&amp;" Equity","LAST_PRICE")</f>
        <v>78.61</v>
      </c>
      <c r="J35" s="50">
        <f t="shared" si="4"/>
        <v>4.85747155822569E-3</v>
      </c>
      <c r="K35" s="355">
        <f>_xll.BDP(B35&amp;" equity","PX_YEST_CLOSE")</f>
        <v>78.23</v>
      </c>
      <c r="L35" s="52">
        <f>_xll.BDP(E35&amp;" Curncy","PX_LAST")</f>
        <v>1</v>
      </c>
      <c r="M35" s="51">
        <v>1</v>
      </c>
      <c r="N35" s="15">
        <f t="shared" si="5"/>
        <v>-440216</v>
      </c>
      <c r="O35" s="284">
        <f>IFERROR(IF(Tabelad[[#This Row],[D1 Exp USD]]&lt;&gt;0,N35/$AE$7,0),"-")</f>
        <v>-1.7438713983151258E-4</v>
      </c>
      <c r="P35" s="19">
        <f>IFERROR(IF(Tabelad[[#This Row],[D1 Exp USD]]&lt;&gt;0,((I35-K35)/L35*M35*H35)/$AD$7*10000,0),"-")</f>
        <v>-8.4298579234161029E-3</v>
      </c>
      <c r="Q35" s="15">
        <f>IF(SUM(SUMIFS(Options!$AL$4:$AL$28, Options!$D$4:$D$28, B35), SUMIFS(Options!$AL$4:$AL$28, Options!$D$4:$D$28, B35 &amp; " US"))=0,0,SUM(SUMIFS(Options!$AL$4:$AL$28, Options!$D$4:$D$28, B35), SUMIFS(Options!$AL$4:$AL$28, Options!$D$4:$D$28, B35 &amp; " US")))</f>
        <v>-540004.09876741469</v>
      </c>
      <c r="R35" s="47">
        <f>Q35/$AE$7</f>
        <v>-2.1391719129096415E-4</v>
      </c>
      <c r="S35" s="19">
        <f>IF(SUM(SUMIFS(Options!$AK$4:$AK$28, Options!$D$4:$D$28, B35), SUMIFS(Options!$AK$4:$AK$28, Options!$D$4:$D$28, B35 &amp; " US"))=0,0,SUM(SUMIFS(Options!$AK$4:$AK$28, Options!$D$4:$D$28, B35), SUMIFS(Options!AK$4:$AK$28, Options!$D$4:$D$28, B35 &amp; " US")))</f>
        <v>-2.7630760815708585E-2</v>
      </c>
      <c r="T35" s="13">
        <f t="shared" si="6"/>
        <v>-980220.09876741469</v>
      </c>
      <c r="U35" s="47">
        <f t="shared" si="7"/>
        <v>-3.8830433112247673E-4</v>
      </c>
      <c r="V35" s="19">
        <f t="shared" si="8"/>
        <v>-3.6060618739124688E-2</v>
      </c>
      <c r="W35" s="15">
        <f t="shared" si="9"/>
        <v>4816.8689549675619</v>
      </c>
      <c r="X35" s="18"/>
      <c r="Y35" s="301">
        <f>Tabelad[[#This Row],[Exp %]]*$Y$10*$AD$7/Tabelad[[#This Row],[Price Today]]</f>
        <v>-4364.2925145477057</v>
      </c>
      <c r="Z35" s="195">
        <f>Tabelad[[#This Row],[Vol 10d]]/16*Tabelad[[#This Row],[Exp %]]*100</f>
        <v>-0.14328519658829517</v>
      </c>
      <c r="AA35" s="18">
        <f>Tabelad[[#This Row],[Exp %]]*Tabelad[[#This Row],[Beta]]</f>
        <v>-7.6913249406362232E-4</v>
      </c>
      <c r="AB35" s="35">
        <f>_xll.BDP($B35&amp;" Equity","volatility_10d")</f>
        <v>59.04037018555983</v>
      </c>
      <c r="AC35" s="35">
        <f>_xll.BDP(B35&amp;" EQUITY","eqy_beta")</f>
        <v>1.9807466268539429</v>
      </c>
      <c r="AD35" s="15">
        <f>Tabelad[[#This Row],[D1 P&amp;L bps]]*$AD$5/10000</f>
        <v>-1998.3487851378347</v>
      </c>
      <c r="AE35" s="206"/>
      <c r="AF35" s="185" t="str">
        <f>_xll.BDP(B35&amp;" Equity","EXPECTED_REPORT_DT")</f>
        <v>05/03/2026</v>
      </c>
      <c r="AG35" s="139">
        <f>_xll.BDP(B35&amp;" Index","CHG_PCT_1D_PRE_FROM_REGULAR")/100</f>
        <v>-3.5792710000000002E-3</v>
      </c>
      <c r="AH35" s="19">
        <f t="shared" si="10"/>
        <v>1.3898464315610787E-2</v>
      </c>
      <c r="AI35" s="361" t="str">
        <f>_xll.BDP(B35&amp;" Equity","DVD_EX_DT")</f>
        <v>09/01/2026</v>
      </c>
    </row>
    <row r="36" spans="1:35">
      <c r="B36" s="39" t="s">
        <v>728</v>
      </c>
      <c r="C36" t="s">
        <v>729</v>
      </c>
      <c r="E36" t="s">
        <v>137</v>
      </c>
      <c r="F36" s="21" t="s">
        <v>47</v>
      </c>
      <c r="G36" s="15"/>
      <c r="H36" s="362">
        <v>4000</v>
      </c>
      <c r="I36" s="35" cm="1">
        <f t="array" ref="I36">_xll.BDP(B36&amp;" Equity","LAST_PRICE")</f>
        <v>562.74</v>
      </c>
      <c r="J36" s="50">
        <f t="shared" si="4"/>
        <v>-3.5512288760154997E-2</v>
      </c>
      <c r="K36" s="355">
        <f>_xll.BDP(B36&amp;" equity","PX_YEST_CLOSE")</f>
        <v>583.46</v>
      </c>
      <c r="L36" s="52">
        <f>_xll.BDP(E36&amp;" Curncy","PX_LAST")</f>
        <v>1</v>
      </c>
      <c r="M36" s="51">
        <v>1</v>
      </c>
      <c r="N36" s="15">
        <f t="shared" si="5"/>
        <v>2250960</v>
      </c>
      <c r="O36" s="284">
        <f>IFERROR(IF(Tabelad[[#This Row],[D1 Exp USD]]&lt;&gt;0,N36/$AE$7,0),"-")</f>
        <v>8.9169515936526964E-4</v>
      </c>
      <c r="P36" s="19">
        <f>IFERROR(IF(Tabelad[[#This Row],[D1 Exp USD]]&lt;&gt;0,((I36-K36)/L36*M36*H36)/$AD$7*10000,0),"-")</f>
        <v>-0.32832078228042105</v>
      </c>
      <c r="Q36" s="15">
        <f>IF(SUM(SUMIFS(Options!$AL$4:$AL$28, Options!$D$4:$D$28, B36), SUMIFS(Options!$AL$4:$AL$28, Options!$D$4:$D$28, B36 &amp; " US"))=0,0,SUM(SUMIFS(Options!$AL$4:$AL$28, Options!$D$4:$D$28, B36), SUMIFS(Options!$AL$4:$AL$28, Options!$D$4:$D$28, B36 &amp; " US")))</f>
        <v>997668.87440979481</v>
      </c>
      <c r="R36" s="18">
        <f>Q36/$AE$7</f>
        <v>3.9521648805869995E-4</v>
      </c>
      <c r="S36" s="19">
        <f>IF(SUM(SUMIFS(Options!$AK$4:$AK$28, Options!$D$4:$D$28, B36), SUMIFS(Options!$AK$4:$AK$28, Options!$D$4:$D$28, B36 &amp; " US"))=0,0,SUM(SUMIFS(Options!$AK$4:$AK$28, Options!$D$4:$D$28, B36), SUMIFS(Options!AK$4:$AK$28, Options!$D$4:$D$28, B36 &amp; " US")))</f>
        <v>-0.11289988290289427</v>
      </c>
      <c r="T36" s="13">
        <f t="shared" si="6"/>
        <v>3248628.8744097948</v>
      </c>
      <c r="U36" s="47">
        <f t="shared" si="7"/>
        <v>1.2869116474239696E-3</v>
      </c>
      <c r="V36" s="19">
        <f t="shared" si="8"/>
        <v>-0.44122066518331532</v>
      </c>
      <c r="W36" s="15">
        <f t="shared" si="9"/>
        <v>672.87569490350791</v>
      </c>
      <c r="X36" s="18"/>
      <c r="Y36" s="301">
        <f>Tabelad[[#This Row],[Exp %]]*$Y$10*$AD$7/Tabelad[[#This Row],[Price Today]]</f>
        <v>2020.5069944262505</v>
      </c>
      <c r="Z36" s="195">
        <f>Tabelad[[#This Row],[Vol 10d]]/16*Tabelad[[#This Row],[Exp %]]*100</f>
        <v>0.57543285863883797</v>
      </c>
      <c r="AA36" s="18">
        <f>Tabelad[[#This Row],[Exp %]]*Tabelad[[#This Row],[Beta]]</f>
        <v>2.5957406283818071E-3</v>
      </c>
      <c r="AB36" s="35">
        <f>_xll.BDP($B36&amp;" Equity","volatility_10d")</f>
        <v>71.542795938253008</v>
      </c>
      <c r="AC36" s="35">
        <f>_xll.BDP(B36&amp;" EQUITY","eqy_beta")</f>
        <v>2.0170309543609619</v>
      </c>
      <c r="AD36" s="15">
        <f>Tabelad[[#This Row],[D1 P&amp;L bps]]*$AD$5/10000</f>
        <v>-77830.426368527245</v>
      </c>
      <c r="AE36" s="206"/>
      <c r="AF36" s="185" t="str">
        <f>_xll.BDP(B36&amp;" Equity","EXPECTED_REPORT_DT")</f>
        <v>06/05/2026</v>
      </c>
      <c r="AG36" s="139" t="e">
        <f>_xll.BDP(B36&amp;" Index","CHG_PCT_1D_PRE_FROM_REGULAR")/100</f>
        <v>#VALUE!</v>
      </c>
      <c r="AH36" s="19" t="e">
        <f t="shared" si="10"/>
        <v>#VALUE!</v>
      </c>
      <c r="AI36" s="361" t="str">
        <f>_xll.BDP(B36&amp;" Equity","DVD_EX_DT")</f>
        <v>#N/A N/A</v>
      </c>
    </row>
    <row r="37" spans="1:35" s="58" customFormat="1">
      <c r="A37" s="488"/>
      <c r="B37" s="349" t="s">
        <v>728</v>
      </c>
      <c r="C37" s="58" t="s">
        <v>729</v>
      </c>
      <c r="E37" s="58" t="s">
        <v>137</v>
      </c>
      <c r="F37" s="133" t="s">
        <v>47</v>
      </c>
      <c r="G37" s="330"/>
      <c r="H37" s="457">
        <v>400</v>
      </c>
      <c r="I37" s="14" cm="1">
        <f t="array" ref="I37">_xll.BDP(B37&amp;" Equity","LAST_PRICE")</f>
        <v>562.74</v>
      </c>
      <c r="J37" s="456">
        <f t="shared" si="4"/>
        <v>0</v>
      </c>
      <c r="K37" s="489">
        <f>+Tabelad[[#This Row],[Price Today]]</f>
        <v>562.74</v>
      </c>
      <c r="L37" s="8">
        <f>_xll.BDP(E37&amp;" Curncy","PX_LAST")</f>
        <v>1</v>
      </c>
      <c r="M37" s="455">
        <v>1</v>
      </c>
      <c r="N37" s="330">
        <f t="shared" si="5"/>
        <v>225096</v>
      </c>
      <c r="O37" s="494">
        <f>IFERROR(IF(Tabelad[[#This Row],[D1 Exp USD]]&lt;&gt;0,N37/$AE$7,0),"-")</f>
        <v>8.9169515936526967E-5</v>
      </c>
      <c r="P37" s="454">
        <f>IFERROR(IF(Tabelad[[#This Row],[D1 Exp USD]]&lt;&gt;0,((I37-K37)/L37*M37*H37)/$AD$7*10000,0),"-")</f>
        <v>0</v>
      </c>
      <c r="Q37" s="330"/>
      <c r="R37" s="125"/>
      <c r="S37" s="454"/>
      <c r="T37" s="495">
        <f t="shared" si="6"/>
        <v>225096</v>
      </c>
      <c r="U37" s="496">
        <f t="shared" si="7"/>
        <v>8.9169515936526967E-5</v>
      </c>
      <c r="V37" s="454">
        <f t="shared" si="8"/>
        <v>0</v>
      </c>
      <c r="W37" s="330">
        <f t="shared" si="9"/>
        <v>672.87569490350791</v>
      </c>
      <c r="X37" s="125"/>
      <c r="Y37" s="453">
        <f>Tabelad[[#This Row],[Exp %]]*$Y$10*$AD$7/Tabelad[[#This Row],[Price Today]]</f>
        <v>139.99999999999997</v>
      </c>
      <c r="Z37" s="452">
        <f>Tabelad[[#This Row],[Vol 10d]]/16*Tabelad[[#This Row],[Exp %]]*100</f>
        <v>3.9871478015998427E-2</v>
      </c>
      <c r="AA37" s="125">
        <f>Tabelad[[#This Row],[Exp %]]*Tabelad[[#This Row],[Beta]]</f>
        <v>1.7985767382935799E-4</v>
      </c>
      <c r="AB37" s="14">
        <f>_xll.BDP($B37&amp;" Equity","volatility_10d")</f>
        <v>71.542795938253008</v>
      </c>
      <c r="AC37" s="14">
        <f>_xll.BDP(B37&amp;" EQUITY","eqy_beta")</f>
        <v>2.0170309543609619</v>
      </c>
      <c r="AD37" s="330">
        <f>Tabelad[[#This Row],[D1 P&amp;L bps]]*$AD$5/10000</f>
        <v>0</v>
      </c>
      <c r="AE37" s="265"/>
      <c r="AF37" s="451" t="str">
        <f>_xll.BDP(B37&amp;" Equity","EXPECTED_REPORT_DT")</f>
        <v>06/05/2026</v>
      </c>
      <c r="AG37" s="450" t="e">
        <f>_xll.BDP(B37&amp;" Index","CHG_PCT_1D_PRE_FROM_REGULAR")/100</f>
        <v>#VALUE!</v>
      </c>
      <c r="AH37" s="454" t="e">
        <f t="shared" si="10"/>
        <v>#VALUE!</v>
      </c>
      <c r="AI37" s="449" t="str">
        <f>_xll.BDP(B37&amp;" Equity","DVD_EX_DT")</f>
        <v>#N/A N/A</v>
      </c>
    </row>
    <row r="38" spans="1:35" s="58" customFormat="1">
      <c r="A38" s="488"/>
      <c r="B38" s="349" t="s">
        <v>1052</v>
      </c>
      <c r="C38" s="58" t="s">
        <v>729</v>
      </c>
      <c r="E38" s="58" t="s">
        <v>137</v>
      </c>
      <c r="F38" s="133" t="s">
        <v>47</v>
      </c>
      <c r="G38" s="330"/>
      <c r="H38" s="457">
        <v>2880</v>
      </c>
      <c r="I38" s="14" cm="1">
        <f t="array" ref="I38">_xll.BDP(B38&amp;" Equity","LAST_PRICE")</f>
        <v>217.23</v>
      </c>
      <c r="J38" s="456">
        <f t="shared" si="4"/>
        <v>-4.9926713081714924E-3</v>
      </c>
      <c r="K38" s="489">
        <v>218.32</v>
      </c>
      <c r="L38" s="8">
        <f>_xll.BDP(E38&amp;" Curncy","PX_LAST")</f>
        <v>1</v>
      </c>
      <c r="M38" s="455">
        <v>1</v>
      </c>
      <c r="N38" s="330">
        <f t="shared" si="5"/>
        <v>625622.4</v>
      </c>
      <c r="O38" s="494">
        <f>IFERROR(IF(Tabelad[[#This Row],[D1 Exp USD]]&lt;&gt;0,N38/$AE$7,0),"-")</f>
        <v>2.4783402000501229E-4</v>
      </c>
      <c r="P38" s="454">
        <f>IFERROR(IF(Tabelad[[#This Row],[D1 Exp USD]]&lt;&gt;0,((I38-K38)/L38*M38*H38)/$AD$7*10000,0),"-")</f>
        <v>-1.2435624996798981E-2</v>
      </c>
      <c r="Q38" s="330">
        <f>IF(SUM(SUMIFS(Options!$AL$4:$AL$28, Options!$D$4:$D$28, B38), SUMIFS(Options!$AL$4:$AL$28, Options!$D$4:$D$28, B38 &amp; " US"))=0,0,SUM(SUMIFS(Options!$AL$4:$AL$28, Options!$D$4:$D$28, B38), SUMIFS(Options!$AL$4:$AL$28, Options!$D$4:$D$28, B38 &amp; " US")))</f>
        <v>0</v>
      </c>
      <c r="R38" s="125">
        <f>Q38/$AE$7</f>
        <v>0</v>
      </c>
      <c r="S38" s="454">
        <f>IF(SUM(SUMIFS(Options!$AK$4:$AK$28, Options!$D$4:$D$28, B38), SUMIFS(Options!$AK$4:$AK$28, Options!$D$4:$D$28, B38 &amp; " US"))=0,0,SUM(SUMIFS(Options!$AK$4:$AK$28, Options!$D$4:$D$28, B38), SUMIFS(Options!AK$4:$AK$28, Options!$D$4:$D$28, B38 &amp; " US")))</f>
        <v>0</v>
      </c>
      <c r="T38" s="495">
        <f t="shared" si="6"/>
        <v>625622.4</v>
      </c>
      <c r="U38" s="496">
        <f t="shared" si="7"/>
        <v>2.4783402000501229E-4</v>
      </c>
      <c r="V38" s="454">
        <f t="shared" si="8"/>
        <v>-1.2435624996798981E-2</v>
      </c>
      <c r="W38" s="330">
        <f t="shared" si="9"/>
        <v>1743.1020970860379</v>
      </c>
      <c r="X38" s="125"/>
      <c r="Y38" s="453">
        <f>Tabelad[[#This Row],[Exp %]]*$Y$10*$AD$7/Tabelad[[#This Row],[Price Today]]</f>
        <v>1008</v>
      </c>
      <c r="Z38" s="452">
        <f>Tabelad[[#This Row],[Vol 10d]]/16*Tabelad[[#This Row],[Exp %]]*100</f>
        <v>0.13694564532347892</v>
      </c>
      <c r="AA38" s="125">
        <f>Tabelad[[#This Row],[Exp %]]*Tabelad[[#This Row],[Beta]]</f>
        <v>5.3887577998845367E-4</v>
      </c>
      <c r="AB38" s="14">
        <f>_xll.BDP($B38&amp;" Equity","volatility_10d")</f>
        <v>88.411200574132167</v>
      </c>
      <c r="AC38" s="14">
        <f>_xll.BDP(B38&amp;" EQUITY","eqy_beta")</f>
        <v>2.1743414402008057</v>
      </c>
      <c r="AD38" s="330">
        <f>Tabelad[[#This Row],[D1 P&amp;L bps]]*$AD$5/10000</f>
        <v>-2947.9400875492415</v>
      </c>
      <c r="AE38" s="265"/>
      <c r="AF38" s="451" t="str">
        <f>_xll.BDP(B38&amp;" Equity","EXPECTED_REPORT_DT")</f>
        <v>07/05/2026</v>
      </c>
      <c r="AG38" s="450">
        <f>_xll.BDP(B38&amp;" Index","CHG_PCT_1D_PRE_FROM_REGULAR")/100</f>
        <v>2.1888000000000001E-2</v>
      </c>
      <c r="AH38" s="454">
        <f t="shared" si="10"/>
        <v>5.4245910298697096E-2</v>
      </c>
      <c r="AI38" s="449" t="str">
        <f>_xll.BDP(B38&amp;" Equity","DVD_EX_DT")</f>
        <v>27/02/2004</v>
      </c>
    </row>
    <row r="39" spans="1:35">
      <c r="B39" s="39" t="s">
        <v>1079</v>
      </c>
      <c r="C39" t="s">
        <v>729</v>
      </c>
      <c r="E39" t="s">
        <v>137</v>
      </c>
      <c r="F39" s="21" t="s">
        <v>47</v>
      </c>
      <c r="G39" s="15"/>
      <c r="H39" s="362">
        <v>8000</v>
      </c>
      <c r="I39" s="35" cm="1">
        <f t="array" ref="I39">_xll.BDP(B39&amp;" Equity","LAST_PRICE")</f>
        <v>111.76</v>
      </c>
      <c r="J39" s="50">
        <f t="shared" si="4"/>
        <v>6.8349106203995813E-2</v>
      </c>
      <c r="K39" s="355">
        <f>_xll.BDP(B39&amp;" equity","PX_YEST_CLOSE")</f>
        <v>104.61</v>
      </c>
      <c r="L39" s="52">
        <f>_xll.BDP(E39&amp;" Curncy","PX_LAST")</f>
        <v>1</v>
      </c>
      <c r="M39" s="51">
        <v>1</v>
      </c>
      <c r="N39" s="15">
        <f t="shared" si="5"/>
        <v>894080</v>
      </c>
      <c r="O39" s="284">
        <f>IFERROR(IF(Tabelad[[#This Row],[D1 Exp USD]]&lt;&gt;0,N39/$AE$7,0),"-")</f>
        <v>3.5418079756428382E-4</v>
      </c>
      <c r="P39" s="19">
        <f>IFERROR(IF(Tabelad[[#This Row],[D1 Exp USD]]&lt;&gt;0,((I39-K39)/L39*M39*H39)/$AD$7*10000,0),"-")</f>
        <v>0.22659204568581168</v>
      </c>
      <c r="Q39" s="15">
        <f>IF(SUM(SUMIFS(Options!$AL$4:$AL$28, Options!$D$4:$D$28, B39), SUMIFS(Options!$AL$4:$AL$28, Options!$D$4:$D$28, B39 &amp; " US"))=0,0,SUM(SUMIFS(Options!$AL$4:$AL$28, Options!$D$4:$D$28, B39), SUMIFS(Options!$AL$4:$AL$28, Options!$D$4:$D$28, B39 &amp; " US")))</f>
        <v>0</v>
      </c>
      <c r="R39" s="18">
        <f>Q39/$AE$7</f>
        <v>0</v>
      </c>
      <c r="S39" s="19">
        <f>IF(SUM(SUMIFS(Options!$AK$4:$AK$28, Options!$D$4:$D$28, B39), SUMIFS(Options!$AK$4:$AK$28, Options!$D$4:$D$28, B39 &amp; " US"))=0,0,SUM(SUMIFS(Options!$AK$4:$AK$28, Options!$D$4:$D$28, B39), SUMIFS(Options!AK$4:$AK$28, Options!$D$4:$D$28, B39 &amp; " US")))</f>
        <v>0</v>
      </c>
      <c r="T39" s="13">
        <f t="shared" si="6"/>
        <v>894080</v>
      </c>
      <c r="U39" s="47">
        <f t="shared" si="7"/>
        <v>3.5418079756428382E-4</v>
      </c>
      <c r="V39" s="19">
        <f t="shared" si="8"/>
        <v>0.22659204568581168</v>
      </c>
      <c r="W39" s="15">
        <f t="shared" si="9"/>
        <v>3388.1001122942021</v>
      </c>
      <c r="X39" s="18"/>
      <c r="Y39" s="301">
        <f>Tabelad[[#This Row],[Exp %]]*$Y$10*$AD$7/Tabelad[[#This Row],[Price Today]]</f>
        <v>2799.9999999999995</v>
      </c>
      <c r="Z39" s="195">
        <f>Tabelad[[#This Row],[Vol 10d]]/16*Tabelad[[#This Row],[Exp %]]*100</f>
        <v>0.15915726997593069</v>
      </c>
      <c r="AA39" s="18">
        <f>Tabelad[[#This Row],[Exp %]]*Tabelad[[#This Row],[Beta]]</f>
        <v>2.5750337229530062E-4</v>
      </c>
      <c r="AB39" s="35">
        <f>_xll.BDP($B39&amp;" Equity","volatility_10d")</f>
        <v>71.898768570385243</v>
      </c>
      <c r="AC39" s="35">
        <f>_xll.BDP(B39&amp;" EQUITY","eqy_beta")</f>
        <v>0.72703933715820313</v>
      </c>
      <c r="AD39" s="15">
        <f>Tabelad[[#This Row],[D1 P&amp;L bps]]*$AD$5/10000</f>
        <v>53715.014337352266</v>
      </c>
      <c r="AE39" s="206"/>
      <c r="AF39" s="185" t="str">
        <f>_xll.BDP(B39&amp;" Equity","EXPECTED_REPORT_DT")</f>
        <v>19/02/2026</v>
      </c>
      <c r="AG39" s="139">
        <f>_xll.BDP(B39&amp;" Index","CHG_PCT_1D_PRE_FROM_REGULAR")/100</f>
        <v>-1.0515310000000001E-3</v>
      </c>
      <c r="AH39" s="19">
        <f t="shared" si="10"/>
        <v>-3.7243208824356893E-3</v>
      </c>
      <c r="AI39" s="361" t="str">
        <f>_xll.BDP(B39&amp;" Equity","DVD_EX_DT")</f>
        <v>#N/A Field Not Applicable</v>
      </c>
    </row>
    <row r="40" spans="1:35" s="58" customFormat="1">
      <c r="A40" s="488"/>
      <c r="B40" s="349" t="s">
        <v>1079</v>
      </c>
      <c r="C40" s="58" t="s">
        <v>729</v>
      </c>
      <c r="E40" s="58" t="s">
        <v>137</v>
      </c>
      <c r="F40" s="133" t="s">
        <v>47</v>
      </c>
      <c r="G40" s="330"/>
      <c r="H40" s="457">
        <v>5268</v>
      </c>
      <c r="I40" s="14" cm="1">
        <f t="array" ref="I40">_xll.BDP(B40&amp;" Equity","LAST_PRICE")</f>
        <v>111.76</v>
      </c>
      <c r="J40" s="456">
        <f t="shared" si="4"/>
        <v>0</v>
      </c>
      <c r="K40" s="489">
        <f>+Tabelad[[#This Row],[Price Today]]</f>
        <v>111.76</v>
      </c>
      <c r="L40" s="8">
        <f>_xll.BDP(E40&amp;" Curncy","PX_LAST")</f>
        <v>1</v>
      </c>
      <c r="M40" s="455">
        <v>1</v>
      </c>
      <c r="N40" s="330">
        <f t="shared" si="5"/>
        <v>588751.68000000005</v>
      </c>
      <c r="O40" s="494">
        <f>IFERROR(IF(Tabelad[[#This Row],[D1 Exp USD]]&lt;&gt;0,N40/$AE$7,0),"-")</f>
        <v>2.3322805519608093E-4</v>
      </c>
      <c r="P40" s="454">
        <f>IFERROR(IF(Tabelad[[#This Row],[D1 Exp USD]]&lt;&gt;0,((I40-K40)/L40*M40*H40)/$AD$7*10000,0),"-")</f>
        <v>0</v>
      </c>
      <c r="Q40" s="330">
        <f>IF(SUM(SUMIFS(Options!$AL$4:$AL$28, Options!$D$4:$D$28, B40), SUMIFS(Options!$AL$4:$AL$28, Options!$D$4:$D$28, B40 &amp; " US"))=0,0,SUM(SUMIFS(Options!$AL$4:$AL$28, Options!$D$4:$D$28, B40), SUMIFS(Options!$AL$4:$AL$28, Options!$D$4:$D$28, B40 &amp; " US")))</f>
        <v>0</v>
      </c>
      <c r="R40" s="125">
        <f>Q40/$AE$7</f>
        <v>0</v>
      </c>
      <c r="S40" s="454">
        <f>IF(SUM(SUMIFS(Options!$AK$4:$AK$28, Options!$D$4:$D$28, B40), SUMIFS(Options!$AK$4:$AK$28, Options!$D$4:$D$28, B40 &amp; " US"))=0,0,SUM(SUMIFS(Options!$AK$4:$AK$28, Options!$D$4:$D$28, B40), SUMIFS(Options!AK$4:$AK$28, Options!$D$4:$D$28, B40 &amp; " US")))</f>
        <v>0</v>
      </c>
      <c r="T40" s="495">
        <f t="shared" si="6"/>
        <v>588751.68000000005</v>
      </c>
      <c r="U40" s="496">
        <f t="shared" si="7"/>
        <v>2.3322805519608093E-4</v>
      </c>
      <c r="V40" s="454">
        <f t="shared" si="8"/>
        <v>0</v>
      </c>
      <c r="W40" s="330">
        <f t="shared" si="9"/>
        <v>3388.1001122942021</v>
      </c>
      <c r="X40" s="125"/>
      <c r="Y40" s="453">
        <f>Tabelad[[#This Row],[Exp %]]*$Y$10*$AD$7/Tabelad[[#This Row],[Price Today]]</f>
        <v>1843.8000000000002</v>
      </c>
      <c r="Z40" s="452">
        <f>Tabelad[[#This Row],[Vol 10d]]/16*Tabelad[[#This Row],[Exp %]]*100</f>
        <v>0.10480506227915037</v>
      </c>
      <c r="AA40" s="125">
        <f>Tabelad[[#This Row],[Exp %]]*Tabelad[[#This Row],[Beta]]</f>
        <v>1.6956597065645549E-4</v>
      </c>
      <c r="AB40" s="14">
        <f>_xll.BDP($B40&amp;" Equity","volatility_10d")</f>
        <v>71.898768570385243</v>
      </c>
      <c r="AC40" s="14">
        <f>_xll.BDP(B40&amp;" EQUITY","eqy_beta")</f>
        <v>0.72703933715820313</v>
      </c>
      <c r="AD40" s="330">
        <f>Tabelad[[#This Row],[D1 P&amp;L bps]]*$AD$5/10000</f>
        <v>0</v>
      </c>
      <c r="AE40" s="265"/>
      <c r="AF40" s="451" t="str">
        <f>_xll.BDP(B40&amp;" Equity","EXPECTED_REPORT_DT")</f>
        <v>19/02/2026</v>
      </c>
      <c r="AG40" s="450">
        <f>_xll.BDP(B40&amp;" Index","CHG_PCT_1D_PRE_FROM_REGULAR")/100</f>
        <v>-1.0515310000000001E-3</v>
      </c>
      <c r="AH40" s="454">
        <f t="shared" si="10"/>
        <v>-2.4524653010839018E-3</v>
      </c>
      <c r="AI40" s="449" t="str">
        <f>_xll.BDP(B40&amp;" Equity","DVD_EX_DT")</f>
        <v>#N/A Field Not Applicable</v>
      </c>
    </row>
    <row r="41" spans="1:35">
      <c r="B41" s="39" t="s">
        <v>892</v>
      </c>
      <c r="C41" t="s">
        <v>729</v>
      </c>
      <c r="E41" t="s">
        <v>137</v>
      </c>
      <c r="F41" s="21" t="s">
        <v>47</v>
      </c>
      <c r="G41" s="15"/>
      <c r="H41" s="362">
        <v>30560</v>
      </c>
      <c r="I41" s="35" cm="1">
        <f t="array" ref="I41">_xll.BDP(B41&amp;" Equity","LAST_PRICE")</f>
        <v>76.849999999999994</v>
      </c>
      <c r="J41" s="50">
        <f t="shared" si="4"/>
        <v>2.4666666666666615E-2</v>
      </c>
      <c r="K41" s="355">
        <f>_xll.BDP(B41&amp;" equity","PX_YEST_CLOSE")</f>
        <v>75</v>
      </c>
      <c r="L41" s="52">
        <f>_xll.BDP(E41&amp;" Curncy","PX_LAST")</f>
        <v>1</v>
      </c>
      <c r="M41" s="51">
        <v>1</v>
      </c>
      <c r="N41" s="15">
        <f t="shared" si="5"/>
        <v>2348536</v>
      </c>
      <c r="O41" s="284">
        <f>IFERROR(IF(Tabelad[[#This Row],[D1 Exp USD]]&lt;&gt;0,N41/$AE$7,0),"-")</f>
        <v>9.3034891015170108E-4</v>
      </c>
      <c r="P41" s="19">
        <f>IFERROR(IF(Tabelad[[#This Row],[D1 Exp USD]]&lt;&gt;0,((I41-K41)/L41*M41*H41)/$AD$7*10000,0),"-")</f>
        <v>0.22396167648414333</v>
      </c>
      <c r="Q41" s="15">
        <f>IF(SUM(SUMIFS(Options!$AL$4:$AL$28, Options!$D$4:$D$28, B41), SUMIFS(Options!$AL$4:$AL$28, Options!$D$4:$D$28, B41 &amp; " US"))=0,0,SUM(SUMIFS(Options!$AL$4:$AL$28, Options!$D$4:$D$28, B41), SUMIFS(Options!$AL$4:$AL$28, Options!$D$4:$D$28, B41 &amp; " US")))</f>
        <v>-189703.20205204183</v>
      </c>
      <c r="R41" s="18">
        <f>Q41/$AE$7</f>
        <v>-7.5149015080631102E-5</v>
      </c>
      <c r="S41" s="19">
        <f>IF(SUM(SUMIFS(Options!$AK$4:$AK$28, Options!$D$4:$D$28, B41), SUMIFS(Options!$AK$4:$AK$28, Options!$D$4:$D$28, B41 &amp; " US"))=0,0,SUM(SUMIFS(Options!$AK$4:$AK$28, Options!$D$4:$D$28, B41), SUMIFS(Options!AK$4:$AK$28, Options!$D$4:$D$28, B41 &amp; " US")))</f>
        <v>7.5610319227877205E-4</v>
      </c>
      <c r="T41" s="13">
        <f t="shared" si="6"/>
        <v>2158832.7979479581</v>
      </c>
      <c r="U41" s="47">
        <f t="shared" si="7"/>
        <v>8.5519989507106995E-4</v>
      </c>
      <c r="V41" s="19">
        <f t="shared" si="8"/>
        <v>0.22471777967642212</v>
      </c>
      <c r="W41" s="15">
        <f t="shared" si="9"/>
        <v>4927.1837156798965</v>
      </c>
      <c r="X41" s="18"/>
      <c r="Y41" s="301">
        <f>Tabelad[[#This Row],[Exp %]]*$Y$10*$AD$7/Tabelad[[#This Row],[Price Today]]</f>
        <v>9832.0296588391066</v>
      </c>
      <c r="Z41" s="195">
        <f>Tabelad[[#This Row],[Vol 10d]]/16*Tabelad[[#This Row],[Exp %]]*100</f>
        <v>0.4396012629696715</v>
      </c>
      <c r="AA41" s="18">
        <f>Tabelad[[#This Row],[Exp %]]*Tabelad[[#This Row],[Beta]]</f>
        <v>7.9103493593139763E-4</v>
      </c>
      <c r="AB41" s="35">
        <f>_xll.BDP($B41&amp;" Equity","volatility_10d")</f>
        <v>82.245335249137597</v>
      </c>
      <c r="AC41" s="35">
        <f>_xll.BDP(B41&amp;" EQUITY","eqy_beta")</f>
        <v>0.92497080564498901</v>
      </c>
      <c r="AD41" s="15">
        <f>Tabelad[[#This Row],[D1 P&amp;L bps]]*$AD$5/10000</f>
        <v>53091.469415673695</v>
      </c>
      <c r="AE41" s="206"/>
      <c r="AF41" s="185" t="str">
        <f>_xll.BDP(B41&amp;" Equity","EXPECTED_REPORT_DT")</f>
        <v>14/05/2026</v>
      </c>
      <c r="AG41" s="139">
        <f>_xll.BDP(B41&amp;" Index","CHG_PCT_1D_PRE_FROM_REGULAR")/100</f>
        <v>-1.0133360000000001E-2</v>
      </c>
      <c r="AH41" s="19">
        <f t="shared" si="10"/>
        <v>-8.6660484087173778E-2</v>
      </c>
      <c r="AI41" s="361" t="str">
        <f>_xll.BDP(B41&amp;" Equity","DVD_EX_DT")</f>
        <v>02/04/2026</v>
      </c>
    </row>
    <row r="42" spans="1:35" s="58" customFormat="1">
      <c r="A42" s="488"/>
      <c r="B42" s="349" t="s">
        <v>892</v>
      </c>
      <c r="C42" s="58" t="s">
        <v>729</v>
      </c>
      <c r="E42" s="58" t="s">
        <v>137</v>
      </c>
      <c r="F42" s="133" t="s">
        <v>47</v>
      </c>
      <c r="G42" s="330"/>
      <c r="H42" s="457">
        <v>4550</v>
      </c>
      <c r="I42" s="14" cm="1">
        <f t="array" ref="I42">_xll.BDP(B42&amp;" Equity","LAST_PRICE")</f>
        <v>76.849999999999994</v>
      </c>
      <c r="J42" s="456">
        <f t="shared" si="4"/>
        <v>-6.5019505851771076E-4</v>
      </c>
      <c r="K42" s="489">
        <v>76.900000000000006</v>
      </c>
      <c r="L42" s="8">
        <f>_xll.BDP(E42&amp;" Curncy","PX_LAST")</f>
        <v>1</v>
      </c>
      <c r="M42" s="455">
        <v>1</v>
      </c>
      <c r="N42" s="330">
        <f t="shared" si="5"/>
        <v>349667.5</v>
      </c>
      <c r="O42" s="494">
        <f>IFERROR(IF(Tabelad[[#This Row],[D1 Exp USD]]&lt;&gt;0,N42/$AE$7,0),"-")</f>
        <v>1.385172624735026E-4</v>
      </c>
      <c r="P42" s="454">
        <f>IFERROR(IF(Tabelad[[#This Row],[D1 Exp USD]]&lt;&gt;0,((I42-K42)/L42*M42*H42)/$AD$7*10000,0),"-")</f>
        <v>-9.0121836352331883E-4</v>
      </c>
      <c r="Q42" s="330"/>
      <c r="R42" s="125"/>
      <c r="S42" s="454"/>
      <c r="T42" s="495">
        <f t="shared" si="6"/>
        <v>349667.5</v>
      </c>
      <c r="U42" s="496">
        <f t="shared" si="7"/>
        <v>1.385172624735026E-4</v>
      </c>
      <c r="V42" s="454">
        <f t="shared" si="8"/>
        <v>-9.0121836352331883E-4</v>
      </c>
      <c r="W42" s="330">
        <f t="shared" si="9"/>
        <v>4927.1837156798965</v>
      </c>
      <c r="X42" s="125"/>
      <c r="Y42" s="453">
        <f>Tabelad[[#This Row],[Exp %]]*$Y$10*$AD$7/Tabelad[[#This Row],[Price Today]]</f>
        <v>1592.4999999999998</v>
      </c>
      <c r="Z42" s="452">
        <f>Tabelad[[#This Row],[Vol 10d]]/16*Tabelad[[#This Row],[Exp %]]*100</f>
        <v>7.1202491812037555E-2</v>
      </c>
      <c r="AA42" s="125">
        <f>Tabelad[[#This Row],[Exp %]]*Tabelad[[#This Row],[Beta]]</f>
        <v>1.2812442386585411E-4</v>
      </c>
      <c r="AB42" s="14">
        <f>_xll.BDP($B42&amp;" Equity","volatility_10d")</f>
        <v>82.245335249137597</v>
      </c>
      <c r="AC42" s="14">
        <f>_xll.BDP(B42&amp;" EQUITY","eqy_beta")</f>
        <v>0.92497080564498901</v>
      </c>
      <c r="AD42" s="330">
        <f>Tabelad[[#This Row],[D1 P&amp;L bps]]*$AD$5/10000</f>
        <v>-213.63926156906308</v>
      </c>
      <c r="AE42" s="265"/>
      <c r="AF42" s="451" t="str">
        <f>_xll.BDP(B42&amp;" Equity","EXPECTED_REPORT_DT")</f>
        <v>14/05/2026</v>
      </c>
      <c r="AG42" s="450">
        <f>_xll.BDP(B42&amp;" Index","CHG_PCT_1D_PRE_FROM_REGULAR")/100</f>
        <v>-1.0133360000000001E-2</v>
      </c>
      <c r="AH42" s="454">
        <f t="shared" si="10"/>
        <v>-1.4036452868584926E-2</v>
      </c>
      <c r="AI42" s="449" t="str">
        <f>_xll.BDP(B42&amp;" Equity","DVD_EX_DT")</f>
        <v>02/04/2026</v>
      </c>
    </row>
    <row r="43" spans="1:35">
      <c r="B43" s="39" t="s">
        <v>790</v>
      </c>
      <c r="C43" t="s">
        <v>791</v>
      </c>
      <c r="E43" t="s">
        <v>137</v>
      </c>
      <c r="F43" s="21" t="s">
        <v>47</v>
      </c>
      <c r="G43" s="15"/>
      <c r="H43" s="362">
        <v>30000</v>
      </c>
      <c r="I43" s="35" cm="1">
        <f t="array" ref="I43">_xll.BDP(B43&amp;" Equity","LAST_PRICE")</f>
        <v>15.22</v>
      </c>
      <c r="J43" s="50">
        <f t="shared" si="4"/>
        <v>7.1830985915493084E-2</v>
      </c>
      <c r="K43" s="355">
        <f>_xll.BDP(B43&amp;" equity","PX_YEST_CLOSE")</f>
        <v>14.2</v>
      </c>
      <c r="L43" s="52">
        <f>_xll.BDP(E43&amp;" Curncy","PX_LAST")</f>
        <v>1</v>
      </c>
      <c r="M43" s="51">
        <v>1</v>
      </c>
      <c r="N43" s="15">
        <f t="shared" si="5"/>
        <v>456600</v>
      </c>
      <c r="O43" s="284">
        <f>IFERROR(IF(Tabelad[[#This Row],[D1 Exp USD]]&lt;&gt;0,N43/$AE$7,0),"-")</f>
        <v>1.8087749660863905E-4</v>
      </c>
      <c r="P43" s="19">
        <f>IFERROR(IF(Tabelad[[#This Row],[D1 Exp USD]]&lt;&gt;0,((I43-K43)/L43*M43*H43)/$AD$7*10000,0),"-")</f>
        <v>0.12121882164310911</v>
      </c>
      <c r="Q43" s="15">
        <f>IF(SUM(SUMIFS(Options!$AL$4:$AL$28, Options!$D$4:$D$28, B43), SUMIFS(Options!$AL$4:$AL$28, Options!$D$4:$D$28, B43 &amp; " US"))=0,0,SUM(SUMIFS(Options!$AL$4:$AL$28, Options!$D$4:$D$28, B43), SUMIFS(Options!$AL$4:$AL$28, Options!$D$4:$D$28, B43 &amp; " US")))</f>
        <v>0</v>
      </c>
      <c r="R43" s="18">
        <f t="shared" ref="R43:R57" si="12">Q43/$AE$7</f>
        <v>0</v>
      </c>
      <c r="S43" s="19">
        <f>IF(SUM(SUMIFS(Options!$AK$4:$AK$28, Options!$D$4:$D$28, B43), SUMIFS(Options!$AK$4:$AK$28, Options!$D$4:$D$28, B43 &amp; " US"))=0,0,SUM(SUMIFS(Options!$AK$4:$AK$28, Options!$D$4:$D$28, B43), SUMIFS(Options!AK$4:$AK$28, Options!$D$4:$D$28, B43 &amp; " US")))</f>
        <v>0</v>
      </c>
      <c r="T43" s="13">
        <f t="shared" si="6"/>
        <v>456600</v>
      </c>
      <c r="U43" s="47">
        <f t="shared" si="7"/>
        <v>1.8087749660863905E-4</v>
      </c>
      <c r="V43" s="19">
        <f t="shared" si="8"/>
        <v>0.12121882164310911</v>
      </c>
      <c r="W43" s="15">
        <f t="shared" si="9"/>
        <v>24878.716724704336</v>
      </c>
      <c r="X43" s="18"/>
      <c r="Y43" s="301">
        <f>Tabelad[[#This Row],[Exp %]]*$Y$10*$AD$7/Tabelad[[#This Row],[Price Today]]</f>
        <v>10500.000000000002</v>
      </c>
      <c r="Z43" s="195">
        <f>Tabelad[[#This Row],[Vol 10d]]/16*Tabelad[[#This Row],[Exp %]]*100</f>
        <v>0.17353606546699812</v>
      </c>
      <c r="AA43" s="18">
        <f>Tabelad[[#This Row],[Exp %]]*Tabelad[[#This Row],[Beta]]</f>
        <v>3.7101474094879773E-4</v>
      </c>
      <c r="AB43" s="35">
        <f>_xll.BDP($B43&amp;" Equity","volatility_10d")</f>
        <v>153.50594184082462</v>
      </c>
      <c r="AC43" s="35">
        <f>_xll.BDP(B43&amp;" EQUITY","eqy_beta")</f>
        <v>2.0511934757232666</v>
      </c>
      <c r="AD43" s="15">
        <f>Tabelad[[#This Row],[D1 P&amp;L bps]]*$AD$5/10000</f>
        <v>28735.654523129022</v>
      </c>
      <c r="AE43" s="206"/>
      <c r="AF43" s="185" t="str">
        <f>_xll.BDP(B43&amp;" Equity","EXPECTED_REPORT_DT")</f>
        <v>24/02/2026</v>
      </c>
      <c r="AG43" s="139">
        <f>_xll.BDP(B43&amp;" Index","CHG_PCT_1D_PRE_FROM_REGULAR")/100</f>
        <v>1.2676080000000001E-2</v>
      </c>
      <c r="AH43" s="19">
        <f t="shared" si="10"/>
        <v>2.2928176172108378E-2</v>
      </c>
      <c r="AI43" s="361" t="str">
        <f>_xll.BDP(B43&amp;" Equity","DVD_EX_DT")</f>
        <v>12/10/2017</v>
      </c>
    </row>
    <row r="44" spans="1:35">
      <c r="A44" s="362"/>
      <c r="B44" s="39" t="s">
        <v>1036</v>
      </c>
      <c r="C44" t="s">
        <v>791</v>
      </c>
      <c r="E44" t="s">
        <v>137</v>
      </c>
      <c r="F44" s="21" t="s">
        <v>47</v>
      </c>
      <c r="G44" s="15"/>
      <c r="H44" s="362">
        <v>2700</v>
      </c>
      <c r="I44" s="35" cm="1">
        <f t="array" ref="I44">_xll.BDP(B44&amp;" Equity","LAST_PRICE")</f>
        <v>409.95</v>
      </c>
      <c r="J44" s="50">
        <f t="shared" si="4"/>
        <v>-8.9447600628550505E-3</v>
      </c>
      <c r="K44" s="355">
        <f>_xll.BDP(B44&amp;" equity","PX_YEST_CLOSE")</f>
        <v>413.65</v>
      </c>
      <c r="L44" s="52">
        <f>_xll.BDP(E44&amp;" Curncy","PX_LAST")</f>
        <v>1</v>
      </c>
      <c r="M44" s="51">
        <v>1</v>
      </c>
      <c r="N44" s="15">
        <f t="shared" si="5"/>
        <v>1106865</v>
      </c>
      <c r="O44" s="284">
        <f>IFERROR(IF(Tabelad[[#This Row],[D1 Exp USD]]&lt;&gt;0,N44/$AE$7,0),"-")</f>
        <v>4.3847343469934573E-4</v>
      </c>
      <c r="P44" s="19">
        <f>IFERROR(IF(Tabelad[[#This Row],[D1 Exp USD]]&lt;&gt;0,((I44-K44)/L44*M44*H44)/$AD$7*10000,0),"-")</f>
        <v>-3.957438000701486E-2</v>
      </c>
      <c r="Q44" s="15">
        <f>IF(SUM(SUMIFS(Options!$AL$4:$AL$28, Options!$D$4:$D$28, B44), SUMIFS(Options!$AL$4:$AL$28, Options!$D$4:$D$28, B44 &amp; " US"))=0,0,SUM(SUMIFS(Options!$AL$4:$AL$28, Options!$D$4:$D$28, B44), SUMIFS(Options!$AL$4:$AL$28, Options!$D$4:$D$28, B44 &amp; " US")))</f>
        <v>0</v>
      </c>
      <c r="R44" s="18">
        <f t="shared" si="12"/>
        <v>0</v>
      </c>
      <c r="S44" s="19">
        <f>IF(SUM(SUMIFS(Options!$AK$4:$AK$28, Options!$D$4:$D$28, B44), SUMIFS(Options!$AK$4:$AK$28, Options!$D$4:$D$28, B44 &amp; " US"))=0,0,SUM(SUMIFS(Options!$AK$4:$AK$28, Options!$D$4:$D$28, B44), SUMIFS(Options!AK$4:$AK$28, Options!$D$4:$D$28, B44 &amp; " US")))</f>
        <v>0</v>
      </c>
      <c r="T44" s="13">
        <f t="shared" si="6"/>
        <v>1106865</v>
      </c>
      <c r="U44" s="47">
        <f t="shared" si="7"/>
        <v>4.3847343469934573E-4</v>
      </c>
      <c r="V44" s="19">
        <f t="shared" si="8"/>
        <v>-3.957438000701486E-2</v>
      </c>
      <c r="W44" s="15">
        <f t="shared" si="9"/>
        <v>923.65915001829501</v>
      </c>
      <c r="X44" s="18"/>
      <c r="Y44" s="301">
        <f>Tabelad[[#This Row],[Exp %]]*$Y$10*$AD$7/Tabelad[[#This Row],[Price Today]]</f>
        <v>945</v>
      </c>
      <c r="Z44" s="195">
        <f>Tabelad[[#This Row],[Vol 10d]]/16*Tabelad[[#This Row],[Exp %]]*100</f>
        <v>0.26505607307595708</v>
      </c>
      <c r="AA44" s="18">
        <f>Tabelad[[#This Row],[Exp %]]*Tabelad[[#This Row],[Beta]]</f>
        <v>5.5347906418487243E-4</v>
      </c>
      <c r="AB44" s="35">
        <f>_xll.BDP($B44&amp;" Equity","volatility_10d")</f>
        <v>96.719591966232315</v>
      </c>
      <c r="AC44" s="35">
        <f>_xll.BDP(B44&amp;" EQUITY","eqy_beta")</f>
        <v>1.2622864246368408</v>
      </c>
      <c r="AD44" s="15">
        <f>Tabelad[[#This Row],[D1 P&amp;L bps]]*$AD$5/10000</f>
        <v>-9381.3460354920808</v>
      </c>
      <c r="AE44" s="206"/>
      <c r="AF44" s="185" t="str">
        <f>_xll.BDP(B44&amp;" Equity","EXPECTED_REPORT_DT")</f>
        <v>27/03/2026</v>
      </c>
      <c r="AG44" s="139">
        <f>_xll.BDP(B44&amp;" Index","CHG_PCT_1D_PRE_FROM_REGULAR")/100</f>
        <v>4.8353010000000001E-4</v>
      </c>
      <c r="AH44" s="19">
        <f t="shared" si="10"/>
        <v>2.120151037275181E-3</v>
      </c>
      <c r="AI44" s="361" t="str">
        <f>_xll.BDP(B44&amp;" Equity","DVD_EX_DT")</f>
        <v>22/01/2026</v>
      </c>
    </row>
    <row r="45" spans="1:35" s="58" customFormat="1">
      <c r="A45" s="457"/>
      <c r="B45" s="349" t="s">
        <v>1036</v>
      </c>
      <c r="C45" s="58" t="s">
        <v>791</v>
      </c>
      <c r="E45" s="58" t="s">
        <v>137</v>
      </c>
      <c r="F45" s="133" t="s">
        <v>47</v>
      </c>
      <c r="G45" s="330"/>
      <c r="H45" s="457">
        <v>600</v>
      </c>
      <c r="I45" s="14" cm="1">
        <f t="array" ref="I45">_xll.BDP(B45&amp;" Equity","LAST_PRICE")</f>
        <v>409.95</v>
      </c>
      <c r="J45" s="456">
        <f t="shared" si="4"/>
        <v>0</v>
      </c>
      <c r="K45" s="489">
        <f>+Tabelad[[#This Row],[Price Today]]</f>
        <v>409.95</v>
      </c>
      <c r="L45" s="8">
        <f>_xll.BDP(E45&amp;" Curncy","PX_LAST")</f>
        <v>1</v>
      </c>
      <c r="M45" s="455">
        <v>1</v>
      </c>
      <c r="N45" s="330">
        <f t="shared" si="5"/>
        <v>245970</v>
      </c>
      <c r="O45" s="494">
        <f>IFERROR(IF(Tabelad[[#This Row],[D1 Exp USD]]&lt;&gt;0,N45/$AE$7,0),"-")</f>
        <v>9.7438541044299042E-5</v>
      </c>
      <c r="P45" s="454">
        <f>IFERROR(IF(Tabelad[[#This Row],[D1 Exp USD]]&lt;&gt;0,((I45-K45)/L45*M45*H45)/$AD$7*10000,0),"-")</f>
        <v>0</v>
      </c>
      <c r="Q45" s="330">
        <f>IF(SUM(SUMIFS(Options!$AL$4:$AL$28, Options!$D$4:$D$28, B45), SUMIFS(Options!$AL$4:$AL$28, Options!$D$4:$D$28, B45 &amp; " US"))=0,0,SUM(SUMIFS(Options!$AL$4:$AL$28, Options!$D$4:$D$28, B45), SUMIFS(Options!$AL$4:$AL$28, Options!$D$4:$D$28, B45 &amp; " US")))</f>
        <v>0</v>
      </c>
      <c r="R45" s="125">
        <f t="shared" si="12"/>
        <v>0</v>
      </c>
      <c r="S45" s="454">
        <f>IF(SUM(SUMIFS(Options!$AK$4:$AK$28, Options!$D$4:$D$28, B45), SUMIFS(Options!$AK$4:$AK$28, Options!$D$4:$D$28, B45 &amp; " US"))=0,0,SUM(SUMIFS(Options!$AK$4:$AK$28, Options!$D$4:$D$28, B45), SUMIFS(Options!AK$4:$AK$28, Options!$D$4:$D$28, B45 &amp; " US")))</f>
        <v>0</v>
      </c>
      <c r="T45" s="495">
        <f t="shared" si="6"/>
        <v>245970</v>
      </c>
      <c r="U45" s="496">
        <f t="shared" si="7"/>
        <v>9.7438541044299042E-5</v>
      </c>
      <c r="V45" s="454">
        <f t="shared" si="8"/>
        <v>0</v>
      </c>
      <c r="W45" s="330">
        <f t="shared" si="9"/>
        <v>923.65915001829501</v>
      </c>
      <c r="X45" s="125"/>
      <c r="Y45" s="453">
        <f>Tabelad[[#This Row],[Exp %]]*$Y$10*$AD$7/Tabelad[[#This Row],[Price Today]]</f>
        <v>210</v>
      </c>
      <c r="Z45" s="452">
        <f>Tabelad[[#This Row],[Vol 10d]]/16*Tabelad[[#This Row],[Exp %]]*100</f>
        <v>5.8901349572434897E-2</v>
      </c>
      <c r="AA45" s="125">
        <f>Tabelad[[#This Row],[Exp %]]*Tabelad[[#This Row],[Beta]]</f>
        <v>1.2299534759663831E-4</v>
      </c>
      <c r="AB45" s="14">
        <f>_xll.BDP($B45&amp;" Equity","volatility_10d")</f>
        <v>96.719591966232315</v>
      </c>
      <c r="AC45" s="14">
        <f>_xll.BDP(B45&amp;" EQUITY","eqy_beta")</f>
        <v>1.2622864246368408</v>
      </c>
      <c r="AD45" s="330">
        <f>Tabelad[[#This Row],[D1 P&amp;L bps]]*$AD$5/10000</f>
        <v>0</v>
      </c>
      <c r="AE45" s="265"/>
      <c r="AF45" s="451" t="str">
        <f>_xll.BDP(B45&amp;" Equity","EXPECTED_REPORT_DT")</f>
        <v>27/03/2026</v>
      </c>
      <c r="AG45" s="450">
        <f>_xll.BDP(B45&amp;" Index","CHG_PCT_1D_PRE_FROM_REGULAR")/100</f>
        <v>4.8353010000000001E-4</v>
      </c>
      <c r="AH45" s="454">
        <f t="shared" si="10"/>
        <v>4.7114467495004025E-4</v>
      </c>
      <c r="AI45" s="449" t="str">
        <f>_xll.BDP(B45&amp;" Equity","DVD_EX_DT")</f>
        <v>22/01/2026</v>
      </c>
    </row>
    <row r="46" spans="1:35">
      <c r="A46" s="362"/>
      <c r="B46" s="39" t="s">
        <v>1037</v>
      </c>
      <c r="C46" t="s">
        <v>791</v>
      </c>
      <c r="E46" t="s">
        <v>137</v>
      </c>
      <c r="F46" s="21" t="s">
        <v>47</v>
      </c>
      <c r="G46" s="15"/>
      <c r="H46" s="362">
        <v>965</v>
      </c>
      <c r="I46" s="35" cm="1">
        <f t="array" ref="I46">_xll.BDP(B46&amp;" Equity","LAST_PRICE")</f>
        <v>802.13</v>
      </c>
      <c r="J46" s="50">
        <f t="shared" si="4"/>
        <v>-1.7671695894973971E-2</v>
      </c>
      <c r="K46" s="355">
        <f>_xll.BDP(B46&amp;" equity","PX_YEST_CLOSE")</f>
        <v>816.56</v>
      </c>
      <c r="L46" s="52">
        <f>_xll.BDP(E46&amp;" Curncy","PX_LAST")</f>
        <v>1</v>
      </c>
      <c r="M46" s="51">
        <v>1</v>
      </c>
      <c r="N46" s="15">
        <f t="shared" si="5"/>
        <v>774055.45</v>
      </c>
      <c r="O46" s="284">
        <f>IFERROR(IF(Tabelad[[#This Row],[D1 Exp USD]]&lt;&gt;0,N46/$AE$7,0),"-")</f>
        <v>3.0663427952753737E-4</v>
      </c>
      <c r="P46" s="19">
        <f>IFERROR(IF(Tabelad[[#This Row],[D1 Exp USD]]&lt;&gt;0,((I46-K46)/L46*M46*H46)/$AD$7*10000,0),"-")</f>
        <v>-5.5162288576444583E-2</v>
      </c>
      <c r="Q46" s="15">
        <f>IF(SUM(SUMIFS(Options!$AL$4:$AL$28, Options!$D$4:$D$28, B46), SUMIFS(Options!$AL$4:$AL$28, Options!$D$4:$D$28, B46 &amp; " US"))=0,0,SUM(SUMIFS(Options!$AL$4:$AL$28, Options!$D$4:$D$28, B46), SUMIFS(Options!$AL$4:$AL$28, Options!$D$4:$D$28, B46 &amp; " US")))</f>
        <v>0</v>
      </c>
      <c r="R46" s="18">
        <f t="shared" si="12"/>
        <v>0</v>
      </c>
      <c r="S46" s="19">
        <f>IF(SUM(SUMIFS(Options!$AK$4:$AK$28, Options!$D$4:$D$28, B46), SUMIFS(Options!$AK$4:$AK$28, Options!$D$4:$D$28, B46 &amp; " US"))=0,0,SUM(SUMIFS(Options!$AK$4:$AK$28, Options!$D$4:$D$28, B46), SUMIFS(Options!AK$4:$AK$28, Options!$D$4:$D$28, B46 &amp; " US")))</f>
        <v>0</v>
      </c>
      <c r="T46" s="13">
        <f t="shared" si="6"/>
        <v>774055.45</v>
      </c>
      <c r="U46" s="47">
        <f t="shared" si="7"/>
        <v>3.0663427952753737E-4</v>
      </c>
      <c r="V46" s="19">
        <f t="shared" si="8"/>
        <v>-5.5162288576444583E-2</v>
      </c>
      <c r="W46" s="15">
        <f t="shared" si="9"/>
        <v>472.0607240098239</v>
      </c>
      <c r="X46" s="18"/>
      <c r="Y46" s="301">
        <f>Tabelad[[#This Row],[Exp %]]*$Y$10*$AD$7/Tabelad[[#This Row],[Price Today]]</f>
        <v>337.74999999999994</v>
      </c>
      <c r="Z46" s="195">
        <f>Tabelad[[#This Row],[Vol 10d]]/16*Tabelad[[#This Row],[Exp %]]*100</f>
        <v>0.10288402953285275</v>
      </c>
      <c r="AA46" s="18">
        <f>Tabelad[[#This Row],[Exp %]]*Tabelad[[#This Row],[Beta]]</f>
        <v>3.8827222479464899E-4</v>
      </c>
      <c r="AB46" s="35">
        <f>_xll.BDP($B46&amp;" Equity","volatility_10d")</f>
        <v>53.684293715041456</v>
      </c>
      <c r="AC46" s="35">
        <f>_xll.BDP(B46&amp;" EQUITY","eqy_beta")</f>
        <v>1.266238808631897</v>
      </c>
      <c r="AD46" s="15">
        <f>Tabelad[[#This Row],[D1 P&amp;L bps]]*$AD$5/10000</f>
        <v>-13076.554001694236</v>
      </c>
      <c r="AE46" s="206"/>
      <c r="AF46" s="185" t="str">
        <f>_xll.BDP(B46&amp;" Equity","EXPECTED_REPORT_DT")</f>
        <v>23/04/2026</v>
      </c>
      <c r="AG46" s="139">
        <f>_xll.BDP(B46&amp;" Index","CHG_PCT_1D_PRE_FROM_REGULAR")/100</f>
        <v>2.4125990000000001E-3</v>
      </c>
      <c r="AH46" s="19">
        <f t="shared" si="10"/>
        <v>7.3978555615385709E-3</v>
      </c>
      <c r="AI46" s="361" t="str">
        <f>_xll.BDP(B46&amp;" Equity","DVD_EX_DT")</f>
        <v>05/01/2026</v>
      </c>
    </row>
    <row r="47" spans="1:35">
      <c r="A47" s="362"/>
      <c r="B47" s="39" t="s">
        <v>1047</v>
      </c>
      <c r="C47" t="s">
        <v>791</v>
      </c>
      <c r="E47" t="s">
        <v>1048</v>
      </c>
      <c r="F47" s="21" t="s">
        <v>47</v>
      </c>
      <c r="G47" s="15"/>
      <c r="H47" s="362">
        <v>2000</v>
      </c>
      <c r="I47" s="35" cm="1">
        <f t="array" ref="I47">_xll.BDP(B47&amp;" Equity","LAST_PRICE")</f>
        <v>162.1</v>
      </c>
      <c r="J47" s="50">
        <f t="shared" si="4"/>
        <v>4.3370508054523249E-3</v>
      </c>
      <c r="K47" s="355">
        <f>_xll.BDP(B47&amp;" equity","PX_YEST_CLOSE")</f>
        <v>161.4</v>
      </c>
      <c r="L47" s="206" cm="1">
        <f t="array" ref="L47">1/_xll.BDP(E47&amp;" Curncy","PX_LAST")</f>
        <v>0.84217618325753751</v>
      </c>
      <c r="M47" s="51">
        <v>1</v>
      </c>
      <c r="N47" s="15">
        <f t="shared" si="5"/>
        <v>384955.07999999996</v>
      </c>
      <c r="O47" s="284">
        <f>IFERROR(IF(Tabelad[[#This Row],[D1 Exp USD]]&lt;&gt;0,N47/$AE$7,0),"-")</f>
        <v>1.524960822978063E-4</v>
      </c>
      <c r="P47" s="19">
        <f>IFERROR(IF(Tabelad[[#This Row],[D1 Exp USD]]&lt;&gt;0,((I47-K47)/L47*M47*H47)/$AD$7*10000,0),"-")</f>
        <v>6.5852719067527885E-3</v>
      </c>
      <c r="Q47" s="15">
        <f>IF(SUM(SUMIFS(Options!$AL$4:$AL$28, Options!$D$4:$D$28, B47), SUMIFS(Options!$AL$4:$AL$28, Options!$D$4:$D$28, B47 &amp; " US"))=0,0,SUM(SUMIFS(Options!$AL$4:$AL$28, Options!$D$4:$D$28, B47), SUMIFS(Options!$AL$4:$AL$28, Options!$D$4:$D$28, B47 &amp; " US")))</f>
        <v>0</v>
      </c>
      <c r="R47" s="18">
        <f t="shared" si="12"/>
        <v>0</v>
      </c>
      <c r="S47" s="19">
        <f>IF(SUM(SUMIFS(Options!$AK$4:$AK$28, Options!$D$4:$D$28, B47), SUMIFS(Options!$AK$4:$AK$28, Options!$D$4:$D$28, B47 &amp; " US"))=0,0,SUM(SUMIFS(Options!$AK$4:$AK$28, Options!$D$4:$D$28, B47), SUMIFS(Options!AK$4:$AK$28, Options!$D$4:$D$28, B47 &amp; " US")))</f>
        <v>0</v>
      </c>
      <c r="T47" s="13">
        <f t="shared" si="6"/>
        <v>384955.07999999996</v>
      </c>
      <c r="U47" s="47">
        <f t="shared" si="7"/>
        <v>1.524960822978063E-4</v>
      </c>
      <c r="V47" s="19">
        <f t="shared" si="8"/>
        <v>6.5852719067527885E-3</v>
      </c>
      <c r="W47" s="15">
        <f t="shared" si="9"/>
        <v>1967.2636534631524</v>
      </c>
      <c r="X47" s="18"/>
      <c r="Y47" s="301">
        <f>Tabelad[[#This Row],[Exp %]]*$Y$10*$AD$7/Tabelad[[#This Row],[Price Today]]</f>
        <v>831.17999999999984</v>
      </c>
      <c r="Z47" s="195">
        <f>Tabelad[[#This Row],[Vol 10d]]/16*Tabelad[[#This Row],[Exp %]]*100</f>
        <v>6.736009292232982E-2</v>
      </c>
      <c r="AA47" s="18">
        <f>Tabelad[[#This Row],[Exp %]]*Tabelad[[#This Row],[Beta]]</f>
        <v>2.0870903565834136E-4</v>
      </c>
      <c r="AB47" s="35">
        <f>_xll.BDP($B47&amp;" Equity","volatility_10d")</f>
        <v>70.674700000000001</v>
      </c>
      <c r="AC47" s="35">
        <f>_xll.BDP(B47&amp;" EQUITY","eqy_beta")</f>
        <v>1.368619</v>
      </c>
      <c r="AD47" s="15">
        <f>Tabelad[[#This Row],[D1 P&amp;L bps]]*$AD$5/10000</f>
        <v>1561.0785180741152</v>
      </c>
      <c r="AE47" s="206"/>
      <c r="AF47" s="185" t="str">
        <f>_xll.BDP(B47&amp;" Equity","EXPECTED_REPORT_DT")</f>
        <v>12/05/2026</v>
      </c>
      <c r="AG47" s="139" t="e">
        <f>_xll.BDP(B47&amp;" Index","CHG_PCT_1D_PRE_FROM_REGULAR")/100</f>
        <v>#VALUE!</v>
      </c>
      <c r="AH47" s="19" t="e">
        <f t="shared" si="10"/>
        <v>#VALUE!</v>
      </c>
      <c r="AI47" s="361" t="str">
        <f>_xll.BDP(B47&amp;" Equity","DVD_EX_DT")</f>
        <v>27/02/2026</v>
      </c>
    </row>
    <row r="48" spans="1:35" ht="15.75" thickBot="1">
      <c r="A48" s="362"/>
      <c r="B48" s="39" t="s">
        <v>974</v>
      </c>
      <c r="C48" t="s">
        <v>791</v>
      </c>
      <c r="E48" t="s">
        <v>137</v>
      </c>
      <c r="F48" s="21" t="s">
        <v>47</v>
      </c>
      <c r="G48" s="15"/>
      <c r="H48" s="362">
        <v>53300</v>
      </c>
      <c r="I48" s="35" cm="1">
        <f t="array" ref="I48">_xll.BDP(B48&amp;" Equity","LAST_PRICE")</f>
        <v>72.28</v>
      </c>
      <c r="J48" s="50">
        <f t="shared" si="4"/>
        <v>1.6167580486433408E-2</v>
      </c>
      <c r="K48" s="355">
        <f>_xll.BDP(B48&amp;" equity","PX_YEST_CLOSE")</f>
        <v>71.13</v>
      </c>
      <c r="L48" s="52">
        <f>_xll.BDP(E48&amp;" Curncy","PX_LAST")</f>
        <v>1</v>
      </c>
      <c r="M48" s="51">
        <v>1</v>
      </c>
      <c r="N48" s="15">
        <f t="shared" si="5"/>
        <v>3852524</v>
      </c>
      <c r="O48" s="284">
        <f>IFERROR(IF(Tabelad[[#This Row],[D1 Exp USD]]&lt;&gt;0,N48/$AE$7,0),"-")</f>
        <v>1.5261386262477015E-3</v>
      </c>
      <c r="P48" s="19">
        <f>IFERROR(IF(Tabelad[[#This Row],[D1 Exp USD]]&lt;&gt;0,((I48-K48)/L48*M48*H48)/$AD$7*10000,0),"-")</f>
        <v>0.24281397622922876</v>
      </c>
      <c r="Q48" s="15">
        <f>IF(SUM(SUMIFS(Options!$AL$4:$AL$28, Options!$D$4:$D$28, B48), SUMIFS(Options!$AL$4:$AL$28, Options!$D$4:$D$28, B48 &amp; " US"))=0,0,SUM(SUMIFS(Options!$AL$4:$AL$28, Options!$D$4:$D$28, B48), SUMIFS(Options!$AL$4:$AL$28, Options!$D$4:$D$28, B48 &amp; " US")))</f>
        <v>0</v>
      </c>
      <c r="R48" s="18">
        <f t="shared" si="12"/>
        <v>0</v>
      </c>
      <c r="S48" s="19">
        <f>IF(SUM(SUMIFS(Options!$AK$4:$AK$28, Options!$D$4:$D$28, B48), SUMIFS(Options!$AK$4:$AK$28, Options!$D$4:$D$28, B48 &amp; " US"))=0,0,SUM(SUMIFS(Options!$AK$4:$AK$28, Options!$D$4:$D$28, B48), SUMIFS(Options!AK$4:$AK$28, Options!$D$4:$D$28, B48 &amp; " US")))</f>
        <v>0</v>
      </c>
      <c r="T48" s="13">
        <f t="shared" si="6"/>
        <v>3852524</v>
      </c>
      <c r="U48" s="47">
        <f t="shared" si="7"/>
        <v>1.5261386262477015E-3</v>
      </c>
      <c r="V48" s="19">
        <f t="shared" si="8"/>
        <v>0.24281397622922876</v>
      </c>
      <c r="W48" s="15">
        <f t="shared" si="9"/>
        <v>5238.7115184006643</v>
      </c>
      <c r="X48" s="18"/>
      <c r="Y48" s="301">
        <f>Tabelad[[#This Row],[Exp %]]*$Y$10*$AD$7/Tabelad[[#This Row],[Price Today]]</f>
        <v>18655</v>
      </c>
      <c r="Z48" s="195">
        <f>Tabelad[[#This Row],[Vol 10d]]/16*Tabelad[[#This Row],[Exp %]]*100</f>
        <v>0.30294994244988099</v>
      </c>
      <c r="AA48" s="18">
        <f>Tabelad[[#This Row],[Exp %]]*Tabelad[[#This Row],[Beta]]</f>
        <v>1.0564596601814451E-3</v>
      </c>
      <c r="AB48" s="35">
        <f>_xll.BDP($B48&amp;" Equity","volatility_10d")</f>
        <v>31.761197808850728</v>
      </c>
      <c r="AC48" s="35">
        <f>_xll.BDP(B48&amp;" EQUITY","eqy_beta")</f>
        <v>0.69224357604980469</v>
      </c>
      <c r="AD48" s="15">
        <f>Tabelad[[#This Row],[D1 P&amp;L bps]]*$AD$5/10000</f>
        <v>57560.521045594767</v>
      </c>
      <c r="AE48" s="206"/>
      <c r="AF48" s="185" t="str">
        <f>_xll.BDP(B48&amp;" Equity","EXPECTED_REPORT_DT")</f>
        <v>05/05/2026</v>
      </c>
      <c r="AG48" s="139">
        <f>_xll.BDP(B48&amp;" Index","CHG_PCT_1D_PRE_FROM_REGULAR")/100</f>
        <v>5.6938900000000001E-3</v>
      </c>
      <c r="AH48" s="19">
        <f t="shared" si="10"/>
        <v>8.6896654626055253E-2</v>
      </c>
      <c r="AI48" s="361" t="str">
        <f>_xll.BDP(B48&amp;" Equity","DVD_EX_DT")</f>
        <v>13/03/2026</v>
      </c>
    </row>
    <row r="49" spans="1:35" ht="15.75" thickBot="1">
      <c r="B49" s="476" t="s">
        <v>78</v>
      </c>
      <c r="C49" s="490" t="s">
        <v>797</v>
      </c>
      <c r="D49" s="490"/>
      <c r="E49" s="490" t="s">
        <v>137</v>
      </c>
      <c r="F49" s="491"/>
      <c r="G49" s="477"/>
      <c r="H49" s="492">
        <v>33738</v>
      </c>
      <c r="I49" s="478" cm="1">
        <f t="array" ref="I49">_xll.BDP(B49&amp;" Equity","LAST_PRICE")</f>
        <v>103.94</v>
      </c>
      <c r="J49" s="479">
        <f t="shared" si="4"/>
        <v>5.7590557590557534E-2</v>
      </c>
      <c r="K49" s="480">
        <f>_xll.BDP(B49&amp;" equity","PX_YEST_CLOSE")</f>
        <v>98.28</v>
      </c>
      <c r="L49" s="481">
        <f>_xll.BDP(E49&amp;" Curncy","PX_LAST")</f>
        <v>1</v>
      </c>
      <c r="M49" s="482">
        <v>1</v>
      </c>
      <c r="N49" s="477">
        <f t="shared" si="5"/>
        <v>3506727.7199999997</v>
      </c>
      <c r="O49" s="483">
        <f>IFERROR(IF(Tabelad[[#This Row],[D1 Exp USD]]&lt;&gt;0,N49/$AE$7,0),"-")</f>
        <v>1.389154908632765E-3</v>
      </c>
      <c r="P49" s="484">
        <f>IFERROR(IF(Tabelad[[#This Row],[D1 Exp USD]]&lt;&gt;0,((I49-K49)/L49*M49*H49)/$AD$7*10000,0),"-")</f>
        <v>0.75645726215715259</v>
      </c>
      <c r="Q49" s="477">
        <f>IF(SUM(SUMIFS(Options!$AL$4:$AL$28, Options!$D$4:$D$28, B49), SUMIFS(Options!$AL$4:$AL$28, Options!$D$4:$D$28, B49 &amp; " US"))=0,0,SUM(SUMIFS(Options!$AL$4:$AL$28, Options!$D$4:$D$28, B49), SUMIFS(Options!$AL$4:$AL$28, Options!$D$4:$D$28, B49 &amp; " US")))</f>
        <v>0</v>
      </c>
      <c r="R49" s="485">
        <f t="shared" si="12"/>
        <v>0</v>
      </c>
      <c r="S49" s="484">
        <f>IF(SUM(SUMIFS(Options!$AK$4:$AK$28, Options!$D$4:$D$28, B49), SUMIFS(Options!$AK$4:$AK$28, Options!$D$4:$D$28, B49 &amp; " US"))=0,0,SUM(SUMIFS(Options!$AK$4:$AK$28, Options!$D$4:$D$28, B49), SUMIFS(Options!AK$4:$AK$28, Options!$D$4:$D$28, B49 &amp; " US")))</f>
        <v>0</v>
      </c>
      <c r="T49" s="493">
        <f t="shared" si="6"/>
        <v>3506727.7199999997</v>
      </c>
      <c r="U49" s="486">
        <f t="shared" si="7"/>
        <v>1.389154908632765E-3</v>
      </c>
      <c r="V49" s="487">
        <f t="shared" si="8"/>
        <v>0.75645726215715259</v>
      </c>
      <c r="W49" s="15">
        <f t="shared" si="9"/>
        <v>3643.0062396574949</v>
      </c>
      <c r="X49" s="18"/>
      <c r="Y49" s="301">
        <f>Tabelad[[#This Row],[Exp %]]*$Y$10*$AD$7/Tabelad[[#This Row],[Price Today]]</f>
        <v>11808.300000000001</v>
      </c>
      <c r="Z49" s="195">
        <f>Tabelad[[#This Row],[Vol 10d]]/16*Tabelad[[#This Row],[Exp %]]*100</f>
        <v>0.70605164117838315</v>
      </c>
      <c r="AA49" s="18">
        <f>Tabelad[[#This Row],[Exp %]]*Tabelad[[#This Row],[Beta]]</f>
        <v>1.3843995341586807E-3</v>
      </c>
      <c r="AB49" s="35">
        <f>_xll.BDP($B49&amp;" Equity","volatility_10d")</f>
        <v>81.32157320001626</v>
      </c>
      <c r="AC49" s="35">
        <f>_xll.BDP(B49&amp;" EQUITY","eqy_beta")</f>
        <v>0.99657678604125977</v>
      </c>
      <c r="AD49" s="15">
        <f>Tabelad[[#This Row],[D1 P&amp;L bps]]*$AD$5/10000</f>
        <v>179322.76730802283</v>
      </c>
      <c r="AE49" s="206"/>
      <c r="AF49" s="185" t="str">
        <f>_xll.BDP(B49&amp;" Equity","EXPECTED_REPORT_DT")</f>
        <v>#N/A N/A</v>
      </c>
      <c r="AG49" s="139">
        <f>_xll.BDP(B49&amp;" Index","CHG_PCT_1D_PRE_FROM_REGULAR")/100</f>
        <v>2.5335750000000001E-2</v>
      </c>
      <c r="AH49" s="19">
        <f t="shared" si="10"/>
        <v>0.3519528147639257</v>
      </c>
      <c r="AI49" s="361" t="str">
        <f>_xll.BDP(B49&amp;" Equity","DVD_EX_DT")</f>
        <v>22/12/2025</v>
      </c>
    </row>
    <row r="50" spans="1:35" s="58" customFormat="1" ht="15.75" thickBot="1">
      <c r="A50" s="488"/>
      <c r="B50" s="573" t="s">
        <v>78</v>
      </c>
      <c r="C50" s="574" t="s">
        <v>797</v>
      </c>
      <c r="D50" s="574"/>
      <c r="E50" s="574" t="s">
        <v>137</v>
      </c>
      <c r="F50" s="575"/>
      <c r="G50" s="576"/>
      <c r="H50" s="577">
        <v>-12700</v>
      </c>
      <c r="I50" s="578" cm="1">
        <f t="array" ref="I50">_xll.BDP(B50&amp;" Equity","LAST_PRICE")</f>
        <v>103.94</v>
      </c>
      <c r="J50" s="579">
        <f t="shared" si="4"/>
        <v>4.947495961227788E-2</v>
      </c>
      <c r="K50" s="580">
        <v>99.04</v>
      </c>
      <c r="L50" s="581">
        <f>_xll.BDP(E50&amp;" Curncy","PX_LAST")</f>
        <v>1</v>
      </c>
      <c r="M50" s="582">
        <v>1</v>
      </c>
      <c r="N50" s="576">
        <f t="shared" si="5"/>
        <v>-1320038</v>
      </c>
      <c r="O50" s="583">
        <f>IFERROR(IF(Tabelad[[#This Row],[D1 Exp USD]]&lt;&gt;0,N50/$AE$7,0),"-")</f>
        <v>-5.2291977413113154E-4</v>
      </c>
      <c r="P50" s="584">
        <f>IFERROR(IF(Tabelad[[#This Row],[D1 Exp USD]]&lt;&gt;0,((I50-K50)/L50*M50*H50)/$AD$7*10000,0),"-")</f>
        <v>-0.24651788466832211</v>
      </c>
      <c r="Q50" s="576">
        <f>IF(SUM(SUMIFS(Options!$AL$4:$AL$28, Options!$D$4:$D$28, B50), SUMIFS(Options!$AL$4:$AL$28, Options!$D$4:$D$28, B50 &amp; " US"))=0,0,SUM(SUMIFS(Options!$AL$4:$AL$28, Options!$D$4:$D$28, B50), SUMIFS(Options!$AL$4:$AL$28, Options!$D$4:$D$28, B50 &amp; " US")))</f>
        <v>0</v>
      </c>
      <c r="R50" s="585">
        <f t="shared" si="12"/>
        <v>0</v>
      </c>
      <c r="S50" s="584">
        <f>IF(SUM(SUMIFS(Options!$AK$4:$AK$28, Options!$D$4:$D$28, B50), SUMIFS(Options!$AK$4:$AK$28, Options!$D$4:$D$28, B50 &amp; " US"))=0,0,SUM(SUMIFS(Options!$AK$4:$AK$28, Options!$D$4:$D$28, B50), SUMIFS(Options!AK$4:$AK$28, Options!$D$4:$D$28, B50 &amp; " US")))</f>
        <v>0</v>
      </c>
      <c r="T50" s="586">
        <f t="shared" si="6"/>
        <v>-1320038</v>
      </c>
      <c r="U50" s="587">
        <f t="shared" si="7"/>
        <v>-5.2291977413113154E-4</v>
      </c>
      <c r="V50" s="588">
        <f t="shared" si="8"/>
        <v>-0.24651788466832211</v>
      </c>
      <c r="W50" s="330">
        <f t="shared" si="9"/>
        <v>3643.0062396574949</v>
      </c>
      <c r="X50" s="125"/>
      <c r="Y50" s="453">
        <f>Tabelad[[#This Row],[Exp %]]*$Y$10*$AD$7/Tabelad[[#This Row],[Price Today]]</f>
        <v>-4444.9999999999991</v>
      </c>
      <c r="Z50" s="452">
        <f>Tabelad[[#This Row],[Vol 10d]]/16*Tabelad[[#This Row],[Exp %]]*100</f>
        <v>-0.2657791168108799</v>
      </c>
      <c r="AA50" s="125">
        <f>Tabelad[[#This Row],[Exp %]]*Tabelad[[#This Row],[Beta]]</f>
        <v>-5.2112970786102452E-4</v>
      </c>
      <c r="AB50" s="14">
        <f>_xll.BDP($B50&amp;" Equity","volatility_10d")</f>
        <v>81.32157320001626</v>
      </c>
      <c r="AC50" s="14">
        <f>_xll.BDP(B50&amp;" EQUITY","eqy_beta")</f>
        <v>0.99657678604125977</v>
      </c>
      <c r="AD50" s="330">
        <f>Tabelad[[#This Row],[D1 P&amp;L bps]]*$AD$5/10000</f>
        <v>-58438.55493380109</v>
      </c>
      <c r="AE50" s="265"/>
      <c r="AF50" s="451" t="str">
        <f>_xll.BDP(B50&amp;" Equity","EXPECTED_REPORT_DT")</f>
        <v>#N/A N/A</v>
      </c>
      <c r="AG50" s="450">
        <f>_xll.BDP(B50&amp;" Index","CHG_PCT_1D_PRE_FROM_REGULAR")/100</f>
        <v>2.5335750000000001E-2</v>
      </c>
      <c r="AH50" s="454">
        <f t="shared" si="10"/>
        <v>-0.13248564667442816</v>
      </c>
      <c r="AI50" s="449" t="str">
        <f>_xll.BDP(B50&amp;" Equity","DVD_EX_DT")</f>
        <v>22/12/2025</v>
      </c>
    </row>
    <row r="51" spans="1:35" s="58" customFormat="1" ht="15.75" thickBot="1">
      <c r="A51" s="488"/>
      <c r="B51" s="573" t="s">
        <v>78</v>
      </c>
      <c r="C51" s="574" t="s">
        <v>797</v>
      </c>
      <c r="D51" s="574"/>
      <c r="E51" s="574" t="s">
        <v>137</v>
      </c>
      <c r="F51" s="575"/>
      <c r="G51" s="576"/>
      <c r="H51" s="577">
        <v>-6129</v>
      </c>
      <c r="I51" s="578" cm="1">
        <f t="array" ref="I51">_xll.BDP(B51&amp;" Equity","LAST_PRICE")</f>
        <v>103.94</v>
      </c>
      <c r="J51" s="579">
        <f t="shared" si="4"/>
        <v>8.8323789187614299E-3</v>
      </c>
      <c r="K51" s="580">
        <v>103.03</v>
      </c>
      <c r="L51" s="581">
        <f>_xll.BDP(E51&amp;" Curncy","PX_LAST")</f>
        <v>1</v>
      </c>
      <c r="M51" s="582">
        <v>1</v>
      </c>
      <c r="N51" s="576">
        <f t="shared" si="5"/>
        <v>-637048.26</v>
      </c>
      <c r="O51" s="583">
        <f>IFERROR(IF(Tabelad[[#This Row],[D1 Exp USD]]&lt;&gt;0,N51/$AE$7,0),"-")</f>
        <v>-2.5236025949997677E-4</v>
      </c>
      <c r="P51" s="584">
        <f>IFERROR(IF(Tabelad[[#This Row],[D1 Exp USD]]&lt;&gt;0,((I51-K51)/L51*M51*H51)/$AD$7*10000,0),"-")</f>
        <v>-2.209426940013258E-2</v>
      </c>
      <c r="Q51" s="576">
        <f>IF(SUM(SUMIFS(Options!$AL$4:$AL$28, Options!$D$4:$D$28, B51), SUMIFS(Options!$AL$4:$AL$28, Options!$D$4:$D$28, B51 &amp; " US"))=0,0,SUM(SUMIFS(Options!$AL$4:$AL$28, Options!$D$4:$D$28, B51), SUMIFS(Options!$AL$4:$AL$28, Options!$D$4:$D$28, B51 &amp; " US")))</f>
        <v>0</v>
      </c>
      <c r="R51" s="585">
        <f t="shared" si="12"/>
        <v>0</v>
      </c>
      <c r="S51" s="584">
        <f>IF(SUM(SUMIFS(Options!$AK$4:$AK$28, Options!$D$4:$D$28, B51), SUMIFS(Options!$AK$4:$AK$28, Options!$D$4:$D$28, B51 &amp; " US"))=0,0,SUM(SUMIFS(Options!$AK$4:$AK$28, Options!$D$4:$D$28, B51), SUMIFS(Options!AK$4:$AK$28, Options!$D$4:$D$28, B51 &amp; " US")))</f>
        <v>0</v>
      </c>
      <c r="T51" s="586">
        <f t="shared" si="6"/>
        <v>-637048.26</v>
      </c>
      <c r="U51" s="587">
        <f t="shared" si="7"/>
        <v>-2.5236025949997677E-4</v>
      </c>
      <c r="V51" s="588">
        <f t="shared" si="8"/>
        <v>-2.209426940013258E-2</v>
      </c>
      <c r="W51" s="330">
        <f t="shared" si="9"/>
        <v>3643.0062396574949</v>
      </c>
      <c r="X51" s="125"/>
      <c r="Y51" s="453">
        <f>Tabelad[[#This Row],[Exp %]]*$Y$10*$AD$7/Tabelad[[#This Row],[Price Today]]</f>
        <v>-2145.1499999999996</v>
      </c>
      <c r="Z51" s="452">
        <f>Tabelad[[#This Row],[Vol 10d]]/16*Tabelad[[#This Row],[Exp %]]*100</f>
        <v>-0.12826458322314038</v>
      </c>
      <c r="AA51" s="125">
        <f>Tabelad[[#This Row],[Exp %]]*Tabelad[[#This Row],[Beta]]</f>
        <v>-2.5149637633702516E-4</v>
      </c>
      <c r="AB51" s="14">
        <f>_xll.BDP($B51&amp;" Equity","volatility_10d")</f>
        <v>81.32157320001626</v>
      </c>
      <c r="AC51" s="14">
        <f>_xll.BDP(B51&amp;" EQUITY","eqy_beta")</f>
        <v>0.99657678604125977</v>
      </c>
      <c r="AD51" s="330">
        <f>Tabelad[[#This Row],[D1 P&amp;L bps]]*$AD$5/10000</f>
        <v>-5237.5801366259402</v>
      </c>
      <c r="AE51" s="265"/>
      <c r="AF51" s="451" t="str">
        <f>_xll.BDP(B51&amp;" Equity","EXPECTED_REPORT_DT")</f>
        <v>#N/A N/A</v>
      </c>
      <c r="AG51" s="450">
        <f>_xll.BDP(B51&amp;" Index","CHG_PCT_1D_PRE_FROM_REGULAR")/100</f>
        <v>2.5335750000000001E-2</v>
      </c>
      <c r="AH51" s="454">
        <f t="shared" si="10"/>
        <v>-6.3937364446265368E-2</v>
      </c>
      <c r="AI51" s="449" t="str">
        <f>_xll.BDP(B51&amp;" Equity","DVD_EX_DT")</f>
        <v>22/12/2025</v>
      </c>
    </row>
    <row r="52" spans="1:35">
      <c r="B52" s="39" t="s">
        <v>36</v>
      </c>
      <c r="C52" t="s">
        <v>831</v>
      </c>
      <c r="E52" t="s">
        <v>137</v>
      </c>
      <c r="F52" s="21" t="s">
        <v>47</v>
      </c>
      <c r="G52" s="15"/>
      <c r="H52" s="362">
        <v>23500</v>
      </c>
      <c r="I52" s="35" cm="1">
        <f t="array" ref="I52">_xll.BDP(B52&amp;" Equity","LAST_PRICE")</f>
        <v>51.65</v>
      </c>
      <c r="J52" s="50">
        <f t="shared" si="4"/>
        <v>-7.7384407041980463E-4</v>
      </c>
      <c r="K52" s="355">
        <f>_xll.BDP(B52&amp;" equity","PX_YEST_CLOSE")</f>
        <v>51.69</v>
      </c>
      <c r="L52" s="52">
        <f>_xll.BDP(E52&amp;" Curncy","PX_LAST")</f>
        <v>1</v>
      </c>
      <c r="M52" s="51">
        <v>1</v>
      </c>
      <c r="N52" s="15">
        <f t="shared" si="5"/>
        <v>1213775</v>
      </c>
      <c r="O52" s="284">
        <f>IFERROR(IF(Tabelad[[#This Row],[D1 Exp USD]]&lt;&gt;0,N52/$AE$7,0),"-")</f>
        <v>4.8082475568583192E-4</v>
      </c>
      <c r="P52" s="19">
        <f>IFERROR(IF(Tabelad[[#This Row],[D1 Exp USD]]&lt;&gt;0,((I52-K52)/L52*M52*H52)/$AD$7*10000,0),"-")</f>
        <v>-3.7237154360954248E-3</v>
      </c>
      <c r="Q52" s="15">
        <f>IF(SUM(SUMIFS(Options!$AL$4:$AL$28, Options!$D$4:$D$28, B52), SUMIFS(Options!$AL$4:$AL$28, Options!$D$4:$D$28, B52 &amp; " US"))=0,0,SUM(SUMIFS(Options!$AL$4:$AL$28, Options!$D$4:$D$28, B52), SUMIFS(Options!$AL$4:$AL$28, Options!$D$4:$D$28, B52 &amp; " US")))</f>
        <v>0</v>
      </c>
      <c r="R52" s="18">
        <f t="shared" si="12"/>
        <v>0</v>
      </c>
      <c r="S52" s="19">
        <f>IF(SUM(SUMIFS(Options!$AK$4:$AK$28, Options!$D$4:$D$28, B52), SUMIFS(Options!$AK$4:$AK$28, Options!$D$4:$D$28, B52 &amp; " US"))=0,0,SUM(SUMIFS(Options!$AK$4:$AK$28, Options!$D$4:$D$28, B52), SUMIFS(Options!AK$4:$AK$28, Options!$D$4:$D$28, B52 &amp; " US")))</f>
        <v>0</v>
      </c>
      <c r="T52" s="13">
        <f t="shared" si="6"/>
        <v>1213775</v>
      </c>
      <c r="U52" s="47">
        <f t="shared" si="7"/>
        <v>4.8082475568583192E-4</v>
      </c>
      <c r="V52" s="19">
        <f t="shared" si="8"/>
        <v>-3.7237154360954248E-3</v>
      </c>
      <c r="W52" s="15">
        <f t="shared" si="9"/>
        <v>7331.1533117134568</v>
      </c>
      <c r="X52" s="18"/>
      <c r="Y52" s="301">
        <f>Tabelad[[#This Row],[Exp %]]*$Y$10*$AD$7/Tabelad[[#This Row],[Price Today]]</f>
        <v>8225</v>
      </c>
      <c r="Z52" s="195">
        <f>Tabelad[[#This Row],[Vol 10d]]/16*Tabelad[[#This Row],[Exp %]]*100</f>
        <v>5.7626108827899133E-2</v>
      </c>
      <c r="AA52" s="18">
        <f>Tabelad[[#This Row],[Exp %]]*Tabelad[[#This Row],[Beta]]</f>
        <v>4.8078552098261692E-4</v>
      </c>
      <c r="AB52" s="35">
        <f>_xll.BDP($B52&amp;" Equity","volatility_10d")</f>
        <v>19.175754375026962</v>
      </c>
      <c r="AC52" s="35">
        <f>_xll.BDP(B52&amp;" EQUITY","eqy_beta")</f>
        <v>0.99991840124130249</v>
      </c>
      <c r="AD52" s="15">
        <f>Tabelad[[#This Row],[D1 P&amp;L bps]]*$AD$5/10000</f>
        <v>-882.72925659283248</v>
      </c>
      <c r="AE52" s="206"/>
      <c r="AF52" s="185" t="str">
        <f>_xll.BDP(B52&amp;" Equity","EXPECTED_REPORT_DT")</f>
        <v>#N/A N/A</v>
      </c>
      <c r="AG52" s="139">
        <f>_xll.BDP(B52&amp;" Index","CHG_PCT_1D_PRE_FROM_REGULAR")/100</f>
        <v>-2.1280089999999997E-3</v>
      </c>
      <c r="AH52" s="19">
        <f t="shared" si="10"/>
        <v>-1.0231994075222513E-2</v>
      </c>
      <c r="AI52" s="361" t="str">
        <f>_xll.BDP(B52&amp;" Equity","DVD_EX_DT")</f>
        <v>22/12/2025</v>
      </c>
    </row>
    <row r="53" spans="1:35" s="58" customFormat="1">
      <c r="A53" s="488"/>
      <c r="B53" s="349" t="s">
        <v>36</v>
      </c>
      <c r="C53" s="58" t="s">
        <v>831</v>
      </c>
      <c r="E53" s="58" t="s">
        <v>137</v>
      </c>
      <c r="F53" s="133" t="s">
        <v>47</v>
      </c>
      <c r="G53" s="330"/>
      <c r="H53" s="457">
        <v>-23323</v>
      </c>
      <c r="I53" s="14" cm="1">
        <f t="array" ref="I53">_xll.BDP(B53&amp;" Equity","LAST_PRICE")</f>
        <v>51.65</v>
      </c>
      <c r="J53" s="456">
        <f t="shared" si="4"/>
        <v>3.8872691933915515E-3</v>
      </c>
      <c r="K53" s="489">
        <v>51.45</v>
      </c>
      <c r="L53" s="8">
        <f>_xll.BDP(E53&amp;" Curncy","PX_LAST")</f>
        <v>1</v>
      </c>
      <c r="M53" s="455">
        <v>1</v>
      </c>
      <c r="N53" s="330">
        <f t="shared" si="5"/>
        <v>-1204632.95</v>
      </c>
      <c r="O53" s="494">
        <f>IFERROR(IF(Tabelad[[#This Row],[D1 Exp USD]]&lt;&gt;0,N53/$AE$7,0),"-")</f>
        <v>-4.7720322454726201E-4</v>
      </c>
      <c r="P53" s="454">
        <f>IFERROR(IF(Tabelad[[#This Row],[D1 Exp USD]]&lt;&gt;0,((I53-K53)/L53*M53*H53)/$AD$7*10000,0),"-")</f>
        <v>-1.8478343641713527E-2</v>
      </c>
      <c r="Q53" s="330">
        <f>IF(SUM(SUMIFS(Options!$AL$4:$AL$28, Options!$D$4:$D$28, B53), SUMIFS(Options!$AL$4:$AL$28, Options!$D$4:$D$28, B53 &amp; " US"))=0,0,SUM(SUMIFS(Options!$AL$4:$AL$28, Options!$D$4:$D$28, B53), SUMIFS(Options!$AL$4:$AL$28, Options!$D$4:$D$28, B53 &amp; " US")))</f>
        <v>0</v>
      </c>
      <c r="R53" s="125">
        <f t="shared" si="12"/>
        <v>0</v>
      </c>
      <c r="S53" s="454">
        <f>IF(SUM(SUMIFS(Options!$AK$4:$AK$28, Options!$D$4:$D$28, B53), SUMIFS(Options!$AK$4:$AK$28, Options!$D$4:$D$28, B53 &amp; " US"))=0,0,SUM(SUMIFS(Options!$AK$4:$AK$28, Options!$D$4:$D$28, B53), SUMIFS(Options!AK$4:$AK$28, Options!$D$4:$D$28, B53 &amp; " US")))</f>
        <v>0</v>
      </c>
      <c r="T53" s="495">
        <f t="shared" si="6"/>
        <v>-1204632.95</v>
      </c>
      <c r="U53" s="496">
        <f t="shared" si="7"/>
        <v>-4.7720322454726201E-4</v>
      </c>
      <c r="V53" s="454">
        <f t="shared" si="8"/>
        <v>-1.8478343641713527E-2</v>
      </c>
      <c r="W53" s="330">
        <f t="shared" si="9"/>
        <v>7331.1533117134568</v>
      </c>
      <c r="X53" s="125"/>
      <c r="Y53" s="453">
        <f>Tabelad[[#This Row],[Exp %]]*$Y$10*$AD$7/Tabelad[[#This Row],[Price Today]]</f>
        <v>-8163.0499999999984</v>
      </c>
      <c r="Z53" s="452">
        <f>Tabelad[[#This Row],[Vol 10d]]/16*Tabelad[[#This Row],[Exp %]]*100</f>
        <v>-5.7192073880557082E-2</v>
      </c>
      <c r="AA53" s="125">
        <f>Tabelad[[#This Row],[Exp %]]*Tabelad[[#This Row],[Beta]]</f>
        <v>-4.7716428535649253E-4</v>
      </c>
      <c r="AB53" s="14">
        <f>_xll.BDP($B53&amp;" Equity","volatility_10d")</f>
        <v>19.175754375026962</v>
      </c>
      <c r="AC53" s="14">
        <f>_xll.BDP(B53&amp;" EQUITY","eqy_beta")</f>
        <v>0.99991840124130249</v>
      </c>
      <c r="AD53" s="330">
        <f>Tabelad[[#This Row],[D1 P&amp;L bps]]*$AD$5/10000</f>
        <v>-4380.4030747903462</v>
      </c>
      <c r="AE53" s="265"/>
      <c r="AF53" s="451" t="str">
        <f>_xll.BDP(B53&amp;" Equity","EXPECTED_REPORT_DT")</f>
        <v>#N/A N/A</v>
      </c>
      <c r="AG53" s="450">
        <f>_xll.BDP(B53&amp;" Index","CHG_PCT_1D_PRE_FROM_REGULAR")/100</f>
        <v>-2.1280089999999997E-3</v>
      </c>
      <c r="AH53" s="454">
        <f t="shared" si="10"/>
        <v>1.0154927566655944E-2</v>
      </c>
      <c r="AI53" s="449" t="str">
        <f>_xll.BDP(B53&amp;" Equity","DVD_EX_DT")</f>
        <v>22/12/2025</v>
      </c>
    </row>
    <row r="54" spans="1:35">
      <c r="B54" s="39" t="s">
        <v>6</v>
      </c>
      <c r="C54" t="s">
        <v>831</v>
      </c>
      <c r="E54" t="s">
        <v>137</v>
      </c>
      <c r="F54" s="21" t="s">
        <v>47</v>
      </c>
      <c r="G54" s="15"/>
      <c r="H54" s="362">
        <v>15000</v>
      </c>
      <c r="I54" s="35" cm="1">
        <f t="array" ref="I54">_xll.BDP(B54&amp;" Equity","LAST_PRICE")</f>
        <v>85.61</v>
      </c>
      <c r="J54" s="50">
        <f t="shared" si="4"/>
        <v>3.1638153269275548E-3</v>
      </c>
      <c r="K54" s="355">
        <f>_xll.BDP(B54&amp;" equity","PX_YEST_CLOSE")</f>
        <v>85.34</v>
      </c>
      <c r="L54" s="52">
        <f>_xll.BDP(E54&amp;" Curncy","PX_LAST")</f>
        <v>1</v>
      </c>
      <c r="M54" s="51">
        <v>1</v>
      </c>
      <c r="N54" s="15">
        <f t="shared" si="5"/>
        <v>1284150</v>
      </c>
      <c r="O54" s="284">
        <f>IFERROR(IF(Tabelad[[#This Row],[D1 Exp USD]]&lt;&gt;0,N54/$AE$7,0),"-")</f>
        <v>5.087031039640469E-4</v>
      </c>
      <c r="P54" s="19">
        <f>IFERROR(IF(Tabelad[[#This Row],[D1 Exp USD]]&lt;&gt;0,((I54-K54)/L54*M54*H54)/$AD$7*10000,0),"-")</f>
        <v>1.6043667570411244E-2</v>
      </c>
      <c r="Q54" s="15">
        <f>IF(SUM(SUMIFS(Options!$AL$4:$AL$28, Options!$D$4:$D$28, B54), SUMIFS(Options!$AL$4:$AL$28, Options!$D$4:$D$28, B54 &amp; " US"))=0,0,SUM(SUMIFS(Options!$AL$4:$AL$28, Options!$D$4:$D$28, B54), SUMIFS(Options!$AL$4:$AL$28, Options!$D$4:$D$28, B54 &amp; " US")))</f>
        <v>0</v>
      </c>
      <c r="R54" s="18">
        <f t="shared" si="12"/>
        <v>0</v>
      </c>
      <c r="S54" s="19">
        <f>IF(SUM(SUMIFS(Options!$AK$4:$AK$28, Options!$D$4:$D$28, B54), SUMIFS(Options!$AK$4:$AK$28, Options!$D$4:$D$28, B54 &amp; " US"))=0,0,SUM(SUMIFS(Options!$AK$4:$AK$28, Options!$D$4:$D$28, B54), SUMIFS(Options!AK$4:$AK$28, Options!$D$4:$D$28, B54 &amp; " US")))</f>
        <v>0</v>
      </c>
      <c r="T54" s="13">
        <f t="shared" si="6"/>
        <v>1284150</v>
      </c>
      <c r="U54" s="47">
        <f t="shared" si="7"/>
        <v>5.087031039640469E-4</v>
      </c>
      <c r="V54" s="19">
        <f t="shared" si="8"/>
        <v>1.6043667570411244E-2</v>
      </c>
      <c r="W54" s="15">
        <f t="shared" si="9"/>
        <v>4423.012131176265</v>
      </c>
      <c r="X54" s="18"/>
      <c r="Y54" s="301">
        <f>Tabelad[[#This Row],[Exp %]]*$Y$10*$AD$7/Tabelad[[#This Row],[Price Today]]</f>
        <v>5249.9999999999991</v>
      </c>
      <c r="Z54" s="195">
        <f>Tabelad[[#This Row],[Vol 10d]]/16*Tabelad[[#This Row],[Exp %]]*100</f>
        <v>9.0045760229451474E-2</v>
      </c>
      <c r="AA54" s="18">
        <f>Tabelad[[#This Row],[Exp %]]*Tabelad[[#This Row],[Beta]]</f>
        <v>5.0673317450963438E-4</v>
      </c>
      <c r="AB54" s="35">
        <f>_xll.BDP($B54&amp;" Equity","volatility_10d")</f>
        <v>28.321670389749553</v>
      </c>
      <c r="AC54" s="35">
        <f>_xll.BDP(B54&amp;" EQUITY","eqy_beta")</f>
        <v>0.99612754583358765</v>
      </c>
      <c r="AD54" s="15">
        <f>Tabelad[[#This Row],[D1 P&amp;L bps]]*$AD$5/10000</f>
        <v>3803.248392767016</v>
      </c>
      <c r="AE54" s="206"/>
      <c r="AF54" s="185" t="str">
        <f>_xll.BDP(B54&amp;" Equity","EXPECTED_REPORT_DT")</f>
        <v>#N/A N/A</v>
      </c>
      <c r="AG54" s="139">
        <f>_xll.BDP(B54&amp;" Index","CHG_PCT_1D_PRE_FROM_REGULAR")/100</f>
        <v>-6.6791619999999998E-3</v>
      </c>
      <c r="AH54" s="19">
        <f t="shared" si="10"/>
        <v>-3.3977104412787111E-2</v>
      </c>
      <c r="AI54" s="361" t="str">
        <f>_xll.BDP(B54&amp;" Equity","DVD_EX_DT")</f>
        <v>22/12/2025</v>
      </c>
    </row>
    <row r="55" spans="1:35">
      <c r="B55" s="39" t="s">
        <v>839</v>
      </c>
      <c r="C55" t="s">
        <v>831</v>
      </c>
      <c r="E55" t="s">
        <v>137</v>
      </c>
      <c r="F55" s="21" t="s">
        <v>48</v>
      </c>
      <c r="G55" s="15"/>
      <c r="H55" s="362">
        <v>-10500</v>
      </c>
      <c r="I55" s="35" cm="1">
        <f t="array" ref="I55">_xll.BDP(B55&amp;" Equity","LAST_PRICE")</f>
        <v>24.8</v>
      </c>
      <c r="J55" s="50">
        <f t="shared" si="4"/>
        <v>1.9736842105263275E-2</v>
      </c>
      <c r="K55" s="355">
        <f>_xll.BDP(B55&amp;" equity","PX_YEST_CLOSE")</f>
        <v>24.32</v>
      </c>
      <c r="L55" s="52">
        <f>_xll.BDP(E55&amp;" Curncy","PX_LAST")</f>
        <v>1</v>
      </c>
      <c r="M55" s="51">
        <v>1</v>
      </c>
      <c r="N55" s="15">
        <f t="shared" si="5"/>
        <v>-260400</v>
      </c>
      <c r="O55" s="284">
        <f>IFERROR(IF(Tabelad[[#This Row],[D1 Exp USD]]&lt;&gt;0,N55/$AE$7,0),"-")</f>
        <v>-1.0315484037864566E-4</v>
      </c>
      <c r="P55" s="19">
        <f>IFERROR(IF(Tabelad[[#This Row],[D1 Exp USD]]&lt;&gt;0,((I55-K55)/L55*M55*H55)/$AD$7*10000,0),"-")</f>
        <v>-1.9965452976512081E-2</v>
      </c>
      <c r="Q55" s="15">
        <f>IF(SUM(SUMIFS(Options!$AL$4:$AL$28, Options!$D$4:$D$28, B55), SUMIFS(Options!$AL$4:$AL$28, Options!$D$4:$D$28, B55 &amp; " US"))=0,0,SUM(SUMIFS(Options!$AL$4:$AL$28, Options!$D$4:$D$28, B55), SUMIFS(Options!$AL$4:$AL$28, Options!$D$4:$D$28, B55 &amp; " US")))</f>
        <v>0</v>
      </c>
      <c r="R55" s="18">
        <f t="shared" si="12"/>
        <v>0</v>
      </c>
      <c r="S55" s="19">
        <f>IF(SUM(SUMIFS(Options!$AK$4:$AK$28, Options!$D$4:$D$28, B55), SUMIFS(Options!$AK$4:$AK$28, Options!$D$4:$D$28, B55 &amp; " US"))=0,0,SUM(SUMIFS(Options!$AK$4:$AK$28, Options!$D$4:$D$28, B55), SUMIFS(Options!AK$4:$AK$28, Options!$D$4:$D$28, B55 &amp; " US")))</f>
        <v>0</v>
      </c>
      <c r="T55" s="13">
        <f t="shared" si="6"/>
        <v>-260400</v>
      </c>
      <c r="U55" s="47">
        <f t="shared" si="7"/>
        <v>-1.0315484037864566E-4</v>
      </c>
      <c r="V55" s="19">
        <f t="shared" si="8"/>
        <v>-1.9965452976512081E-2</v>
      </c>
      <c r="W55" s="15">
        <f t="shared" si="9"/>
        <v>15268.309215725807</v>
      </c>
      <c r="X55" s="18"/>
      <c r="Y55" s="301">
        <f>Tabelad[[#This Row],[Exp %]]*$Y$10*$AD$7/Tabelad[[#This Row],[Price Today]]</f>
        <v>-3675</v>
      </c>
      <c r="Z55" s="195">
        <f>Tabelad[[#This Row],[Vol 10d]]/16*Tabelad[[#This Row],[Exp %]]*100</f>
        <v>-1.6149812781417552E-2</v>
      </c>
      <c r="AA55" s="18">
        <f>Tabelad[[#This Row],[Exp %]]*Tabelad[[#This Row],[Beta]]</f>
        <v>-3.7700318426928022E-5</v>
      </c>
      <c r="AB55" s="35">
        <f>_xll.BDP($B55&amp;" Equity","volatility_10d")</f>
        <v>25.049430889931585</v>
      </c>
      <c r="AC55" s="35">
        <f>_xll.BDP(B55&amp;" EQUITY","eqy_beta")</f>
        <v>0.36547309160232544</v>
      </c>
      <c r="AD55" s="15">
        <f>Tabelad[[#This Row],[D1 P&amp;L bps]]*$AD$5/10000</f>
        <v>-4732.9313332212496</v>
      </c>
      <c r="AE55" s="206"/>
      <c r="AF55" s="185" t="str">
        <f>_xll.BDP(B55&amp;" Equity","EXPECTED_REPORT_DT")</f>
        <v>29/04/2026</v>
      </c>
      <c r="AG55" s="139" t="e">
        <f>_xll.BDP(B55&amp;" Index","CHG_PCT_1D_PRE_FROM_REGULAR")/100</f>
        <v>#VALUE!</v>
      </c>
      <c r="AH55" s="19" t="e">
        <f t="shared" si="10"/>
        <v>#VALUE!</v>
      </c>
      <c r="AI55" s="361" t="str">
        <f>_xll.BDP(B55&amp;" Equity","DVD_EX_DT")</f>
        <v>06/03/2026</v>
      </c>
    </row>
    <row r="56" spans="1:35" s="58" customFormat="1">
      <c r="A56" s="488"/>
      <c r="B56" s="349" t="s">
        <v>4</v>
      </c>
      <c r="C56" s="58" t="s">
        <v>831</v>
      </c>
      <c r="E56" s="58" t="s">
        <v>137</v>
      </c>
      <c r="F56" s="133" t="s">
        <v>48</v>
      </c>
      <c r="G56" s="330"/>
      <c r="H56" s="457">
        <v>18478</v>
      </c>
      <c r="I56" s="14" cm="1">
        <f t="array" ref="I56">_xll.BDP(B56&amp;" Equity","LAST_PRICE")</f>
        <v>89.51</v>
      </c>
      <c r="J56" s="456">
        <f t="shared" si="4"/>
        <v>5.3914410872739627E-3</v>
      </c>
      <c r="K56" s="489">
        <v>89.03</v>
      </c>
      <c r="L56" s="8">
        <f>_xll.BDP(E56&amp;" Curncy","PX_LAST")</f>
        <v>1</v>
      </c>
      <c r="M56" s="455">
        <v>1</v>
      </c>
      <c r="N56" s="330">
        <f t="shared" si="5"/>
        <v>1653965.78</v>
      </c>
      <c r="O56" s="494">
        <f>IFERROR(IF(Tabelad[[#This Row],[D1 Exp USD]]&lt;&gt;0,N56/$AE$7,0),"-")</f>
        <v>6.5520190486805744E-4</v>
      </c>
      <c r="P56" s="454">
        <f>IFERROR(IF(Tabelad[[#This Row],[D1 Exp USD]]&lt;&gt;0,((I56-K56)/L56*M56*H56)/$AD$7*10000,0),"-")</f>
        <v>3.5135394295237425E-2</v>
      </c>
      <c r="Q56" s="330">
        <f>IF(SUM(SUMIFS(Options!$AL$4:$AL$28, Options!$D$4:$D$28, B56), SUMIFS(Options!$AL$4:$AL$28, Options!$D$4:$D$28, B56 &amp; " US"))=0,0,SUM(SUMIFS(Options!$AL$4:$AL$28, Options!$D$4:$D$28, B56), SUMIFS(Options!$AL$4:$AL$28, Options!$D$4:$D$28, B56 &amp; " US")))</f>
        <v>0</v>
      </c>
      <c r="R56" s="125">
        <f t="shared" si="12"/>
        <v>0</v>
      </c>
      <c r="S56" s="454">
        <f>IF(SUM(SUMIFS(Options!$AK$4:$AK$28, Options!$D$4:$D$28, B56), SUMIFS(Options!$AK$4:$AK$28, Options!$D$4:$D$28, B56 &amp; " US"))=0,0,SUM(SUMIFS(Options!$AK$4:$AK$28, Options!$D$4:$D$28, B56), SUMIFS(Options!AK$4:$AK$28, Options!$D$4:$D$28, B56 &amp; " US")))</f>
        <v>0</v>
      </c>
      <c r="T56" s="495">
        <f t="shared" si="6"/>
        <v>1653965.78</v>
      </c>
      <c r="U56" s="496">
        <f t="shared" si="7"/>
        <v>6.5520190486805744E-4</v>
      </c>
      <c r="V56" s="454">
        <f t="shared" si="8"/>
        <v>3.5135394295237425E-2</v>
      </c>
      <c r="W56" s="330">
        <f t="shared" si="9"/>
        <v>4230.299056529997</v>
      </c>
      <c r="X56" s="125"/>
      <c r="Y56" s="453">
        <f>Tabelad[[#This Row],[Exp %]]*$Y$10*$AD$7/Tabelad[[#This Row],[Price Today]]</f>
        <v>6467.2999999999993</v>
      </c>
      <c r="Z56" s="452">
        <f>Tabelad[[#This Row],[Vol 10d]]/16*Tabelad[[#This Row],[Exp %]]*100</f>
        <v>5.4053940224786601E-2</v>
      </c>
      <c r="AA56" s="125">
        <f>Tabelad[[#This Row],[Exp %]]*Tabelad[[#This Row],[Beta]]</f>
        <v>6.5690243204405462E-4</v>
      </c>
      <c r="AB56" s="14">
        <f>_xll.BDP($B56&amp;" Equity","volatility_10d")</f>
        <v>13.199947026569605</v>
      </c>
      <c r="AC56" s="14">
        <f>_xll.BDP(B56&amp;" EQUITY","eqy_beta")</f>
        <v>1.0025954246520996</v>
      </c>
      <c r="AD56" s="330">
        <f>Tabelad[[#This Row],[D1 P&amp;L bps]]*$AD$5/10000</f>
        <v>8329.057635739322</v>
      </c>
      <c r="AE56" s="265"/>
      <c r="AF56" s="451" t="str">
        <f>_xll.BDP(B56&amp;" Equity","EXPECTED_REPORT_DT")</f>
        <v>#N/A N/A</v>
      </c>
      <c r="AG56" s="450">
        <f>_xll.BDP(B56&amp;" Index","CHG_PCT_1D_PRE_FROM_REGULAR")/100</f>
        <v>-1.2330520000000001E-3</v>
      </c>
      <c r="AH56" s="454">
        <f t="shared" si="10"/>
        <v>-8.0789801920136805E-3</v>
      </c>
      <c r="AI56" s="449" t="str">
        <f>_xll.BDP(B56&amp;" Equity","DVD_EX_DT")</f>
        <v>22/12/2025</v>
      </c>
    </row>
    <row r="57" spans="1:35">
      <c r="B57" s="39" t="s">
        <v>4</v>
      </c>
      <c r="C57" t="s">
        <v>831</v>
      </c>
      <c r="E57" t="s">
        <v>137</v>
      </c>
      <c r="F57" s="21" t="s">
        <v>48</v>
      </c>
      <c r="G57" s="15"/>
      <c r="H57" s="362">
        <v>-27500</v>
      </c>
      <c r="I57" s="35" cm="1">
        <f t="array" ref="I57">_xll.BDP(B57&amp;" Equity","LAST_PRICE")</f>
        <v>89.51</v>
      </c>
      <c r="J57" s="50">
        <f t="shared" si="4"/>
        <v>3.3628516982402434E-3</v>
      </c>
      <c r="K57" s="355">
        <f>_xll.BDP(B57&amp;" equity","PX_YEST_CLOSE")</f>
        <v>89.21</v>
      </c>
      <c r="L57" s="52">
        <f>_xll.BDP(E57&amp;" Curncy","PX_LAST")</f>
        <v>1</v>
      </c>
      <c r="M57" s="51">
        <v>1</v>
      </c>
      <c r="N57" s="15">
        <f t="shared" si="5"/>
        <v>-2461525</v>
      </c>
      <c r="O57" s="284">
        <f>IFERROR(IF(Tabelad[[#This Row],[D1 Exp USD]]&lt;&gt;0,N57/$AE$7,0),"-")</f>
        <v>-9.7510836583350902E-4</v>
      </c>
      <c r="P57" s="19">
        <f>IFERROR(IF(Tabelad[[#This Row],[D1 Exp USD]]&lt;&gt;0,((I57-K57)/L57*M57*H57)/$AD$7*10000,0),"-")</f>
        <v>-3.2681545050839436E-2</v>
      </c>
      <c r="Q57" s="15">
        <f>IF(SUM(SUMIFS(Options!$AL$4:$AL$28, Options!$D$4:$D$28, B57), SUMIFS(Options!$AL$4:$AL$28, Options!$D$4:$D$28, B57 &amp; " US"))=0,0,SUM(SUMIFS(Options!$AL$4:$AL$28, Options!$D$4:$D$28, B57), SUMIFS(Options!$AL$4:$AL$28, Options!$D$4:$D$28, B57 &amp; " US")))</f>
        <v>0</v>
      </c>
      <c r="R57" s="18">
        <f t="shared" si="12"/>
        <v>0</v>
      </c>
      <c r="S57" s="19">
        <f>IF(SUM(SUMIFS(Options!$AK$4:$AK$28, Options!$D$4:$D$28, B57), SUMIFS(Options!$AK$4:$AK$28, Options!$D$4:$D$28, B57 &amp; " US"))=0,0,SUM(SUMIFS(Options!$AK$4:$AK$28, Options!$D$4:$D$28, B57), SUMIFS(Options!AK$4:$AK$28, Options!$D$4:$D$28, B57 &amp; " US")))</f>
        <v>0</v>
      </c>
      <c r="T57" s="13">
        <f t="shared" si="6"/>
        <v>-2461525</v>
      </c>
      <c r="U57" s="47">
        <f t="shared" si="7"/>
        <v>-9.7510836583350902E-4</v>
      </c>
      <c r="V57" s="19">
        <f t="shared" si="8"/>
        <v>-3.2681545050839436E-2</v>
      </c>
      <c r="W57" s="15">
        <f t="shared" si="9"/>
        <v>4230.299056529997</v>
      </c>
      <c r="X57" s="18"/>
      <c r="Y57" s="301">
        <f>Tabelad[[#This Row],[Exp %]]*$Y$10*$AD$7/Tabelad[[#This Row],[Price Today]]</f>
        <v>-9624.9999999999982</v>
      </c>
      <c r="Z57" s="195">
        <f>Tabelad[[#This Row],[Vol 10d]]/16*Tabelad[[#This Row],[Exp %]]*100</f>
        <v>-8.0446117338544842E-2</v>
      </c>
      <c r="AA57" s="18">
        <f>Tabelad[[#This Row],[Exp %]]*Tabelad[[#This Row],[Beta]]</f>
        <v>-9.7763918612466189E-4</v>
      </c>
      <c r="AB57" s="35">
        <f>_xll.BDP($B57&amp;" Equity","volatility_10d")</f>
        <v>13.199947026569605</v>
      </c>
      <c r="AC57" s="35">
        <f>_xll.BDP(B57&amp;" EQUITY","eqy_beta")</f>
        <v>1.0025954246520996</v>
      </c>
      <c r="AD57" s="15">
        <f>Tabelad[[#This Row],[D1 P&amp;L bps]]*$AD$5/10000</f>
        <v>-7747.3578371184021</v>
      </c>
      <c r="AE57" s="206"/>
      <c r="AF57" s="185" t="str">
        <f>_xll.BDP(B57&amp;" Equity","EXPECTED_REPORT_DT")</f>
        <v>#N/A N/A</v>
      </c>
      <c r="AG57" s="139">
        <f>_xll.BDP(B57&amp;" Index","CHG_PCT_1D_PRE_FROM_REGULAR")/100</f>
        <v>-1.2330520000000001E-3</v>
      </c>
      <c r="AH57" s="19">
        <f t="shared" si="10"/>
        <v>1.2023593207077399E-2</v>
      </c>
      <c r="AI57" s="361" t="str">
        <f>_xll.BDP(B57&amp;" Equity","DVD_EX_DT")</f>
        <v>22/12/2025</v>
      </c>
    </row>
    <row r="58" spans="1:35">
      <c r="C58" s="39"/>
      <c r="D58" s="39"/>
      <c r="E58" s="39"/>
      <c r="H58" s="13"/>
      <c r="I58" s="52"/>
      <c r="K58" s="52"/>
      <c r="L58" s="52"/>
      <c r="M58" s="35"/>
      <c r="S58" s="206"/>
      <c r="U58" s="70"/>
      <c r="V58" s="64"/>
      <c r="X58" s="52"/>
      <c r="Y58" s="360"/>
      <c r="Z58" s="18"/>
      <c r="AG58" s="52"/>
      <c r="AI58" s="47"/>
    </row>
    <row r="59" spans="1:35">
      <c r="C59" s="20"/>
      <c r="D59" s="20"/>
      <c r="E59" s="20"/>
      <c r="H59" s="13"/>
      <c r="L59" s="3"/>
      <c r="S59" s="205"/>
    </row>
    <row r="60" spans="1:35">
      <c r="C60" s="20"/>
      <c r="D60" s="20"/>
      <c r="E60" s="20"/>
      <c r="H60" s="13"/>
      <c r="L60" s="3"/>
      <c r="S60" s="205"/>
    </row>
    <row r="61" spans="1:35">
      <c r="C61" s="20"/>
      <c r="D61" s="20"/>
      <c r="E61" s="20"/>
      <c r="H61" s="13"/>
      <c r="L61" s="3"/>
      <c r="S61" s="205"/>
    </row>
    <row r="62" spans="1:35">
      <c r="C62" s="20"/>
      <c r="D62" s="20"/>
      <c r="E62" s="20"/>
      <c r="H62" s="17"/>
      <c r="J62" s="17"/>
      <c r="S62" s="205"/>
    </row>
    <row r="63" spans="1:35">
      <c r="C63" s="20"/>
      <c r="D63" s="20"/>
      <c r="E63" s="20"/>
      <c r="H63" s="13"/>
      <c r="S63" s="205"/>
    </row>
    <row r="64" spans="1:35">
      <c r="C64" s="20"/>
      <c r="D64" s="20"/>
      <c r="E64" s="20"/>
      <c r="H64" s="13"/>
      <c r="J64" s="17"/>
    </row>
    <row r="65" spans="3:10">
      <c r="C65" s="20"/>
      <c r="D65" s="20"/>
      <c r="E65" s="20"/>
      <c r="J65" s="17"/>
    </row>
    <row r="66" spans="3:10">
      <c r="C66" s="20"/>
      <c r="D66" s="20"/>
      <c r="E66" s="20"/>
      <c r="J66" s="17"/>
    </row>
    <row r="67" spans="3:10">
      <c r="C67" s="20"/>
      <c r="D67" s="20"/>
      <c r="E67" s="20"/>
      <c r="H67" s="13"/>
      <c r="J67" s="17"/>
    </row>
    <row r="68" spans="3:10">
      <c r="C68" s="20"/>
      <c r="D68" s="20"/>
      <c r="E68" s="20"/>
      <c r="H68" s="13"/>
      <c r="J68" s="17"/>
    </row>
    <row r="69" spans="3:10">
      <c r="H69" s="13"/>
      <c r="J69" s="17"/>
    </row>
    <row r="70" spans="3:10">
      <c r="H70" s="13"/>
      <c r="J70" s="17"/>
    </row>
    <row r="71" spans="3:10">
      <c r="H71" s="13"/>
      <c r="J71" s="17"/>
    </row>
    <row r="72" spans="3:10">
      <c r="H72" s="13"/>
      <c r="J72" s="17"/>
    </row>
    <row r="73" spans="3:10">
      <c r="H73" s="13"/>
      <c r="J73" s="17"/>
    </row>
    <row r="74" spans="3:10">
      <c r="H74" s="13"/>
      <c r="J74" s="17"/>
    </row>
    <row r="75" spans="3:10">
      <c r="H75" s="13"/>
      <c r="J75" s="17"/>
    </row>
    <row r="76" spans="3:10">
      <c r="H76" s="13"/>
      <c r="J76" s="17"/>
    </row>
    <row r="77" spans="3:10">
      <c r="H77" s="13"/>
      <c r="J77" s="17"/>
    </row>
    <row r="78" spans="3:10">
      <c r="H78" s="13"/>
      <c r="J78" s="17"/>
    </row>
    <row r="79" spans="3:10">
      <c r="H79" s="13"/>
      <c r="J79" s="17"/>
    </row>
  </sheetData>
  <phoneticPr fontId="4" type="noConversion"/>
  <conditionalFormatting sqref="D1:D10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:I10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:M10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57">
    <cfRule type="colorScale" priority="589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57">
    <cfRule type="colorScale" priority="589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9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12:AB57">
    <cfRule type="dataBar" priority="5893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{7C06081F-9B2B-44CE-8C8E-D105E03986F9}</x14:id>
        </ext>
      </extLst>
    </cfRule>
  </conditionalFormatting>
  <conditionalFormatting sqref="AA12:AA57">
    <cfRule type="colorScale" priority="589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2:AC57">
    <cfRule type="dataBar" priority="5893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{6967236C-8B2B-4547-83AC-9A1BCEE55E8F}</x14:id>
        </ext>
      </extLst>
    </cfRule>
  </conditionalFormatting>
  <conditionalFormatting sqref="J12:J57">
    <cfRule type="colorScale" priority="589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2:J57">
    <cfRule type="colorScale" priority="5893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89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12:AF57">
    <cfRule type="colorScale" priority="589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2:U57">
    <cfRule type="colorScale" priority="589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4" r:id="rId4" name="Button 4">
              <controlPr defaultSize="0" print="0" autoFill="0" autoPict="0" macro="[0]!FImportarArquivoRelatorio2">
                <anchor moveWithCells="1" sizeWithCells="1">
                  <from>
                    <xdr:col>39</xdr:col>
                    <xdr:colOff>581025</xdr:colOff>
                    <xdr:row>3</xdr:row>
                    <xdr:rowOff>9525</xdr:rowOff>
                  </from>
                  <to>
                    <xdr:col>41</xdr:col>
                    <xdr:colOff>333375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5" name="Button 5">
              <controlPr defaultSize="0" print="0" autoFill="0" autoPict="0" macro="[0]!ImportarPrecosBTG">
                <anchor moveWithCells="1" sizeWithCells="1">
                  <from>
                    <xdr:col>40</xdr:col>
                    <xdr:colOff>600075</xdr:colOff>
                    <xdr:row>5</xdr:row>
                    <xdr:rowOff>152400</xdr:rowOff>
                  </from>
                  <to>
                    <xdr:col>42</xdr:col>
                    <xdr:colOff>342900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Cola_PL">
                <anchor moveWithCells="1" sizeWithCells="1">
                  <from>
                    <xdr:col>35</xdr:col>
                    <xdr:colOff>571500</xdr:colOff>
                    <xdr:row>2</xdr:row>
                    <xdr:rowOff>190500</xdr:rowOff>
                  </from>
                  <to>
                    <xdr:col>37</xdr:col>
                    <xdr:colOff>590550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C06081F-9B2B-44CE-8C8E-D105E03986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AB12:AB57</xm:sqref>
        </x14:conditionalFormatting>
        <x14:conditionalFormatting xmlns:xm="http://schemas.microsoft.com/office/excel/2006/main">
          <x14:cfRule type="dataBar" id="{6967236C-8B2B-4547-83AC-9A1BCEE55E8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AC12:AC57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8720F-9028-4D6D-9843-ED7DFFC9E1CA}">
  <sheetPr codeName="Sheet2"/>
  <dimension ref="A1:BD45"/>
  <sheetViews>
    <sheetView zoomScale="90" zoomScaleNormal="90" workbookViewId="0">
      <pane xSplit="8" ySplit="3" topLeftCell="I4" activePane="bottomRight" state="frozen"/>
      <selection pane="topRight" activeCell="I1" sqref="I1"/>
      <selection pane="bottomLeft" activeCell="A4" sqref="A4"/>
      <selection pane="bottomRight" activeCell="AE23" sqref="AE23"/>
    </sheetView>
  </sheetViews>
  <sheetFormatPr defaultRowHeight="15" outlineLevelCol="1"/>
  <cols>
    <col min="1" max="1" width="3.85546875" style="1" customWidth="1"/>
    <col min="2" max="2" width="23.28515625" customWidth="1"/>
    <col min="3" max="3" width="6.28515625" customWidth="1" outlineLevel="1"/>
    <col min="4" max="4" width="9" customWidth="1" outlineLevel="1"/>
    <col min="5" max="5" width="11.42578125" style="260" customWidth="1" outlineLevel="1"/>
    <col min="6" max="6" width="4.5703125" customWidth="1" outlineLevel="1"/>
    <col min="7" max="7" width="6.140625" customWidth="1" outlineLevel="1"/>
    <col min="8" max="8" width="7.140625" style="35" customWidth="1"/>
    <col min="9" max="9" width="8.42578125" customWidth="1" outlineLevel="1"/>
    <col min="10" max="10" width="9.7109375" customWidth="1" outlineLevel="1"/>
    <col min="11" max="13" width="8.28515625" customWidth="1" outlineLevel="1"/>
    <col min="14" max="14" width="3" style="126" customWidth="1" outlineLevel="1"/>
    <col min="15" max="15" width="9.85546875" customWidth="1" outlineLevel="1"/>
    <col min="16" max="17" width="8.7109375" customWidth="1" outlineLevel="1"/>
    <col min="18" max="18" width="9.140625" customWidth="1" outlineLevel="1"/>
    <col min="19" max="19" width="7.140625" customWidth="1" outlineLevel="1"/>
    <col min="20" max="20" width="7.42578125" customWidth="1" outlineLevel="1"/>
    <col min="21" max="21" width="10.85546875" style="64" customWidth="1" outlineLevel="1"/>
    <col min="22" max="23" width="8.140625" style="49" customWidth="1"/>
    <col min="24" max="24" width="7.5703125" customWidth="1" outlineLevel="1"/>
    <col min="25" max="25" width="8.140625" style="203" customWidth="1" outlineLevel="1"/>
    <col min="26" max="26" width="9.85546875" style="2" customWidth="1"/>
    <col min="27" max="27" width="10.42578125" style="2" customWidth="1"/>
    <col min="28" max="29" width="8.7109375" customWidth="1"/>
    <col min="30" max="31" width="8" customWidth="1"/>
    <col min="32" max="32" width="6.7109375" customWidth="1"/>
    <col min="33" max="33" width="8.85546875" style="70" customWidth="1"/>
    <col min="34" max="34" width="8.28515625" customWidth="1"/>
    <col min="35" max="36" width="6.85546875" style="13" customWidth="1"/>
    <col min="37" max="37" width="8.28515625" style="13" customWidth="1" outlineLevel="1"/>
    <col min="38" max="39" width="13" customWidth="1" outlineLevel="1"/>
    <col min="40" max="40" width="6.5703125" style="49" customWidth="1" outlineLevel="1"/>
    <col min="41" max="41" width="7.85546875" customWidth="1" outlineLevel="1"/>
    <col min="42" max="42" width="9.85546875" customWidth="1" outlineLevel="1"/>
    <col min="43" max="43" width="11.7109375" customWidth="1" outlineLevel="1"/>
    <col min="44" max="44" width="8.7109375" style="65" customWidth="1" outlineLevel="1"/>
    <col min="45" max="45" width="13.7109375" customWidth="1" outlineLevel="1"/>
    <col min="46" max="46" width="15" customWidth="1" outlineLevel="1"/>
    <col min="47" max="47" width="9.140625" customWidth="1" outlineLevel="1"/>
    <col min="48" max="48" width="8.28515625" style="205" customWidth="1" outlineLevel="1"/>
    <col min="49" max="49" width="9.140625" customWidth="1" outlineLevel="1"/>
    <col min="50" max="51" width="9.85546875" customWidth="1" outlineLevel="1"/>
    <col min="52" max="52" width="9.140625" customWidth="1" outlineLevel="1"/>
  </cols>
  <sheetData>
    <row r="1" spans="1:56">
      <c r="B1" s="205">
        <f>'Master P&amp;L'!V10</f>
        <v>-1.8140570642489464</v>
      </c>
      <c r="C1" s="94"/>
      <c r="D1" s="94"/>
      <c r="E1" s="261"/>
      <c r="F1" s="94"/>
      <c r="G1" s="94"/>
      <c r="H1" s="264">
        <f>548-256</f>
        <v>292</v>
      </c>
      <c r="I1" s="160"/>
      <c r="J1" s="159" t="s">
        <v>373</v>
      </c>
      <c r="K1" s="73" t="str">
        <f>_xll.BDP(B1&amp;" index","PX_YEST_CLOSE")</f>
        <v>#N/A Requesting Data...</v>
      </c>
      <c r="L1" s="73" t="str">
        <f>_xll.BDP($B1&amp;" Index","mid")</f>
        <v>#N/A Requesting Data...</v>
      </c>
      <c r="O1" s="160" t="e">
        <f>#REF!-#REF!-#REF!</f>
        <v>#REF!</v>
      </c>
      <c r="P1" s="160"/>
      <c r="Q1" s="160"/>
      <c r="R1" s="160" t="e">
        <f>#REF!-#REF!-#REF!</f>
        <v>#REF!</v>
      </c>
      <c r="S1" s="94"/>
      <c r="T1" s="94"/>
      <c r="U1" s="94"/>
      <c r="V1" s="49">
        <f>SUM(V4:V28)</f>
        <v>23.115538689885277</v>
      </c>
      <c r="W1" s="49">
        <f>SUM(W4:W28)</f>
        <v>6.9300530209501581</v>
      </c>
      <c r="X1" s="49">
        <f>SUM(X4:X28)</f>
        <v>26.360000000000014</v>
      </c>
      <c r="Y1" s="198"/>
      <c r="AG1" s="42"/>
      <c r="AI1" s="341">
        <f>SUM(AI4:AI28)*252</f>
        <v>-19.770613674474308</v>
      </c>
      <c r="AJ1" s="341"/>
      <c r="AK1" s="290" t="s">
        <v>567</v>
      </c>
      <c r="AL1" s="14"/>
      <c r="AM1" s="94"/>
      <c r="AN1" s="114"/>
      <c r="AO1" s="13"/>
      <c r="AP1" s="94"/>
      <c r="AQ1" s="94"/>
      <c r="AR1" s="94"/>
      <c r="AS1" s="94"/>
      <c r="AT1" s="94"/>
      <c r="AU1" s="94"/>
      <c r="AV1" s="253"/>
      <c r="AX1" s="13"/>
      <c r="AY1" s="13"/>
    </row>
    <row r="2" spans="1:56">
      <c r="I2" s="63" t="e">
        <f>#REF!-#REF!</f>
        <v>#REF!</v>
      </c>
      <c r="J2" s="63"/>
      <c r="K2" s="73" t="str" cm="1">
        <f t="array" ref="K2">_xll.BDP(B2&amp;" Equity","PX_YEST_CLOSE")</f>
        <v>#N/A Invalid Security</v>
      </c>
      <c r="L2" s="73" t="str" cm="1">
        <f t="array" ref="L2">_xll.BDP($B2&amp;" Equity","mid")</f>
        <v>#N/A Invalid Security</v>
      </c>
      <c r="P2" s="35" t="str" cm="1">
        <f t="array" ref="P2">_xll.BDP($B2&amp;" Equity","bid")</f>
        <v>#N/A Invalid Security</v>
      </c>
      <c r="Q2" s="35" t="str" cm="1">
        <f t="array" ref="Q2">_xll.BDP($B2&amp;" Equity","ask")</f>
        <v>#N/A Invalid Security</v>
      </c>
      <c r="R2" s="63" t="e">
        <f>#REF!-#REF!-0.5*#REF!</f>
        <v>#REF!</v>
      </c>
      <c r="S2" s="126" t="e">
        <f>R2/Q2-1</f>
        <v>#REF!</v>
      </c>
      <c r="U2" s="13" t="e">
        <f>SUM(#REF!)</f>
        <v>#REF!</v>
      </c>
      <c r="V2" s="117" t="s">
        <v>140</v>
      </c>
      <c r="W2" s="117" t="s">
        <v>140</v>
      </c>
      <c r="X2" s="35"/>
      <c r="Y2" s="199"/>
      <c r="AG2" s="108" t="s">
        <v>140</v>
      </c>
      <c r="AH2" s="108" t="s">
        <v>140</v>
      </c>
      <c r="AI2" s="108" t="s">
        <v>140</v>
      </c>
      <c r="AJ2" s="108"/>
      <c r="AK2" s="108" t="s">
        <v>140</v>
      </c>
      <c r="AL2" s="13"/>
      <c r="AR2" s="112"/>
      <c r="AS2" s="58"/>
    </row>
    <row r="3" spans="1:56" s="10" customFormat="1" ht="60">
      <c r="A3" s="131"/>
      <c r="B3" s="10" t="s">
        <v>141</v>
      </c>
      <c r="C3" s="10" t="s">
        <v>142</v>
      </c>
      <c r="D3" s="10" t="s">
        <v>143</v>
      </c>
      <c r="E3" s="262" t="s">
        <v>144</v>
      </c>
      <c r="F3" s="10" t="s">
        <v>145</v>
      </c>
      <c r="G3" s="10" t="s">
        <v>146</v>
      </c>
      <c r="H3" s="10" t="s">
        <v>147</v>
      </c>
      <c r="I3" s="59" t="s">
        <v>64</v>
      </c>
      <c r="J3" s="66" t="s">
        <v>148</v>
      </c>
      <c r="K3" s="66" t="s">
        <v>149</v>
      </c>
      <c r="L3" s="82" t="s">
        <v>150</v>
      </c>
      <c r="M3" s="66" t="s">
        <v>151</v>
      </c>
      <c r="N3" s="278"/>
      <c r="O3" s="10" t="s">
        <v>51</v>
      </c>
      <c r="P3" s="66" t="s">
        <v>152</v>
      </c>
      <c r="Q3" s="66" t="s">
        <v>153</v>
      </c>
      <c r="R3" s="66" t="s">
        <v>154</v>
      </c>
      <c r="S3" s="59" t="s">
        <v>124</v>
      </c>
      <c r="T3" s="10" t="s">
        <v>125</v>
      </c>
      <c r="U3" s="59" t="s">
        <v>155</v>
      </c>
      <c r="V3" s="118" t="s">
        <v>156</v>
      </c>
      <c r="W3" s="118" t="s">
        <v>157</v>
      </c>
      <c r="X3" s="67" t="s">
        <v>158</v>
      </c>
      <c r="Y3" s="200" t="s">
        <v>159</v>
      </c>
      <c r="Z3" s="119" t="s">
        <v>160</v>
      </c>
      <c r="AA3" s="119" t="s">
        <v>161</v>
      </c>
      <c r="AB3" s="68" t="s">
        <v>162</v>
      </c>
      <c r="AC3" s="68" t="s">
        <v>452</v>
      </c>
      <c r="AD3" s="10" t="s">
        <v>451</v>
      </c>
      <c r="AE3" s="10" t="s">
        <v>453</v>
      </c>
      <c r="AF3" s="10" t="s">
        <v>163</v>
      </c>
      <c r="AG3" s="93" t="s">
        <v>164</v>
      </c>
      <c r="AH3" s="10" t="s">
        <v>172</v>
      </c>
      <c r="AI3" s="67" t="s">
        <v>168</v>
      </c>
      <c r="AJ3" s="67" t="s">
        <v>784</v>
      </c>
      <c r="AK3" s="67" t="s">
        <v>104</v>
      </c>
      <c r="AL3" s="59" t="s">
        <v>165</v>
      </c>
      <c r="AM3" s="71" t="s">
        <v>171</v>
      </c>
      <c r="AN3" s="115" t="s">
        <v>166</v>
      </c>
      <c r="AO3" s="10" t="s">
        <v>167</v>
      </c>
      <c r="AP3" s="69" t="s">
        <v>169</v>
      </c>
      <c r="AQ3" s="10" t="s">
        <v>170</v>
      </c>
      <c r="AR3" s="113" t="s">
        <v>173</v>
      </c>
      <c r="AS3" s="109">
        <v>0.01</v>
      </c>
      <c r="AT3" s="109">
        <v>0.05</v>
      </c>
      <c r="AU3" s="110">
        <v>0.01</v>
      </c>
      <c r="AV3" s="254" t="s">
        <v>73</v>
      </c>
      <c r="AW3" s="10" t="s">
        <v>174</v>
      </c>
      <c r="AX3" s="10" t="s">
        <v>175</v>
      </c>
      <c r="AY3" s="10" t="s">
        <v>176</v>
      </c>
      <c r="AZ3" s="10" t="s">
        <v>351</v>
      </c>
      <c r="BA3" s="10" t="s">
        <v>511</v>
      </c>
      <c r="BB3" s="10" t="s">
        <v>514</v>
      </c>
      <c r="BC3" s="10" t="s">
        <v>515</v>
      </c>
      <c r="BD3" s="10" t="s">
        <v>516</v>
      </c>
    </row>
    <row r="4" spans="1:56" ht="15.75" customHeight="1">
      <c r="A4" s="263"/>
      <c r="B4" s="72" t="s">
        <v>1076</v>
      </c>
      <c r="C4" s="72" t="str" cm="1">
        <f t="array" ref="C4">_xll.BDP($B4&amp;" Equity","opt_put_call")</f>
        <v>Call</v>
      </c>
      <c r="D4" s="72" t="str" cm="1">
        <f t="array" ref="D4">_xll.BDP(B4&amp;" Equity","OPT_UNDL_TICKER")</f>
        <v>AMZN US</v>
      </c>
      <c r="E4" s="72" t="str" cm="1">
        <f t="array" ref="E4">_xll.BDP($B4&amp;" Equity","mifid_Maturity_date")</f>
        <v>17/07/2026</v>
      </c>
      <c r="F4" s="72" cm="1">
        <f t="array" ref="F4">_xll.BDP($B4&amp;" Equity","opt_days_expire")</f>
        <v>154</v>
      </c>
      <c r="G4" s="72" t="str" cm="1">
        <f t="array" ref="G4">_xll.BDP(B4&amp;" Equity","QUOTED_CURRENCY_REALTIME")</f>
        <v>USD</v>
      </c>
      <c r="H4" s="41">
        <v>-300</v>
      </c>
      <c r="I4" s="335">
        <v>7.61</v>
      </c>
      <c r="J4" s="14">
        <f>VLOOKUP(B4,Precificação!$B:$O,14,FALSE)</f>
        <v>6.6</v>
      </c>
      <c r="K4" s="73">
        <f>J4</f>
        <v>6.6</v>
      </c>
      <c r="L4" s="73" cm="1">
        <f t="array" ref="L4">_xll.BDP($B4&amp;" Equity","mid")</f>
        <v>6.25</v>
      </c>
      <c r="M4" s="74">
        <f t="shared" ref="M4:M28" si="0">L4/Z4</f>
        <v>3.1440213290406964E-2</v>
      </c>
      <c r="N4" s="279"/>
      <c r="O4" s="74">
        <f t="shared" ref="O4:O28" si="1">L4/K4-1</f>
        <v>-5.3030303030302983E-2</v>
      </c>
      <c r="P4" s="73" cm="1">
        <f t="array" ref="P4">_xll.BDP($B4&amp;" Equity","bid")</f>
        <v>6.2</v>
      </c>
      <c r="Q4" s="73" cm="1">
        <f t="array" ref="Q4">_xll.BDP($B4&amp;" Equity","ask")</f>
        <v>6.3</v>
      </c>
      <c r="R4" s="75">
        <f t="shared" ref="R4:R28" si="2">(Q4/P4-1)</f>
        <v>1.6129032258064502E-2</v>
      </c>
      <c r="S4" s="35" cm="1">
        <f t="array" ref="S4">_xll.BDP(G4&amp;" Curncy","PX_LAST")</f>
        <v>1</v>
      </c>
      <c r="T4" s="41" cm="1">
        <f t="array" ref="T4">_xll.BDP(B4&amp;" Equity","OPT_MULTIPLIER")</f>
        <v>100</v>
      </c>
      <c r="U4" s="41">
        <f t="shared" ref="U4:U28" si="3">(L4/S4)*H4*T4</f>
        <v>-187500</v>
      </c>
      <c r="V4" s="111">
        <f>U4/'Master P&amp;L'!$AD$7*10000</f>
        <v>-0.74276238751904999</v>
      </c>
      <c r="W4" s="111">
        <f>(Y4*H4*T4/S4)/'Master P&amp;L'!$AD$7*10000</f>
        <v>-0.74276238751904999</v>
      </c>
      <c r="X4" s="116">
        <f t="shared" ref="X4:X28" si="4">IF(C4="Put",IF(Z4&lt;AA4,AA4-Z4,0),IF(Z4&gt;AA4,Z4-AA4,0))</f>
        <v>0</v>
      </c>
      <c r="Y4" s="201">
        <f t="shared" ref="Y4:Y28" si="5">L4-X4</f>
        <v>6.25</v>
      </c>
      <c r="Z4" s="76">
        <f>_xll.BDP(D4&amp;" Equity","LAST_PRICE")</f>
        <v>198.79</v>
      </c>
      <c r="AA4" s="76" cm="1">
        <f t="array" ref="AA4">_xll.BDP(B4&amp;" Equity","OPT_STRIKE_PX")</f>
        <v>240</v>
      </c>
      <c r="AB4" s="75">
        <f t="shared" ref="AB4:AB28" si="6">AA4/Z4-1</f>
        <v>0.2073041903516275</v>
      </c>
      <c r="AC4" s="251" cm="1">
        <f t="array" ref="AC4">_xll.BDP($D4&amp;" Equity","volatility_10d")</f>
        <v>28.888844200440705</v>
      </c>
      <c r="AD4" s="76" cm="1">
        <f t="array" ref="AD4">_xll.BDP(B4&amp;" Equity","ivol_mid")</f>
        <v>35.058929999999997</v>
      </c>
      <c r="AE4" s="76">
        <f t="shared" ref="AE4:AE28" si="7">AD4/AC4</f>
        <v>1.2135802234505861</v>
      </c>
      <c r="AF4" s="77" cm="1">
        <f t="array" ref="AF4">_xll.BDP(B4&amp;" Equity","DELTA_MID_RT")</f>
        <v>0.25737655162811279</v>
      </c>
      <c r="AG4" s="74">
        <f>AL4/'Master P&amp;L'!$AE$7</f>
        <v>-6.0804174645038666E-4</v>
      </c>
      <c r="AH4" s="74">
        <f>AM4/'Master P&amp;L'!$AE$7</f>
        <v>-2.3624597602385912E-3</v>
      </c>
      <c r="AI4" s="353">
        <f>AO4/'Master P&amp;L'!$AD$7*10000</f>
        <v>5.5965001997123143E-3</v>
      </c>
      <c r="AJ4" s="277">
        <f t="shared" ref="AJ4:AJ28" si="8">(252*AI4)/$AI$1</f>
        <v>-7.133405535855239E-2</v>
      </c>
      <c r="AK4" s="77">
        <f>AP4/'Master P&amp;L'!$AD$7*10000</f>
        <v>4.1594693701066755E-2</v>
      </c>
      <c r="AL4" s="41">
        <f t="shared" ref="AL4:AL28" si="9">Z4*AF4*H4*T4/S4</f>
        <v>-1534916.5409445763</v>
      </c>
      <c r="AM4" s="41">
        <f t="shared" ref="AM4:AM28" si="10">IF(C4="Put",-Z4*H4*T4/S4,Z4*H4*T4/S4)</f>
        <v>-5963700</v>
      </c>
      <c r="AN4" s="77" cm="1">
        <f t="array" ref="AN4">_xll.BDP($B4&amp;" Equity","theta_mid_rt")</f>
        <v>-4.7091946005821228E-2</v>
      </c>
      <c r="AO4" s="41">
        <f t="shared" ref="AO4:AO28" si="11">AN4*H4*T4/S4</f>
        <v>1412.7583801746368</v>
      </c>
      <c r="AP4" s="41">
        <f t="shared" ref="AP4:AP28" si="12">(L4-K4)*T4/S4*H4</f>
        <v>10499.999999999989</v>
      </c>
      <c r="AQ4" s="73" t="str" cm="1">
        <f t="array" ref="AQ4">_xll.BDP($D4&amp;" Equity","EXPECTED_REPORT_DT")</f>
        <v>01/05/2026</v>
      </c>
      <c r="AR4" s="189" cm="1">
        <f t="array" ref="AR4">_xll.BDP($B4&amp;" Equity","GAMMA_LAST")</f>
        <v>1.4243E-2</v>
      </c>
      <c r="AS4" s="72">
        <f t="shared" ref="AS4:AS28" si="13">$Z4*($AR4*$Z4*$AS$3)*$H4*$T4/$S4</f>
        <v>-168854.17235288996</v>
      </c>
      <c r="AT4" s="72">
        <f t="shared" ref="AT4:AT28" si="14">$Z4*($AR4*$Z4*$AT$3)*$H4*$T4/$S4</f>
        <v>-844270.86176444986</v>
      </c>
      <c r="AU4" s="72" t="s">
        <v>95</v>
      </c>
      <c r="AV4" s="250" cm="1">
        <f t="array" ref="AV4">_xll.BDP($D4&amp;" Equity","EST_PE_NXT_YR")*(AA4/Z4)</f>
        <v>21.917808219178081</v>
      </c>
      <c r="AW4" s="72"/>
      <c r="AX4" s="41"/>
      <c r="AY4" s="250">
        <v>6.25</v>
      </c>
      <c r="AZ4" s="281"/>
      <c r="BA4" s="41">
        <f t="shared" ref="BA4:BA28" si="15">+AY4</f>
        <v>6.25</v>
      </c>
      <c r="BB4" s="273">
        <f t="shared" ref="BB4:BB28" si="16">+J4</f>
        <v>6.6</v>
      </c>
      <c r="BC4" s="273">
        <f t="shared" ref="BC4:BC28" si="17">(BB4-BA4)*H4*100</f>
        <v>-10499.999999999989</v>
      </c>
      <c r="BD4" s="273">
        <f>BC4/'Master P&amp;L'!$AD$7*10000</f>
        <v>-4.1594693701066755E-2</v>
      </c>
    </row>
    <row r="5" spans="1:56" ht="15.75" customHeight="1">
      <c r="A5" s="283"/>
      <c r="B5" t="s">
        <v>1074</v>
      </c>
      <c r="C5" t="str" cm="1">
        <f t="array" ref="C5">_xll.BDP($B5&amp;" Equity","opt_put_call")</f>
        <v>Put</v>
      </c>
      <c r="D5" t="str" cm="1">
        <f t="array" ref="D5">_xll.BDP(B5&amp;" Equity","OPT_UNDL_TICKER")</f>
        <v>AMZN US</v>
      </c>
      <c r="E5" t="str" cm="1">
        <f t="array" ref="E5">_xll.BDP($B5&amp;" Equity","mifid_Maturity_date")</f>
        <v>17/07/2026</v>
      </c>
      <c r="F5" cm="1">
        <f t="array" ref="F5">_xll.BDP($B5&amp;" Equity","opt_days_expire")</f>
        <v>154</v>
      </c>
      <c r="G5" t="str" cm="1">
        <f t="array" ref="G5">_xll.BDP(B5&amp;" Equity","QUOTED_CURRENCY_REALTIME")</f>
        <v>USD</v>
      </c>
      <c r="H5" s="15">
        <v>-300</v>
      </c>
      <c r="I5" s="336">
        <v>7.7</v>
      </c>
      <c r="J5" s="14">
        <f>VLOOKUP(B5,Precificação!$B:$O,14,FALSE)</f>
        <v>9.3249999999999993</v>
      </c>
      <c r="K5" s="73">
        <f t="shared" ref="K5:K28" si="18">J5</f>
        <v>9.3249999999999993</v>
      </c>
      <c r="L5" s="35" cm="1">
        <f t="array" ref="L5">_xll.BDP($B5&amp;" Equity","mid")</f>
        <v>9.3800000000000008</v>
      </c>
      <c r="M5" s="18">
        <f t="shared" si="0"/>
        <v>4.7185472106242778E-2</v>
      </c>
      <c r="N5" s="277"/>
      <c r="O5" s="18">
        <f t="shared" si="1"/>
        <v>5.8981233243968756E-3</v>
      </c>
      <c r="P5" s="35" cm="1">
        <f t="array" ref="P5">_xll.BDP($B5&amp;" Equity","bid")</f>
        <v>9.3000000000000007</v>
      </c>
      <c r="Q5" s="35" cm="1">
        <f t="array" ref="Q5">_xll.BDP($B5&amp;" Equity","ask")</f>
        <v>9.4499999999999993</v>
      </c>
      <c r="R5" s="39">
        <f t="shared" si="2"/>
        <v>1.612903225806428E-2</v>
      </c>
      <c r="S5" s="35" cm="1">
        <f t="array" ref="S5">_xll.BDP(G5&amp;" Curncy","PX_LAST")</f>
        <v>1</v>
      </c>
      <c r="T5" s="15" cm="1">
        <f t="array" ref="T5">_xll.BDP(B5&amp;" Equity","OPT_MULTIPLIER")</f>
        <v>100</v>
      </c>
      <c r="U5" s="15">
        <f t="shared" si="3"/>
        <v>-281400.00000000006</v>
      </c>
      <c r="V5" s="122">
        <f>U5/'Master P&amp;L'!$AD$7*10000</f>
        <v>-1.1147377911885903</v>
      </c>
      <c r="W5" s="122">
        <f>(Y5*H5*T5/S5)/'Master P&amp;L'!$AD$7*10000</f>
        <v>-1.1147377911885903</v>
      </c>
      <c r="X5" s="339">
        <f t="shared" si="4"/>
        <v>0</v>
      </c>
      <c r="Y5" s="202">
        <f t="shared" si="5"/>
        <v>9.3800000000000008</v>
      </c>
      <c r="Z5" s="36">
        <f>_xll.BDP(D5&amp;" Equity","LAST_PRICE")</f>
        <v>198.79</v>
      </c>
      <c r="AA5" s="36" cm="1">
        <f t="array" ref="AA5">_xll.BDP(B5&amp;" Equity","OPT_STRIKE_PX")</f>
        <v>180</v>
      </c>
      <c r="AB5" s="39">
        <f t="shared" si="6"/>
        <v>-9.4521857236279483E-2</v>
      </c>
      <c r="AC5" s="252" cm="1">
        <f t="array" ref="AC5">_xll.BDP($D5&amp;" Equity","volatility_10d")</f>
        <v>28.888844200440705</v>
      </c>
      <c r="AD5" s="36" cm="1">
        <f t="array" ref="AD5">_xll.BDP(B5&amp;" Equity","ivol_mid")</f>
        <v>37.439010000000003</v>
      </c>
      <c r="AE5" s="36">
        <f t="shared" si="7"/>
        <v>1.2959677355118577</v>
      </c>
      <c r="AF5" s="37" cm="1">
        <f t="array" ref="AF5">_xll.BDP(B5&amp;" Equity","DELTA_MID_RT")</f>
        <v>-0.27932128310203552</v>
      </c>
      <c r="AG5" s="18">
        <f>AL5/'Master P&amp;L'!$AE$7</f>
        <v>6.5988529150677047E-4</v>
      </c>
      <c r="AH5" s="18">
        <f>AM5/'Master P&amp;L'!$AE$7</f>
        <v>2.3624597602385912E-3</v>
      </c>
      <c r="AI5" s="352">
        <f>AO5/'Master P&amp;L'!$AD$7*10000</f>
        <v>6.3132440580489658E-3</v>
      </c>
      <c r="AJ5" s="277">
        <f t="shared" si="8"/>
        <v>-8.0469808819459504E-2</v>
      </c>
      <c r="AK5" s="37">
        <f>AP5/'Master P&amp;L'!$AD$7*10000</f>
        <v>-6.5363090101678168E-3</v>
      </c>
      <c r="AL5" s="15">
        <f t="shared" si="9"/>
        <v>1665788.3360356092</v>
      </c>
      <c r="AM5" s="15">
        <f t="shared" si="10"/>
        <v>5963700</v>
      </c>
      <c r="AN5" s="37" cm="1">
        <f t="array" ref="AN5">_xll.BDP($B5&amp;" Equity","theta_mid_rt")</f>
        <v>-5.3123012185096741E-2</v>
      </c>
      <c r="AO5" s="15">
        <f t="shared" si="11"/>
        <v>1593.6903655529022</v>
      </c>
      <c r="AP5" s="15">
        <f t="shared" si="12"/>
        <v>-1650.0000000000448</v>
      </c>
      <c r="AQ5" s="35" t="str" cm="1">
        <f t="array" ref="AQ5">_xll.BDP($D5&amp;" Equity","EXPECTED_REPORT_DT")</f>
        <v>01/05/2026</v>
      </c>
      <c r="AR5" s="65" cm="1">
        <f t="array" ref="AR5">_xll.BDP($B5&amp;" Equity","GAMMA_LAST")</f>
        <v>1.4142E-2</v>
      </c>
      <c r="AS5">
        <f t="shared" si="13"/>
        <v>-167656.79319065998</v>
      </c>
      <c r="AT5">
        <f t="shared" si="14"/>
        <v>-838283.96595330001</v>
      </c>
      <c r="AU5" t="s">
        <v>95</v>
      </c>
      <c r="AV5" s="206" cm="1">
        <f t="array" ref="AV5">_xll.BDP($D5&amp;" Equity","EST_PE_NXT_YR")*(AA5/Z5)</f>
        <v>16.438356164383556</v>
      </c>
      <c r="AX5" s="15"/>
      <c r="AY5" s="206">
        <v>9.3800000000000008</v>
      </c>
      <c r="AZ5" s="282"/>
      <c r="BA5" s="15">
        <f t="shared" si="15"/>
        <v>9.3800000000000008</v>
      </c>
      <c r="BB5" s="340">
        <f t="shared" si="16"/>
        <v>9.3249999999999993</v>
      </c>
      <c r="BC5" s="340">
        <f t="shared" si="17"/>
        <v>1650.0000000000448</v>
      </c>
      <c r="BD5" s="340">
        <f>BC5/'Master P&amp;L'!$AD$7*10000</f>
        <v>6.5363090101678168E-3</v>
      </c>
    </row>
    <row r="6" spans="1:56" s="58" customFormat="1" ht="15.75" customHeight="1">
      <c r="A6" s="589"/>
      <c r="B6" s="58" t="s">
        <v>819</v>
      </c>
      <c r="C6" s="58" t="str" cm="1">
        <f t="array" ref="C6">_xll.BDP($B6&amp;" Equity","opt_put_call")</f>
        <v>Call</v>
      </c>
      <c r="D6" s="58" t="str" cm="1">
        <f t="array" ref="D6">_xll.BDP(B6&amp;" Equity","OPT_UNDL_TICKER")</f>
        <v>ASHR US</v>
      </c>
      <c r="E6" s="58" t="str" cm="1">
        <f t="array" ref="E6">_xll.BDP($B6&amp;" Equity","mifid_Maturity_date")</f>
        <v>20/02/2026</v>
      </c>
      <c r="F6" s="58" cm="1">
        <f t="array" ref="F6">_xll.BDP($B6&amp;" Equity","opt_days_expire")</f>
        <v>7</v>
      </c>
      <c r="G6" s="58" t="str" cm="1">
        <f t="array" ref="G6">_xll.BDP(B6&amp;" Equity","QUOTED_CURRENCY_REALTIME")</f>
        <v>USD</v>
      </c>
      <c r="H6" s="330">
        <v>2000</v>
      </c>
      <c r="I6" s="337">
        <v>0.28999999999999998</v>
      </c>
      <c r="J6" s="14">
        <f>VLOOKUP(B6,Precificação!$B:$O,14,FALSE)</f>
        <v>3.6235229000000001E-2</v>
      </c>
      <c r="K6" s="14">
        <f t="shared" si="18"/>
        <v>3.6235229000000001E-2</v>
      </c>
      <c r="L6" s="14">
        <f>+K6</f>
        <v>3.6235229000000001E-2</v>
      </c>
      <c r="M6" s="125">
        <f t="shared" si="0"/>
        <v>1.0758678444180523E-3</v>
      </c>
      <c r="N6" s="350"/>
      <c r="O6" s="125">
        <f t="shared" si="1"/>
        <v>0</v>
      </c>
      <c r="P6" s="14" t="str" cm="1">
        <f t="array" ref="P6">_xll.BDP($B6&amp;" Equity","bid")</f>
        <v>#N/A N/A</v>
      </c>
      <c r="Q6" s="14" cm="1">
        <f t="array" ref="Q6">_xll.BDP($B6&amp;" Equity","ask")</f>
        <v>0.02</v>
      </c>
      <c r="R6" s="349" t="e">
        <f t="shared" si="2"/>
        <v>#VALUE!</v>
      </c>
      <c r="S6" s="14" cm="1">
        <f t="array" ref="S6">_xll.BDP(G6&amp;" Curncy","PX_LAST")</f>
        <v>1</v>
      </c>
      <c r="T6" s="330" cm="1">
        <f t="array" ref="T6">_xll.BDP(B6&amp;" Equity","OPT_MULTIPLIER")</f>
        <v>100</v>
      </c>
      <c r="U6" s="330">
        <f t="shared" si="3"/>
        <v>7247.0458000000008</v>
      </c>
      <c r="V6" s="590">
        <f>U6/'Master P&amp;L'!$AD$7*10000</f>
        <v>2.8708442884628822E-2</v>
      </c>
      <c r="W6" s="590">
        <f>(Y6*H6*T6/S6)/'Master P&amp;L'!$AD$7*10000</f>
        <v>2.8708442884628822E-2</v>
      </c>
      <c r="X6" s="591">
        <f t="shared" si="4"/>
        <v>0</v>
      </c>
      <c r="Y6" s="592">
        <f t="shared" si="5"/>
        <v>3.6235229000000001E-2</v>
      </c>
      <c r="Z6" s="593">
        <f>_xll.BDP(D6&amp;" Equity","LAST_PRICE")</f>
        <v>33.68</v>
      </c>
      <c r="AA6" s="593" cm="1">
        <f t="array" ref="AA6">_xll.BDP(B6&amp;" Equity","OPT_STRIKE_PX")</f>
        <v>35</v>
      </c>
      <c r="AB6" s="349">
        <f t="shared" si="6"/>
        <v>3.9192399049881255E-2</v>
      </c>
      <c r="AC6" s="351" cm="1">
        <f t="array" ref="AC6">_xll.BDP($D6&amp;" Equity","volatility_10d")</f>
        <v>13.030821003897936</v>
      </c>
      <c r="AD6" s="593" cm="1">
        <f t="array" ref="AD6">_xll.BDP(B6&amp;" Equity","ivol_mid")</f>
        <v>19.017009999999999</v>
      </c>
      <c r="AE6" s="593">
        <f t="shared" si="7"/>
        <v>1.4593869407239499</v>
      </c>
      <c r="AF6" s="594" cm="1">
        <f t="array" ref="AF6">_xll.BDP(B6&amp;" Equity","DELTA_MID_RT")</f>
        <v>5.835263803601265E-2</v>
      </c>
      <c r="AG6" s="125">
        <f>AL6/'Master P&amp;L'!$AE$7</f>
        <v>1.5570809973695495E-4</v>
      </c>
      <c r="AH6" s="125">
        <f>AM6/'Master P&amp;L'!$AE$7</f>
        <v>2.6683986359084377E-3</v>
      </c>
      <c r="AI6" s="595">
        <f>AO6/'Master P&amp;L'!$AD$7*10000</f>
        <v>-5.9658328649185707E-3</v>
      </c>
      <c r="AJ6" s="350">
        <f t="shared" si="8"/>
        <v>7.6041639714021378E-2</v>
      </c>
      <c r="AK6" s="594">
        <f>AP6/'Master P&amp;L'!$AD$7*10000</f>
        <v>0</v>
      </c>
      <c r="AL6" s="330">
        <f t="shared" si="9"/>
        <v>393063.36981058121</v>
      </c>
      <c r="AM6" s="330">
        <f t="shared" si="10"/>
        <v>6736000</v>
      </c>
      <c r="AN6" s="594" cm="1">
        <f t="array" ref="AN6">_xll.BDP($B6&amp;" Equity","theta_mid_rt")</f>
        <v>-7.5299562886357307E-3</v>
      </c>
      <c r="AO6" s="330">
        <f t="shared" si="11"/>
        <v>-1505.9912577271461</v>
      </c>
      <c r="AP6" s="330">
        <f t="shared" si="12"/>
        <v>0</v>
      </c>
      <c r="AQ6" s="14" t="str" cm="1">
        <f t="array" ref="AQ6">_xll.BDP($D6&amp;" Equity","EXPECTED_REPORT_DT")</f>
        <v>#N/A N/A</v>
      </c>
      <c r="AR6" s="112" cm="1">
        <f t="array" ref="AR6">_xll.BDP($B6&amp;" Equity","GAMMA_LAST")</f>
        <v>3.8184999999999997E-2</v>
      </c>
      <c r="AS6" s="58">
        <f t="shared" si="13"/>
        <v>86629.729087999993</v>
      </c>
      <c r="AT6" s="58">
        <f t="shared" si="14"/>
        <v>433148.64543999993</v>
      </c>
      <c r="AU6" s="58" t="s">
        <v>95</v>
      </c>
      <c r="AV6" s="265" t="e" cm="1">
        <f t="array" ref="AV6">_xll.BDP($D6&amp;" Equity","EST_PE_NXT_YR")*(AA6/Z6)</f>
        <v>#VALUE!</v>
      </c>
      <c r="AX6" s="330"/>
      <c r="AY6" s="265">
        <v>3.6235229000000001E-2</v>
      </c>
      <c r="AZ6" s="596"/>
      <c r="BA6" s="330">
        <f t="shared" si="15"/>
        <v>3.6235229000000001E-2</v>
      </c>
      <c r="BB6" s="597">
        <f t="shared" si="16"/>
        <v>3.6235229000000001E-2</v>
      </c>
      <c r="BC6" s="597">
        <f t="shared" si="17"/>
        <v>0</v>
      </c>
      <c r="BD6" s="597">
        <f>BC6/'Master P&amp;L'!$AD$7*10000</f>
        <v>0</v>
      </c>
    </row>
    <row r="7" spans="1:56" s="58" customFormat="1" ht="15.75" customHeight="1">
      <c r="A7" s="589"/>
      <c r="B7" s="58" t="s">
        <v>1049</v>
      </c>
      <c r="C7" s="58" t="str" cm="1">
        <f t="array" ref="C7">_xll.BDP($B7&amp;" Equity","opt_put_call")</f>
        <v>Call</v>
      </c>
      <c r="D7" s="58" t="str" cm="1">
        <f t="array" ref="D7">_xll.BDP(B7&amp;" Equity","OPT_UNDL_TICKER")</f>
        <v>ASHR US</v>
      </c>
      <c r="E7" s="58" t="str" cm="1">
        <f t="array" ref="E7">_xll.BDP($B7&amp;" Equity","mifid_Maturity_date")</f>
        <v>27/02/2026</v>
      </c>
      <c r="F7" s="58" cm="1">
        <f t="array" ref="F7">_xll.BDP($B7&amp;" Equity","opt_days_expire")</f>
        <v>14</v>
      </c>
      <c r="G7" s="58" t="str" cm="1">
        <f t="array" ref="G7">_xll.BDP(B7&amp;" Equity","QUOTED_CURRENCY_REALTIME")</f>
        <v>USD</v>
      </c>
      <c r="H7" s="330">
        <v>500</v>
      </c>
      <c r="I7" s="337">
        <v>0.21</v>
      </c>
      <c r="J7" s="14">
        <f>VLOOKUP(B7,Precificação!$B:$O,14,FALSE)</f>
        <v>0.15416270600000001</v>
      </c>
      <c r="K7" s="14">
        <f t="shared" si="18"/>
        <v>0.15416270600000001</v>
      </c>
      <c r="L7" s="14">
        <f>+K7</f>
        <v>0.15416270600000001</v>
      </c>
      <c r="M7" s="125">
        <f t="shared" si="0"/>
        <v>4.5772774940617579E-3</v>
      </c>
      <c r="N7" s="350"/>
      <c r="O7" s="125">
        <f t="shared" si="1"/>
        <v>0</v>
      </c>
      <c r="P7" s="14" t="str" cm="1">
        <f t="array" ref="P7">_xll.BDP($B7&amp;" Equity","bid")</f>
        <v>#N/A N/A</v>
      </c>
      <c r="Q7" s="14" cm="1">
        <f t="array" ref="Q7">_xll.BDP($B7&amp;" Equity","ask")</f>
        <v>0.44</v>
      </c>
      <c r="R7" s="349" t="e">
        <f t="shared" si="2"/>
        <v>#VALUE!</v>
      </c>
      <c r="S7" s="14" cm="1">
        <f t="array" ref="S7">_xll.BDP(G7&amp;" Curncy","PX_LAST")</f>
        <v>1</v>
      </c>
      <c r="T7" s="330" cm="1">
        <f t="array" ref="T7">_xll.BDP(B7&amp;" Equity","OPT_MULTIPLIER")</f>
        <v>100</v>
      </c>
      <c r="U7" s="330">
        <f t="shared" si="3"/>
        <v>7708.1353000000008</v>
      </c>
      <c r="V7" s="590">
        <f>U7/'Master P&amp;L'!$AD$7*10000</f>
        <v>3.0535002553321967E-2</v>
      </c>
      <c r="W7" s="590">
        <f>(Y7*H7*T7/S7)/'Master P&amp;L'!$AD$7*10000</f>
        <v>3.0535002553321967E-2</v>
      </c>
      <c r="X7" s="591">
        <f t="shared" si="4"/>
        <v>0</v>
      </c>
      <c r="Y7" s="592">
        <f t="shared" si="5"/>
        <v>0.15416270600000001</v>
      </c>
      <c r="Z7" s="593">
        <f>_xll.BDP(D7&amp;" Equity","LAST_PRICE")</f>
        <v>33.68</v>
      </c>
      <c r="AA7" s="593" cm="1">
        <f t="array" ref="AA7">_xll.BDP(B7&amp;" Equity","OPT_STRIKE_PX")</f>
        <v>35</v>
      </c>
      <c r="AB7" s="349">
        <f t="shared" si="6"/>
        <v>3.9192399049881255E-2</v>
      </c>
      <c r="AC7" s="351" cm="1">
        <f t="array" ref="AC7">_xll.BDP($D7&amp;" Equity","volatility_10d")</f>
        <v>13.030821003897936</v>
      </c>
      <c r="AD7" s="593" cm="1">
        <f t="array" ref="AD7">_xll.BDP(B7&amp;" Equity","ivol_mid")</f>
        <v>36.489019999999996</v>
      </c>
      <c r="AE7" s="593">
        <f t="shared" si="7"/>
        <v>2.8002088271402825</v>
      </c>
      <c r="AF7" s="594" cm="1">
        <f t="array" ref="AF7">_xll.BDP(B7&amp;" Equity","DELTA_MID_RT")</f>
        <v>0.30694511532783508</v>
      </c>
      <c r="AG7" s="125">
        <f>AL7/'Master P&amp;L'!$AE$7</f>
        <v>2.047629817598883E-4</v>
      </c>
      <c r="AH7" s="125">
        <f>AM7/'Master P&amp;L'!$AE$7</f>
        <v>6.6709965897710942E-4</v>
      </c>
      <c r="AI7" s="595">
        <f>AO7/'Master P&amp;L'!$AD$7*10000</f>
        <v>-6.2892109549367026E-3</v>
      </c>
      <c r="AJ7" s="350">
        <f t="shared" si="8"/>
        <v>8.0163478318848402E-2</v>
      </c>
      <c r="AK7" s="594">
        <f>AP7/'Master P&amp;L'!$AD$7*10000</f>
        <v>0</v>
      </c>
      <c r="AL7" s="330">
        <f t="shared" si="9"/>
        <v>516895.57421207428</v>
      </c>
      <c r="AM7" s="330">
        <f t="shared" si="10"/>
        <v>1684000</v>
      </c>
      <c r="AN7" s="594" cm="1">
        <f t="array" ref="AN7">_xll.BDP($B7&amp;" Equity","theta_mid_rt")</f>
        <v>-3.1752470880746841E-2</v>
      </c>
      <c r="AO7" s="330">
        <f t="shared" si="11"/>
        <v>-1587.6235440373421</v>
      </c>
      <c r="AP7" s="330">
        <f t="shared" si="12"/>
        <v>0</v>
      </c>
      <c r="AQ7" s="14" t="str" cm="1">
        <f t="array" ref="AQ7">_xll.BDP($D7&amp;" Equity","EXPECTED_REPORT_DT")</f>
        <v>#N/A N/A</v>
      </c>
      <c r="AR7" s="112" cm="1">
        <f t="array" ref="AR7">_xll.BDP($B7&amp;" Equity","GAMMA_LAST")</f>
        <v>6.3999E-2</v>
      </c>
      <c r="AS7" s="58">
        <f t="shared" si="13"/>
        <v>36298.389628799996</v>
      </c>
      <c r="AT7" s="58">
        <f t="shared" si="14"/>
        <v>181491.94814399999</v>
      </c>
      <c r="AU7" s="58" t="s">
        <v>95</v>
      </c>
      <c r="AV7" s="265" t="e" cm="1">
        <f t="array" ref="AV7">_xll.BDP($D7&amp;" Equity","EST_PE_NXT_YR")*(AA7/Z7)</f>
        <v>#VALUE!</v>
      </c>
      <c r="AX7" s="330"/>
      <c r="AY7" s="265">
        <v>0.15416270600000001</v>
      </c>
      <c r="AZ7" s="596"/>
      <c r="BA7" s="330">
        <f t="shared" si="15"/>
        <v>0.15416270600000001</v>
      </c>
      <c r="BB7" s="597">
        <f t="shared" si="16"/>
        <v>0.15416270600000001</v>
      </c>
      <c r="BC7" s="597">
        <f t="shared" si="17"/>
        <v>0</v>
      </c>
      <c r="BD7" s="597">
        <f>BC7/'Master P&amp;L'!$AD$7*10000</f>
        <v>0</v>
      </c>
    </row>
    <row r="8" spans="1:56" ht="15.75" customHeight="1">
      <c r="A8" s="263"/>
      <c r="B8" s="72" t="s">
        <v>765</v>
      </c>
      <c r="C8" s="72" t="str" cm="1">
        <f t="array" ref="C8">_xll.BDP($B8&amp;" Equity","opt_put_call")</f>
        <v>Call</v>
      </c>
      <c r="D8" s="72" t="str" cm="1">
        <f t="array" ref="D8">_xll.BDP(B8&amp;" Equity","OPT_UNDL_TICKER")</f>
        <v>AVGO US</v>
      </c>
      <c r="E8" s="72" t="str" cm="1">
        <f t="array" ref="E8">_xll.BDP($B8&amp;" Equity","mifid_Maturity_date")</f>
        <v>18/06/2026</v>
      </c>
      <c r="F8" s="72" cm="1">
        <f t="array" ref="F8">_xll.BDP($B8&amp;" Equity","opt_days_expire")</f>
        <v>125</v>
      </c>
      <c r="G8" s="72" t="str" cm="1">
        <f t="array" ref="G8">_xll.BDP(B8&amp;" Equity","QUOTED_CURRENCY_REALTIME")</f>
        <v>USD</v>
      </c>
      <c r="H8" s="41">
        <v>120</v>
      </c>
      <c r="I8" s="335">
        <v>37.5</v>
      </c>
      <c r="J8" s="14">
        <f>VLOOKUP(B8,Precificação!$B:$O,14,FALSE)</f>
        <v>35.75</v>
      </c>
      <c r="K8" s="73">
        <f t="shared" si="18"/>
        <v>35.75</v>
      </c>
      <c r="L8" s="73" cm="1">
        <f t="array" ref="L8">_xll.BDP($B8&amp;" Equity","mid")</f>
        <v>31.92</v>
      </c>
      <c r="M8" s="74">
        <f t="shared" si="0"/>
        <v>9.8164037272811144E-2</v>
      </c>
      <c r="N8" s="279"/>
      <c r="O8" s="74">
        <f t="shared" si="1"/>
        <v>-0.10713286713286707</v>
      </c>
      <c r="P8" s="73" cm="1">
        <f t="array" ref="P8">_xll.BDP($B8&amp;" Equity","bid")</f>
        <v>31.65</v>
      </c>
      <c r="Q8" s="73" cm="1">
        <f t="array" ref="Q8">_xll.BDP($B8&amp;" Equity","ask")</f>
        <v>32.200000000000003</v>
      </c>
      <c r="R8" s="75">
        <f t="shared" si="2"/>
        <v>1.7377567140600458E-2</v>
      </c>
      <c r="S8" s="35" cm="1">
        <f t="array" ref="S8">_xll.BDP(G8&amp;" Curncy","PX_LAST")</f>
        <v>1</v>
      </c>
      <c r="T8" s="41" cm="1">
        <f t="array" ref="T8">_xll.BDP(B8&amp;" Equity","OPT_MULTIPLIER")</f>
        <v>100</v>
      </c>
      <c r="U8" s="41">
        <f t="shared" si="3"/>
        <v>383040</v>
      </c>
      <c r="V8" s="111">
        <f>U8/'Master P&amp;L'!$AD$7*10000</f>
        <v>1.5173744262149167</v>
      </c>
      <c r="W8" s="111">
        <f>(Y8*H8*T8/S8)/'Master P&amp;L'!$AD$7*10000</f>
        <v>1.5173744262149167</v>
      </c>
      <c r="X8" s="116">
        <f t="shared" si="4"/>
        <v>0</v>
      </c>
      <c r="Y8" s="201">
        <f t="shared" si="5"/>
        <v>31.92</v>
      </c>
      <c r="Z8" s="76">
        <f>_xll.BDP(D8&amp;" Equity","LAST_PRICE")</f>
        <v>325.17</v>
      </c>
      <c r="AA8" s="76" cm="1">
        <f t="array" ref="AA8">_xll.BDP(B8&amp;" Equity","OPT_STRIKE_PX")</f>
        <v>350</v>
      </c>
      <c r="AB8" s="75">
        <f t="shared" si="6"/>
        <v>7.6360057815911597E-2</v>
      </c>
      <c r="AC8" s="251" cm="1">
        <f t="array" ref="AC8">_xll.BDP($D8&amp;" Equity","volatility_10d")</f>
        <v>57.675664821290127</v>
      </c>
      <c r="AD8" s="76" cm="1">
        <f t="array" ref="AD8">_xll.BDP(B8&amp;" Equity","ivol_mid")</f>
        <v>53.472990000000003</v>
      </c>
      <c r="AE8" s="76">
        <f t="shared" si="7"/>
        <v>0.92713261590807416</v>
      </c>
      <c r="AF8" s="77" cm="1">
        <f t="array" ref="AF8">_xll.BDP(B8&amp;" Equity","DELTA_MID_RT")</f>
        <v>0.48298808932304382</v>
      </c>
      <c r="AG8" s="74">
        <f>AL8/'Master P&amp;L'!$AE$7</f>
        <v>7.4658071862757352E-4</v>
      </c>
      <c r="AH8" s="74">
        <f>AM8/'Master P&amp;L'!$AE$7</f>
        <v>1.5457538915172445E-3</v>
      </c>
      <c r="AI8" s="353">
        <f>AO8/'Master P&amp;L'!$AD$7*10000</f>
        <v>-7.5922997513914294E-3</v>
      </c>
      <c r="AJ8" s="277">
        <f t="shared" si="8"/>
        <v>9.6772895816624821E-2</v>
      </c>
      <c r="AK8" s="77">
        <f>AP8/'Master P&amp;L'!$AD$7*10000</f>
        <v>-0.18206591642866943</v>
      </c>
      <c r="AL8" s="41">
        <f t="shared" si="9"/>
        <v>1884638.8440620899</v>
      </c>
      <c r="AM8" s="41">
        <f t="shared" si="10"/>
        <v>3902040</v>
      </c>
      <c r="AN8" s="77" cm="1">
        <f t="array" ref="AN8">_xll.BDP($B8&amp;" Equity","theta_mid_rt")</f>
        <v>-0.15971417725086212</v>
      </c>
      <c r="AO8" s="41">
        <f t="shared" si="11"/>
        <v>-1916.5701270103455</v>
      </c>
      <c r="AP8" s="41">
        <f t="shared" si="12"/>
        <v>-45959.999999999978</v>
      </c>
      <c r="AQ8" s="73" t="str" cm="1">
        <f t="array" ref="AQ8">_xll.BDP($D8&amp;" Equity","EXPECTED_REPORT_DT")</f>
        <v>04/03/2026</v>
      </c>
      <c r="AR8" s="189" cm="1">
        <f t="array" ref="AR8">_xll.BDP($B8&amp;" Equity","GAMMA_LAST")</f>
        <v>1.2741000000000001E-2</v>
      </c>
      <c r="AS8" s="72">
        <f t="shared" si="13"/>
        <v>161661.16484578804</v>
      </c>
      <c r="AT8" s="72">
        <f t="shared" si="14"/>
        <v>808305.82422894007</v>
      </c>
      <c r="AU8" s="72" t="s">
        <v>95</v>
      </c>
      <c r="AV8" s="250" cm="1">
        <f t="array" ref="AV8">_xll.BDP($D8&amp;" Equity","EST_PE_NXT_YR")*(AA8/Z8)</f>
        <v>24.92699950146001</v>
      </c>
      <c r="AW8" s="72"/>
      <c r="AX8" s="41"/>
      <c r="AY8" s="250">
        <v>31.92</v>
      </c>
      <c r="AZ8" s="281"/>
      <c r="BA8" s="41">
        <f t="shared" si="15"/>
        <v>31.92</v>
      </c>
      <c r="BB8" s="273">
        <f t="shared" si="16"/>
        <v>35.75</v>
      </c>
      <c r="BC8" s="273">
        <f t="shared" si="17"/>
        <v>45959.999999999978</v>
      </c>
      <c r="BD8" s="273">
        <f>BC8/'Master P&amp;L'!$AD$7*10000</f>
        <v>0.18206591642866943</v>
      </c>
    </row>
    <row r="9" spans="1:56" ht="15.75" customHeight="1">
      <c r="A9" s="283"/>
      <c r="B9" t="s">
        <v>1051</v>
      </c>
      <c r="C9" t="str" cm="1">
        <f t="array" ref="C9">_xll.BDP($B9&amp;" Equity","opt_put_call")</f>
        <v>Call</v>
      </c>
      <c r="D9" t="str" cm="1">
        <f t="array" ref="D9">_xll.BDP(B9&amp;" Equity","OPT_UNDL_TICKER")</f>
        <v>CSCO US</v>
      </c>
      <c r="E9" t="str" cm="1">
        <f t="array" ref="E9">_xll.BDP($B9&amp;" Equity","mifid_Maturity_date")</f>
        <v>17/04/2026</v>
      </c>
      <c r="F9" cm="1">
        <f t="array" ref="F9">_xll.BDP($B9&amp;" Equity","opt_days_expire")</f>
        <v>63</v>
      </c>
      <c r="G9" t="s">
        <v>137</v>
      </c>
      <c r="H9" s="15">
        <v>1000</v>
      </c>
      <c r="I9" s="336">
        <v>1.52</v>
      </c>
      <c r="J9" s="14">
        <f>VLOOKUP(B9,Precificação!$B:$O,14,FALSE)</f>
        <v>0.13500000000000001</v>
      </c>
      <c r="K9" s="73">
        <f t="shared" si="18"/>
        <v>0.13500000000000001</v>
      </c>
      <c r="L9" s="35" cm="1">
        <f t="array" ref="L9">_xll.BDP($B9&amp;" Equity","mid")</f>
        <v>0.16</v>
      </c>
      <c r="M9" s="18">
        <f t="shared" si="0"/>
        <v>2.0819778789850358E-3</v>
      </c>
      <c r="N9" s="277"/>
      <c r="O9" s="18">
        <f t="shared" si="1"/>
        <v>0.18518518518518512</v>
      </c>
      <c r="P9" s="35" cm="1">
        <f t="array" ref="P9">_xll.BDP($B9&amp;" Equity","bid")</f>
        <v>0.14000000000000001</v>
      </c>
      <c r="Q9" s="35" cm="1">
        <f t="array" ref="Q9">_xll.BDP($B9&amp;" Equity","ask")</f>
        <v>0.18</v>
      </c>
      <c r="R9" s="39">
        <f t="shared" si="2"/>
        <v>0.28571428571428559</v>
      </c>
      <c r="S9" s="35" cm="1">
        <f t="array" ref="S9">_xll.BDP(G9&amp;" Curncy","PX_LAST")</f>
        <v>1</v>
      </c>
      <c r="T9" s="15" cm="1">
        <f t="array" ref="T9">_xll.BDP(B9&amp;" Equity","OPT_MULTIPLIER")</f>
        <v>100</v>
      </c>
      <c r="U9" s="15">
        <f t="shared" si="3"/>
        <v>16000</v>
      </c>
      <c r="V9" s="122">
        <f>U9/'Master P&amp;L'!$AD$7*10000</f>
        <v>6.3382390401625591E-2</v>
      </c>
      <c r="W9" s="122">
        <f>(Y9*H9*T9/S9)/'Master P&amp;L'!$AD$7*10000</f>
        <v>6.3382390401625591E-2</v>
      </c>
      <c r="X9" s="339">
        <f t="shared" si="4"/>
        <v>0</v>
      </c>
      <c r="Y9" s="202">
        <f t="shared" si="5"/>
        <v>0.16</v>
      </c>
      <c r="Z9" s="36">
        <f>_xll.BDP(D9&amp;" Equity","LAST_PRICE")</f>
        <v>76.849999999999994</v>
      </c>
      <c r="AA9" s="36" cm="1">
        <f t="array" ref="AA9">_xll.BDP(B9&amp;" Equity","OPT_STRIKE_PX")</f>
        <v>95</v>
      </c>
      <c r="AB9" s="39">
        <f t="shared" si="6"/>
        <v>0.23617436564736516</v>
      </c>
      <c r="AC9" s="252" cm="1">
        <f t="array" ref="AC9">_xll.BDP($D9&amp;" Equity","volatility_10d")</f>
        <v>82.245335249137597</v>
      </c>
      <c r="AD9" s="36" cm="1">
        <f t="array" ref="AD9">_xll.BDP(B9&amp;" Equity","ivol_mid")</f>
        <v>28.835249999999998</v>
      </c>
      <c r="AE9" s="36">
        <f t="shared" si="7"/>
        <v>0.35060043116916295</v>
      </c>
      <c r="AF9" s="37" cm="1">
        <f t="array" ref="AF9">_xll.BDP(B9&amp;" Equity","DELTA_MID_RT")</f>
        <v>4.4267099350690842E-2</v>
      </c>
      <c r="AG9" s="18">
        <f>AL9/'Master P&amp;L'!$AE$7</f>
        <v>1.3476389933407166E-4</v>
      </c>
      <c r="AH9" s="18">
        <f>AM9/'Master P&amp;L'!$AE$7</f>
        <v>3.0443354389780792E-3</v>
      </c>
      <c r="AI9" s="352">
        <f>AO9/'Master P&amp;L'!$AD$7*10000</f>
        <v>-2.8125631553105861E-3</v>
      </c>
      <c r="AJ9" s="277">
        <f t="shared" si="8"/>
        <v>3.5849464604801318E-2</v>
      </c>
      <c r="AK9" s="37">
        <f>AP9/'Master P&amp;L'!$AD$7*10000</f>
        <v>9.9034985002539981E-3</v>
      </c>
      <c r="AL9" s="15">
        <f t="shared" si="9"/>
        <v>340192.65851005912</v>
      </c>
      <c r="AM9" s="15">
        <f t="shared" si="10"/>
        <v>7685000</v>
      </c>
      <c r="AN9" s="37" cm="1">
        <f t="array" ref="AN9">_xll.BDP($B9&amp;" Equity","theta_mid_rt")</f>
        <v>-7.0999232120811939E-3</v>
      </c>
      <c r="AO9" s="15">
        <f t="shared" si="11"/>
        <v>-709.99232120811939</v>
      </c>
      <c r="AP9" s="15">
        <f t="shared" si="12"/>
        <v>2499.9999999999995</v>
      </c>
      <c r="AQ9" s="35" t="str" cm="1">
        <f t="array" ref="AQ9">_xll.BDP($D9&amp;" Equity","EXPECTED_REPORT_DT")</f>
        <v>14/05/2026</v>
      </c>
      <c r="AR9" s="65" cm="1">
        <f t="array" ref="AR9">_xll.BDP($B9&amp;" Equity","GAMMA_LAST")</f>
        <v>8.3990000000000002E-3</v>
      </c>
      <c r="AS9">
        <f t="shared" si="13"/>
        <v>49603.843077500002</v>
      </c>
      <c r="AT9">
        <f t="shared" si="14"/>
        <v>248019.21538749998</v>
      </c>
      <c r="AU9" t="s">
        <v>95</v>
      </c>
      <c r="AV9" s="206" cm="1">
        <f t="array" ref="AV9">_xll.BDP($D9&amp;" Equity","EST_PE_NXT_YR")*(AA9/Z9)</f>
        <v>21.040974529346624</v>
      </c>
      <c r="AX9" s="15"/>
      <c r="AY9" s="206">
        <v>0.16</v>
      </c>
      <c r="AZ9" s="282"/>
      <c r="BA9" s="15">
        <f t="shared" si="15"/>
        <v>0.16</v>
      </c>
      <c r="BB9" s="340">
        <f t="shared" si="16"/>
        <v>0.13500000000000001</v>
      </c>
      <c r="BC9" s="340">
        <f t="shared" si="17"/>
        <v>-2499.9999999999991</v>
      </c>
      <c r="BD9" s="340">
        <f>BC9/'Master P&amp;L'!$AD$7*10000</f>
        <v>-9.9034985002539964E-3</v>
      </c>
    </row>
    <row r="10" spans="1:56" ht="15.75" customHeight="1">
      <c r="A10" s="263"/>
      <c r="B10" s="72" t="s">
        <v>1050</v>
      </c>
      <c r="C10" s="72" t="str" cm="1">
        <f t="array" ref="C10">_xll.BDP($B10&amp;" Equity","opt_put_call")</f>
        <v>Call</v>
      </c>
      <c r="D10" s="72" t="str" cm="1">
        <f t="array" ref="D10">_xll.BDP(B10&amp;" Equity","OPT_UNDL_TICKER")</f>
        <v>CSCO US</v>
      </c>
      <c r="E10" s="72" t="str" cm="1">
        <f t="array" ref="E10">_xll.BDP($B10&amp;" Equity","mifid_Maturity_date")</f>
        <v>17/04/2026</v>
      </c>
      <c r="F10" s="72" cm="1">
        <f t="array" ref="F10">_xll.BDP($B10&amp;" Equity","opt_days_expire")</f>
        <v>63</v>
      </c>
      <c r="G10" s="72" t="s">
        <v>137</v>
      </c>
      <c r="H10" s="41">
        <v>-1000</v>
      </c>
      <c r="I10" s="335">
        <v>0.69</v>
      </c>
      <c r="J10" s="14">
        <f>VLOOKUP(B10,Precificação!$B:$O,14,FALSE)</f>
        <v>9.1908676999999994E-2</v>
      </c>
      <c r="K10" s="73">
        <f t="shared" si="18"/>
        <v>9.1908676999999994E-2</v>
      </c>
      <c r="L10" s="73" cm="1">
        <f t="array" ref="L10">_xll.BDP($B10&amp;" Equity","mid")</f>
        <v>0.1</v>
      </c>
      <c r="M10" s="74">
        <f t="shared" si="0"/>
        <v>1.3012361743656475E-3</v>
      </c>
      <c r="N10" s="279"/>
      <c r="O10" s="74">
        <f t="shared" si="1"/>
        <v>8.8036551761048853E-2</v>
      </c>
      <c r="P10" s="73" cm="1">
        <f t="array" ref="P10">_xll.BDP($B10&amp;" Equity","bid")</f>
        <v>0.08</v>
      </c>
      <c r="Q10" s="73" cm="1">
        <f t="array" ref="Q10">_xll.BDP($B10&amp;" Equity","ask")</f>
        <v>0.12</v>
      </c>
      <c r="R10" s="75">
        <f t="shared" si="2"/>
        <v>0.5</v>
      </c>
      <c r="S10" s="35" cm="1">
        <f t="array" ref="S10">_xll.BDP(G10&amp;" Curncy","PX_LAST")</f>
        <v>1</v>
      </c>
      <c r="T10" s="41" cm="1">
        <f t="array" ref="T10">_xll.BDP(B10&amp;" Equity","OPT_MULTIPLIER")</f>
        <v>100</v>
      </c>
      <c r="U10" s="41">
        <f t="shared" si="3"/>
        <v>-10000</v>
      </c>
      <c r="V10" s="111">
        <f>U10/'Master P&amp;L'!$AD$7*10000</f>
        <v>-3.9613994001015992E-2</v>
      </c>
      <c r="W10" s="111">
        <f>(Y10*H10*T10/S10)/'Master P&amp;L'!$AD$7*10000</f>
        <v>-3.9613994001015992E-2</v>
      </c>
      <c r="X10" s="116">
        <f t="shared" si="4"/>
        <v>0</v>
      </c>
      <c r="Y10" s="201">
        <f t="shared" si="5"/>
        <v>0.1</v>
      </c>
      <c r="Z10" s="76">
        <f>_xll.BDP(D10&amp;" Equity","LAST_PRICE")</f>
        <v>76.849999999999994</v>
      </c>
      <c r="AA10" s="76" cm="1">
        <f t="array" ref="AA10">_xll.BDP(B10&amp;" Equity","OPT_STRIKE_PX")</f>
        <v>100</v>
      </c>
      <c r="AB10" s="75">
        <f t="shared" si="6"/>
        <v>0.30123617436564754</v>
      </c>
      <c r="AC10" s="251" cm="1">
        <f t="array" ref="AC10">_xll.BDP($D10&amp;" Equity","volatility_10d")</f>
        <v>82.245335249137597</v>
      </c>
      <c r="AD10" s="76" cm="1">
        <f t="array" ref="AD10">_xll.BDP(B10&amp;" Equity","ivol_mid")</f>
        <v>31.71895</v>
      </c>
      <c r="AE10" s="76">
        <f t="shared" si="7"/>
        <v>0.3856626020663293</v>
      </c>
      <c r="AF10" s="77" cm="1">
        <f t="array" ref="AF10">_xll.BDP(B10&amp;" Equity","DELTA_MID_RT")</f>
        <v>2.6777865365147591E-2</v>
      </c>
      <c r="AG10" s="74">
        <f>AL10/'Master P&amp;L'!$AE$7</f>
        <v>-8.1520804511302472E-5</v>
      </c>
      <c r="AH10" s="74">
        <f>AM10/'Master P&amp;L'!$AE$7</f>
        <v>-3.0443354389780792E-3</v>
      </c>
      <c r="AI10" s="353">
        <f>AO10/'Master P&amp;L'!$AD$7*10000</f>
        <v>2.0377984748106062E-3</v>
      </c>
      <c r="AJ10" s="277">
        <f t="shared" si="8"/>
        <v>-2.5974166715688814E-2</v>
      </c>
      <c r="AK10" s="77">
        <f>AP10/'Master P&amp;L'!$AD$7*10000</f>
        <v>-3.2052962078228317E-3</v>
      </c>
      <c r="AL10" s="41">
        <f t="shared" si="9"/>
        <v>-205787.89533115918</v>
      </c>
      <c r="AM10" s="41">
        <f t="shared" si="10"/>
        <v>-7685000</v>
      </c>
      <c r="AN10" s="77" cm="1">
        <f t="array" ref="AN10">_xll.BDP($B10&amp;" Equity","theta_mid_rt")</f>
        <v>-5.1441378891468048E-3</v>
      </c>
      <c r="AO10" s="41">
        <f t="shared" si="11"/>
        <v>514.41378891468048</v>
      </c>
      <c r="AP10" s="41">
        <f t="shared" si="12"/>
        <v>-809.13230000000112</v>
      </c>
      <c r="AQ10" s="73" t="str" cm="1">
        <f t="array" ref="AQ10">_xll.BDP($D10&amp;" Equity","EXPECTED_REPORT_DT")</f>
        <v>14/05/2026</v>
      </c>
      <c r="AR10" s="189" cm="1">
        <f t="array" ref="AR10">_xll.BDP($B10&amp;" Equity","GAMMA_LAST")</f>
        <v>4.5909999999999996E-3</v>
      </c>
      <c r="AS10" s="72">
        <f t="shared" si="13"/>
        <v>-27114.090197499998</v>
      </c>
      <c r="AT10" s="72">
        <f t="shared" si="14"/>
        <v>-135570.45098749996</v>
      </c>
      <c r="AU10" s="72" t="s">
        <v>95</v>
      </c>
      <c r="AV10" s="250" cm="1">
        <f t="array" ref="AV10">_xll.BDP($D10&amp;" Equity","EST_PE_NXT_YR")*(AA10/Z10)</f>
        <v>22.148394241417499</v>
      </c>
      <c r="AW10" s="72"/>
      <c r="AX10" s="41"/>
      <c r="AY10" s="250">
        <v>0.1</v>
      </c>
      <c r="AZ10" s="281"/>
      <c r="BA10" s="41">
        <f t="shared" si="15"/>
        <v>0.1</v>
      </c>
      <c r="BB10" s="273">
        <f t="shared" si="16"/>
        <v>9.1908676999999994E-2</v>
      </c>
      <c r="BC10" s="273">
        <f t="shared" si="17"/>
        <v>809.13230000000112</v>
      </c>
      <c r="BD10" s="273">
        <f>BC10/'Master P&amp;L'!$AD$7*10000</f>
        <v>3.2052962078228317E-3</v>
      </c>
    </row>
    <row r="11" spans="1:56" ht="15.75" customHeight="1">
      <c r="A11" s="283"/>
      <c r="B11" t="s">
        <v>1078</v>
      </c>
      <c r="C11" t="str" cm="1">
        <f t="array" ref="C11">_xll.BDP($B11&amp;" Equity","opt_put_call")</f>
        <v>Call</v>
      </c>
      <c r="D11" t="str" cm="1">
        <f t="array" ref="D11">_xll.BDP(B11&amp;" Equity","OPT_UNDL_TICKER")</f>
        <v>CSCO US</v>
      </c>
      <c r="E11" t="str" cm="1">
        <f t="array" ref="E11">_xll.BDP($B11&amp;" Equity","mifid_Maturity_date")</f>
        <v>17/07/2026</v>
      </c>
      <c r="F11" cm="1">
        <f t="array" ref="F11">_xll.BDP($B11&amp;" Equity","opt_days_expire")</f>
        <v>154</v>
      </c>
      <c r="G11" t="str" cm="1">
        <f t="array" ref="G11">_xll.BDP(B11&amp;" Equity","QUOTED_CURRENCY_REALTIME")</f>
        <v>USD</v>
      </c>
      <c r="H11" s="15">
        <v>-500</v>
      </c>
      <c r="I11" s="336">
        <v>1.89</v>
      </c>
      <c r="J11" s="14">
        <f>VLOOKUP(B11,Precificação!$B:$O,14,FALSE)</f>
        <v>0.46</v>
      </c>
      <c r="K11" s="73">
        <f t="shared" si="18"/>
        <v>0.46</v>
      </c>
      <c r="L11" s="35" cm="1">
        <f t="array" ref="L11">_xll.BDP($B11&amp;" Equity","mid")</f>
        <v>0.49</v>
      </c>
      <c r="M11" s="18">
        <f t="shared" si="0"/>
        <v>6.3760572543916727E-3</v>
      </c>
      <c r="N11" s="277"/>
      <c r="O11" s="18">
        <f t="shared" si="1"/>
        <v>6.5217391304347672E-2</v>
      </c>
      <c r="P11" s="35" cm="1">
        <f t="array" ref="P11">_xll.BDP($B11&amp;" Equity","bid")</f>
        <v>0.37</v>
      </c>
      <c r="Q11" s="35" cm="1">
        <f t="array" ref="Q11">_xll.BDP($B11&amp;" Equity","ask")</f>
        <v>0.61</v>
      </c>
      <c r="R11" s="39">
        <f t="shared" si="2"/>
        <v>0.64864864864864868</v>
      </c>
      <c r="S11" s="35" cm="1">
        <f t="array" ref="S11">_xll.BDP(G11&amp;" Curncy","PX_LAST")</f>
        <v>1</v>
      </c>
      <c r="T11" s="15" cm="1">
        <f t="array" ref="T11">_xll.BDP(B11&amp;" Equity","OPT_MULTIPLIER")</f>
        <v>100</v>
      </c>
      <c r="U11" s="15">
        <f t="shared" si="3"/>
        <v>-24500</v>
      </c>
      <c r="V11" s="122">
        <f>U11/'Master P&amp;L'!$AD$7*10000</f>
        <v>-9.7054285302489191E-2</v>
      </c>
      <c r="W11" s="122">
        <f>(Y11*H11*T11/S11)/'Master P&amp;L'!$AD$7*10000</f>
        <v>-9.7054285302489191E-2</v>
      </c>
      <c r="X11" s="339">
        <f t="shared" si="4"/>
        <v>0</v>
      </c>
      <c r="Y11" s="202">
        <f t="shared" si="5"/>
        <v>0.49</v>
      </c>
      <c r="Z11" s="36">
        <f>_xll.BDP(D11&amp;" Equity","LAST_PRICE")</f>
        <v>76.849999999999994</v>
      </c>
      <c r="AA11" s="36" cm="1">
        <f t="array" ref="AA11">_xll.BDP(B11&amp;" Equity","OPT_STRIKE_PX")</f>
        <v>100</v>
      </c>
      <c r="AB11" s="39">
        <f t="shared" si="6"/>
        <v>0.30123617436564754</v>
      </c>
      <c r="AC11" s="252" cm="1">
        <f t="array" ref="AC11">_xll.BDP($D11&amp;" Equity","volatility_10d")</f>
        <v>82.245335249137597</v>
      </c>
      <c r="AD11" s="36" cm="1">
        <f t="array" ref="AD11">_xll.BDP(B11&amp;" Equity","ivol_mid")</f>
        <v>27.132449999999999</v>
      </c>
      <c r="AE11" s="36">
        <f t="shared" si="7"/>
        <v>0.32989652139918174</v>
      </c>
      <c r="AF11" s="37" cm="1">
        <f t="array" ref="AF11">_xll.BDP(B11&amp;" Equity","DELTA_MID_RT")</f>
        <v>8.4348201751708984E-2</v>
      </c>
      <c r="AG11" s="18">
        <f>AL11/'Master P&amp;L'!$AE$7</f>
        <v>-1.2839210990340028E-4</v>
      </c>
      <c r="AH11" s="18">
        <f>AM11/'Master P&amp;L'!$AE$7</f>
        <v>-1.5221677194890396E-3</v>
      </c>
      <c r="AI11" s="352">
        <f>AO11/'Master P&amp;L'!$AD$7*10000</f>
        <v>1.3584846933010185E-3</v>
      </c>
      <c r="AJ11" s="277">
        <f t="shared" si="8"/>
        <v>-1.7315504128930851E-2</v>
      </c>
      <c r="AK11" s="37">
        <f>AP11/'Master P&amp;L'!$AD$7*10000</f>
        <v>-5.9420991001523944E-3</v>
      </c>
      <c r="AL11" s="15">
        <f t="shared" si="9"/>
        <v>-324107.96523094177</v>
      </c>
      <c r="AM11" s="15">
        <f t="shared" si="10"/>
        <v>-3842500</v>
      </c>
      <c r="AN11" s="37" cm="1">
        <f t="array" ref="AN11">_xll.BDP($B11&amp;" Equity","theta_mid_rt")</f>
        <v>-6.8586100824177265E-3</v>
      </c>
      <c r="AO11" s="15">
        <f t="shared" si="11"/>
        <v>342.93050412088633</v>
      </c>
      <c r="AP11" s="15">
        <f t="shared" si="12"/>
        <v>-1499.9999999999986</v>
      </c>
      <c r="AQ11" s="35" t="str" cm="1">
        <f t="array" ref="AQ11">_xll.BDP($D11&amp;" Equity","EXPECTED_REPORT_DT")</f>
        <v>14/05/2026</v>
      </c>
      <c r="AR11" s="65" cm="1">
        <f t="array" ref="AR11">_xll.BDP($B11&amp;" Equity","GAMMA_LAST")</f>
        <v>8.9119999999999998E-3</v>
      </c>
      <c r="AS11">
        <f t="shared" si="13"/>
        <v>-26316.790659999991</v>
      </c>
      <c r="AT11">
        <f t="shared" si="14"/>
        <v>-131583.95329999996</v>
      </c>
      <c r="AU11" t="s">
        <v>95</v>
      </c>
      <c r="AV11" s="206" cm="1">
        <f t="array" ref="AV11">_xll.BDP($D11&amp;" Equity","EST_PE_NXT_YR")*(AA11/Z11)</f>
        <v>22.148394241417499</v>
      </c>
      <c r="AX11" s="15"/>
      <c r="AY11" s="206">
        <v>0.49</v>
      </c>
      <c r="AZ11" s="282"/>
      <c r="BA11" s="15">
        <f t="shared" si="15"/>
        <v>0.49</v>
      </c>
      <c r="BB11" s="340">
        <f t="shared" si="16"/>
        <v>0.46</v>
      </c>
      <c r="BC11" s="340">
        <f t="shared" si="17"/>
        <v>1499.9999999999986</v>
      </c>
      <c r="BD11" s="340">
        <f>BC11/'Master P&amp;L'!$AD$7*10000</f>
        <v>5.9420991001523944E-3</v>
      </c>
    </row>
    <row r="12" spans="1:56" ht="15.75" customHeight="1">
      <c r="A12" s="263"/>
      <c r="B12" s="72" t="s">
        <v>879</v>
      </c>
      <c r="C12" s="72" t="str" cm="1">
        <f t="array" ref="C12">_xll.BDP($B12&amp;" Equity","opt_put_call")</f>
        <v>Call</v>
      </c>
      <c r="D12" s="72" t="str" cm="1">
        <f t="array" ref="D12">_xll.BDP(B12&amp;" Equity","OPT_UNDL_TICKER")</f>
        <v>INTC US</v>
      </c>
      <c r="E12" s="72" t="str" cm="1">
        <f t="array" ref="E12">_xll.BDP($B12&amp;" Equity","mifid_Maturity_date")</f>
        <v>17/07/2026</v>
      </c>
      <c r="F12" s="72" cm="1">
        <f t="array" ref="F12">_xll.BDP($B12&amp;" Equity","opt_days_expire")</f>
        <v>154</v>
      </c>
      <c r="G12" s="72" t="str" cm="1">
        <f t="array" ref="G12">_xll.BDP(B12&amp;" Equity","QUOTED_CURRENCY_REALTIME")</f>
        <v>USD</v>
      </c>
      <c r="H12" s="41">
        <v>300</v>
      </c>
      <c r="I12" s="335">
        <v>6.7</v>
      </c>
      <c r="J12" s="14">
        <f>VLOOKUP(B12,Precificação!$B:$O,14,FALSE)</f>
        <v>6.2</v>
      </c>
      <c r="K12" s="73">
        <f t="shared" si="18"/>
        <v>6.2</v>
      </c>
      <c r="L12" s="73" cm="1">
        <f t="array" ref="L12">_xll.BDP($B12&amp;" Equity","mid")</f>
        <v>6.42</v>
      </c>
      <c r="M12" s="74">
        <f t="shared" si="0"/>
        <v>0.13720880530027785</v>
      </c>
      <c r="N12" s="279"/>
      <c r="O12" s="74">
        <f t="shared" si="1"/>
        <v>3.548387096774186E-2</v>
      </c>
      <c r="P12" s="73" cm="1">
        <f t="array" ref="P12">_xll.BDP($B12&amp;" Equity","bid")</f>
        <v>6.2</v>
      </c>
      <c r="Q12" s="73" cm="1">
        <f t="array" ref="Q12">_xll.BDP($B12&amp;" Equity","ask")</f>
        <v>6.65</v>
      </c>
      <c r="R12" s="75">
        <f t="shared" si="2"/>
        <v>7.2580645161290258E-2</v>
      </c>
      <c r="S12" s="35" cm="1">
        <f t="array" ref="S12">_xll.BDP(G12&amp;" Curncy","PX_LAST")</f>
        <v>1</v>
      </c>
      <c r="T12" s="41" cm="1">
        <f t="array" ref="T12">_xll.BDP(B12&amp;" Equity","OPT_MULTIPLIER")</f>
        <v>100</v>
      </c>
      <c r="U12" s="41">
        <f t="shared" si="3"/>
        <v>192600</v>
      </c>
      <c r="V12" s="111">
        <f>U12/'Master P&amp;L'!$AD$7*10000</f>
        <v>0.76296552445956811</v>
      </c>
      <c r="W12" s="111">
        <f>(Y12*H12*T12/S12)/'Master P&amp;L'!$AD$7*10000</f>
        <v>0.76296552445956811</v>
      </c>
      <c r="X12" s="116">
        <f t="shared" si="4"/>
        <v>0</v>
      </c>
      <c r="Y12" s="201">
        <f t="shared" si="5"/>
        <v>6.42</v>
      </c>
      <c r="Z12" s="76">
        <f>_xll.BDP(D12&amp;" Equity","LAST_PRICE")</f>
        <v>46.79</v>
      </c>
      <c r="AA12" s="76" cm="1">
        <f t="array" ref="AA12">_xll.BDP(B12&amp;" Equity","OPT_STRIKE_PX")</f>
        <v>50</v>
      </c>
      <c r="AB12" s="75">
        <f t="shared" si="6"/>
        <v>6.8604402650138896E-2</v>
      </c>
      <c r="AC12" s="251" cm="1">
        <f t="array" ref="AC12">_xll.BDP($D12&amp;" Equity","volatility_10d")</f>
        <v>52.87623588245043</v>
      </c>
      <c r="AD12" s="76" cm="1">
        <f t="array" ref="AD12">_xll.BDP(B12&amp;" Equity","ivol_mid")</f>
        <v>61.776009999999999</v>
      </c>
      <c r="AE12" s="76">
        <f t="shared" si="7"/>
        <v>1.16831330689527</v>
      </c>
      <c r="AF12" s="77" cm="1">
        <f t="array" ref="AF12">_xll.BDP(B12&amp;" Equity","DELTA_MID_RT")</f>
        <v>0.52849560976028442</v>
      </c>
      <c r="AG12" s="74">
        <f>AL12/'Master P&amp;L'!$AE$7</f>
        <v>2.9387613221534126E-4</v>
      </c>
      <c r="AH12" s="74">
        <f>AM12/'Master P&amp;L'!$AE$7</f>
        <v>5.5606163379226157E-4</v>
      </c>
      <c r="AI12" s="353">
        <f>AO12/'Master P&amp;L'!$AD$7*10000</f>
        <v>-2.823763882960296E-3</v>
      </c>
      <c r="AJ12" s="277">
        <f t="shared" si="8"/>
        <v>3.5992231208519396E-2</v>
      </c>
      <c r="AK12" s="77">
        <f>AP12/'Master P&amp;L'!$AD$7*10000</f>
        <v>2.6145236040670532E-2</v>
      </c>
      <c r="AL12" s="41">
        <f t="shared" si="9"/>
        <v>741849.28742051125</v>
      </c>
      <c r="AM12" s="41">
        <f t="shared" si="10"/>
        <v>1403700</v>
      </c>
      <c r="AN12" s="77" cm="1">
        <f t="array" ref="AN12">_xll.BDP($B12&amp;" Equity","theta_mid_rt")</f>
        <v>-2.3760659620165825E-2</v>
      </c>
      <c r="AO12" s="41">
        <f t="shared" si="11"/>
        <v>-712.81978860497475</v>
      </c>
      <c r="AP12" s="41">
        <f t="shared" si="12"/>
        <v>6599.9999999999927</v>
      </c>
      <c r="AQ12" s="73" t="str" cm="1">
        <f t="array" ref="AQ12">_xll.BDP($D12&amp;" Equity","EXPECTED_REPORT_DT")</f>
        <v>24/04/2026</v>
      </c>
      <c r="AR12" s="189" cm="1">
        <f t="array" ref="AR12">_xll.BDP($B12&amp;" Equity","GAMMA_LAST")</f>
        <v>1.0092E-2</v>
      </c>
      <c r="AS12" s="72">
        <f t="shared" si="13"/>
        <v>6628.3370931600002</v>
      </c>
      <c r="AT12" s="72">
        <f t="shared" si="14"/>
        <v>33141.685465800001</v>
      </c>
      <c r="AU12" s="72" t="s">
        <v>95</v>
      </c>
      <c r="AV12" s="250" cm="1">
        <f t="array" ref="AV12">_xll.BDP($D12&amp;" Equity","EST_PE_NXT_YR")*(AA12/Z12)</f>
        <v>50.505050505050505</v>
      </c>
      <c r="AW12" s="72"/>
      <c r="AX12" s="41"/>
      <c r="AY12" s="250">
        <v>6.42</v>
      </c>
      <c r="AZ12" s="281"/>
      <c r="BA12" s="41">
        <f t="shared" si="15"/>
        <v>6.42</v>
      </c>
      <c r="BB12" s="273">
        <f t="shared" si="16"/>
        <v>6.2</v>
      </c>
      <c r="BC12" s="273">
        <f t="shared" si="17"/>
        <v>-6599.9999999999927</v>
      </c>
      <c r="BD12" s="273">
        <f>BC12/'Master P&amp;L'!$AD$7*10000</f>
        <v>-2.6145236040670532E-2</v>
      </c>
    </row>
    <row r="13" spans="1:56" ht="15.75" customHeight="1">
      <c r="A13" s="283"/>
      <c r="B13" t="s">
        <v>1045</v>
      </c>
      <c r="C13" t="str" cm="1">
        <f t="array" ref="C13">_xll.BDP($B13&amp;" Equity","opt_put_call")</f>
        <v>Call</v>
      </c>
      <c r="D13" t="str" cm="1">
        <f t="array" ref="D13">_xll.BDP(B13&amp;" Equity","OPT_UNDL_TICKER")</f>
        <v>LITE US</v>
      </c>
      <c r="E13" t="str" cm="1">
        <f t="array" ref="E13">_xll.BDP($B13&amp;" Equity","mifid_Maturity_date")</f>
        <v>18/06/2026</v>
      </c>
      <c r="F13" cm="1">
        <f t="array" ref="F13">_xll.BDP($B13&amp;" Equity","opt_days_expire")</f>
        <v>125</v>
      </c>
      <c r="G13" t="s">
        <v>137</v>
      </c>
      <c r="H13" s="15">
        <v>150</v>
      </c>
      <c r="I13" s="336">
        <v>121.6</v>
      </c>
      <c r="J13" s="14">
        <f>VLOOKUP(B13,Precificação!$B:$O,14,FALSE)</f>
        <v>136.94999999999999</v>
      </c>
      <c r="K13" s="73">
        <f t="shared" si="18"/>
        <v>136.94999999999999</v>
      </c>
      <c r="L13" s="35" cm="1">
        <f t="array" ref="L13">_xll.BDP($B13&amp;" Equity","mid")</f>
        <v>126.95</v>
      </c>
      <c r="M13" s="18">
        <f t="shared" si="0"/>
        <v>0.22559263603084906</v>
      </c>
      <c r="N13" s="277"/>
      <c r="O13" s="18">
        <f t="shared" si="1"/>
        <v>-7.3019350127783711E-2</v>
      </c>
      <c r="P13" s="35" cm="1">
        <f t="array" ref="P13">_xll.BDP($B13&amp;" Equity","bid")</f>
        <v>124.9</v>
      </c>
      <c r="Q13" s="35" cm="1">
        <f t="array" ref="Q13">_xll.BDP($B13&amp;" Equity","ask")</f>
        <v>129</v>
      </c>
      <c r="R13" s="39">
        <f t="shared" si="2"/>
        <v>3.2826261008807034E-2</v>
      </c>
      <c r="S13" s="35" cm="1">
        <f t="array" ref="S13">_xll.BDP(G13&amp;" Curncy","PX_LAST")</f>
        <v>1</v>
      </c>
      <c r="T13" s="15" cm="1">
        <f t="array" ref="T13">_xll.BDP(B13&amp;" Equity","OPT_MULTIPLIER")</f>
        <v>100</v>
      </c>
      <c r="U13" s="15">
        <f t="shared" si="3"/>
        <v>1904250</v>
      </c>
      <c r="V13" s="122">
        <f>U13/'Master P&amp;L'!$AD$7*10000</f>
        <v>7.5434948076434711</v>
      </c>
      <c r="W13" s="122">
        <f>(Y13*H13*T13/S13)/'Master P&amp;L'!$AD$7*10000</f>
        <v>7.5434948076434711</v>
      </c>
      <c r="X13" s="339">
        <f t="shared" si="4"/>
        <v>0</v>
      </c>
      <c r="Y13" s="202">
        <f t="shared" si="5"/>
        <v>126.95</v>
      </c>
      <c r="Z13" s="36">
        <f>_xll.BDP(D13&amp;" Equity","LAST_PRICE")</f>
        <v>562.74</v>
      </c>
      <c r="AA13" s="36" cm="1">
        <f t="array" ref="AA13">_xll.BDP(B13&amp;" Equity","OPT_STRIKE_PX")</f>
        <v>600</v>
      </c>
      <c r="AB13" s="39">
        <f t="shared" si="6"/>
        <v>6.6211749653481089E-2</v>
      </c>
      <c r="AC13" s="252" cm="1">
        <f t="array" ref="AC13">_xll.BDP($D13&amp;" Equity","volatility_10d")</f>
        <v>71.542795938253008</v>
      </c>
      <c r="AD13" s="36" cm="1">
        <f t="array" ref="AD13">_xll.BDP(B13&amp;" Equity","ivol_mid")</f>
        <v>105.96769999999999</v>
      </c>
      <c r="AE13" s="36">
        <f t="shared" si="7"/>
        <v>1.4811791824778326</v>
      </c>
      <c r="AF13" s="37" cm="1">
        <f t="array" ref="AF13">_xll.BDP(B13&amp;" Equity","DELTA_MID_RT")</f>
        <v>0.59300315380096436</v>
      </c>
      <c r="AG13" s="18">
        <f>AL13/'Master P&amp;L'!$AE$7</f>
        <v>1.9829176564974691E-3</v>
      </c>
      <c r="AH13" s="18">
        <f>AM13/'Master P&amp;L'!$AE$7</f>
        <v>3.3438568476197614E-3</v>
      </c>
      <c r="AI13" s="352">
        <f>AO13/'Master P&amp;L'!$AD$7*10000</f>
        <v>-3.1606991341765776E-2</v>
      </c>
      <c r="AJ13" s="277">
        <f t="shared" si="8"/>
        <v>0.40286871966996546</v>
      </c>
      <c r="AK13" s="37">
        <f>AP13/'Master P&amp;L'!$AD$7*10000</f>
        <v>-0.59420991001523915</v>
      </c>
      <c r="AL13" s="15">
        <f t="shared" si="9"/>
        <v>5005598.9215493202</v>
      </c>
      <c r="AM13" s="15">
        <f t="shared" si="10"/>
        <v>8441100</v>
      </c>
      <c r="AN13" s="37" cm="1">
        <f t="array" ref="AN13">_xll.BDP($B13&amp;" Equity","theta_mid_rt")</f>
        <v>-0.53191626071929932</v>
      </c>
      <c r="AO13" s="15">
        <f t="shared" si="11"/>
        <v>-7978.7439107894897</v>
      </c>
      <c r="AP13" s="15">
        <f t="shared" si="12"/>
        <v>-149999.9999999998</v>
      </c>
      <c r="AQ13" s="35" t="str" cm="1">
        <f t="array" ref="AQ13">_xll.BDP($D13&amp;" Equity","EXPECTED_REPORT_DT")</f>
        <v>06/05/2026</v>
      </c>
      <c r="AR13" s="65" cm="1">
        <f t="array" ref="AR13">_xll.BDP($B13&amp;" Equity","GAMMA_LAST")</f>
        <v>6.293E-3</v>
      </c>
      <c r="AS13">
        <f t="shared" si="13"/>
        <v>298926.60055902001</v>
      </c>
      <c r="AT13">
        <f t="shared" si="14"/>
        <v>1494633.0027951</v>
      </c>
      <c r="AU13" t="s">
        <v>95</v>
      </c>
      <c r="AV13" s="206" cm="1">
        <f t="array" ref="AV13">_xll.BDP($D13&amp;" Equity","EST_PE_NXT_YR")*(AA13/Z13)</f>
        <v>43.87889425186485</v>
      </c>
      <c r="AX13" s="15"/>
      <c r="AY13" s="206">
        <v>126.95</v>
      </c>
      <c r="AZ13" s="282"/>
      <c r="BA13" s="15">
        <f t="shared" si="15"/>
        <v>126.95</v>
      </c>
      <c r="BB13" s="340">
        <f t="shared" si="16"/>
        <v>136.94999999999999</v>
      </c>
      <c r="BC13" s="340">
        <f t="shared" si="17"/>
        <v>149999.9999999998</v>
      </c>
      <c r="BD13" s="340">
        <f>BC13/'Master P&amp;L'!$AD$7*10000</f>
        <v>0.59420991001523915</v>
      </c>
    </row>
    <row r="14" spans="1:56" ht="15.75" customHeight="1">
      <c r="A14" s="263"/>
      <c r="B14" s="72" t="s">
        <v>1046</v>
      </c>
      <c r="C14" s="72" t="str" cm="1">
        <f t="array" ref="C14">_xll.BDP($B14&amp;" Equity","opt_put_call")</f>
        <v>Call</v>
      </c>
      <c r="D14" s="72" t="str" cm="1">
        <f t="array" ref="D14">_xll.BDP(B14&amp;" Equity","OPT_UNDL_TICKER")</f>
        <v>LITE US</v>
      </c>
      <c r="E14" s="72" t="str" cm="1">
        <f t="array" ref="E14">_xll.BDP($B14&amp;" Equity","mifid_Maturity_date")</f>
        <v>18/06/2026</v>
      </c>
      <c r="F14" s="72" cm="1">
        <f t="array" ref="F14">_xll.BDP($B14&amp;" Equity","opt_days_expire")</f>
        <v>125</v>
      </c>
      <c r="G14" s="72" t="str" cm="1">
        <f t="array" ref="G14">_xll.BDP(B14&amp;" Equity","QUOTED_CURRENCY_REALTIME")</f>
        <v>USD</v>
      </c>
      <c r="H14" s="41">
        <v>-150</v>
      </c>
      <c r="I14" s="335">
        <v>86.81</v>
      </c>
      <c r="J14" s="14">
        <f>VLOOKUP(B14,Precificação!$B:$O,14,FALSE)</f>
        <v>99.45</v>
      </c>
      <c r="K14" s="73">
        <f t="shared" si="18"/>
        <v>99.45</v>
      </c>
      <c r="L14" s="73" cm="1">
        <f t="array" ref="L14">_xll.BDP($B14&amp;" Equity","mid")</f>
        <v>91.35</v>
      </c>
      <c r="M14" s="74">
        <f t="shared" si="0"/>
        <v>0.1623307388847425</v>
      </c>
      <c r="N14" s="279"/>
      <c r="O14" s="74">
        <f t="shared" si="1"/>
        <v>-8.1447963800905021E-2</v>
      </c>
      <c r="P14" s="73" cm="1">
        <f t="array" ref="P14">_xll.BDP($B14&amp;" Equity","bid")</f>
        <v>89.2</v>
      </c>
      <c r="Q14" s="73" cm="1">
        <f t="array" ref="Q14">_xll.BDP($B14&amp;" Equity","ask")</f>
        <v>93.5</v>
      </c>
      <c r="R14" s="75">
        <f t="shared" si="2"/>
        <v>4.8206278026905691E-2</v>
      </c>
      <c r="S14" s="35" cm="1">
        <f t="array" ref="S14">_xll.BDP(G14&amp;" Curncy","PX_LAST")</f>
        <v>1</v>
      </c>
      <c r="T14" s="41" cm="1">
        <f t="array" ref="T14">_xll.BDP(B14&amp;" Equity","OPT_MULTIPLIER")</f>
        <v>100</v>
      </c>
      <c r="U14" s="41">
        <f t="shared" si="3"/>
        <v>-1370250</v>
      </c>
      <c r="V14" s="111">
        <f>U14/'Master P&amp;L'!$AD$7*10000</f>
        <v>-5.4281075279892175</v>
      </c>
      <c r="W14" s="111">
        <f>(Y14*H14*T14/S14)/'Master P&amp;L'!$AD$7*10000</f>
        <v>-5.4281075279892175</v>
      </c>
      <c r="X14" s="116">
        <f t="shared" si="4"/>
        <v>0</v>
      </c>
      <c r="Y14" s="201">
        <f t="shared" si="5"/>
        <v>91.35</v>
      </c>
      <c r="Z14" s="76">
        <f>_xll.BDP(D14&amp;" Equity","LAST_PRICE")</f>
        <v>562.74</v>
      </c>
      <c r="AA14" s="76" cm="1">
        <f t="array" ref="AA14">_xll.BDP(B14&amp;" Equity","OPT_STRIKE_PX")</f>
        <v>720</v>
      </c>
      <c r="AB14" s="75">
        <f t="shared" si="6"/>
        <v>0.27945409958417744</v>
      </c>
      <c r="AC14" s="251" cm="1">
        <f t="array" ref="AC14">_xll.BDP($D14&amp;" Equity","volatility_10d")</f>
        <v>71.542795938253008</v>
      </c>
      <c r="AD14" s="76" cm="1">
        <f t="array" ref="AD14">_xll.BDP(B14&amp;" Equity","ivol_mid")</f>
        <v>105.5063</v>
      </c>
      <c r="AE14" s="76">
        <f t="shared" si="7"/>
        <v>1.4747298958103361</v>
      </c>
      <c r="AF14" s="77" cm="1">
        <f t="array" ref="AF14">_xll.BDP(B14&amp;" Equity","DELTA_MID_RT")</f>
        <v>0.47481134533882141</v>
      </c>
      <c r="AG14" s="74">
        <f>AL14/'Master P&amp;L'!$AE$7</f>
        <v>-1.5877011684387692E-3</v>
      </c>
      <c r="AH14" s="74">
        <f>AM14/'Master P&amp;L'!$AE$7</f>
        <v>-3.3438568476197614E-3</v>
      </c>
      <c r="AI14" s="353">
        <f>AO14/'Master P&amp;L'!$AD$7*10000</f>
        <v>3.2477083088535946E-2</v>
      </c>
      <c r="AJ14" s="277">
        <f t="shared" si="8"/>
        <v>-0.41395907446604197</v>
      </c>
      <c r="AK14" s="77">
        <f>AP14/'Master P&amp;L'!$AD$7*10000</f>
        <v>0.48131002711234488</v>
      </c>
      <c r="AL14" s="41">
        <f t="shared" si="9"/>
        <v>-4007930.0471395254</v>
      </c>
      <c r="AM14" s="41">
        <f t="shared" si="10"/>
        <v>-8441100</v>
      </c>
      <c r="AN14" s="77" cm="1">
        <f t="array" ref="AN14">_xll.BDP($B14&amp;" Equity","theta_mid_rt")</f>
        <v>-0.54655909538269043</v>
      </c>
      <c r="AO14" s="41">
        <f t="shared" si="11"/>
        <v>8198.3864307403564</v>
      </c>
      <c r="AP14" s="41">
        <f t="shared" si="12"/>
        <v>121500.00000000013</v>
      </c>
      <c r="AQ14" s="73" t="str" cm="1">
        <f t="array" ref="AQ14">_xll.BDP($D14&amp;" Equity","EXPECTED_REPORT_DT")</f>
        <v>06/05/2026</v>
      </c>
      <c r="AR14" s="189" cm="1">
        <f t="array" ref="AR14">_xll.BDP($B14&amp;" Equity","GAMMA_LAST")</f>
        <v>6.6439999999999997E-3</v>
      </c>
      <c r="AS14" s="72">
        <f t="shared" si="13"/>
        <v>-315599.60815415997</v>
      </c>
      <c r="AT14" s="72">
        <f t="shared" si="14"/>
        <v>-1577998.0407708003</v>
      </c>
      <c r="AU14" s="72" t="s">
        <v>95</v>
      </c>
      <c r="AV14" s="250" cm="1">
        <f t="array" ref="AV14">_xll.BDP($D14&amp;" Equity","EST_PE_NXT_YR")*(AA14/Z14)</f>
        <v>52.654673102237822</v>
      </c>
      <c r="AW14" s="72"/>
      <c r="AX14" s="41"/>
      <c r="AY14" s="250">
        <v>91.35</v>
      </c>
      <c r="AZ14" s="281"/>
      <c r="BA14" s="41">
        <f t="shared" si="15"/>
        <v>91.35</v>
      </c>
      <c r="BB14" s="273">
        <f t="shared" si="16"/>
        <v>99.45</v>
      </c>
      <c r="BC14" s="273">
        <f t="shared" si="17"/>
        <v>-121500.00000000013</v>
      </c>
      <c r="BD14" s="273">
        <f>BC14/'Master P&amp;L'!$AD$7*10000</f>
        <v>-0.48131002711234488</v>
      </c>
    </row>
    <row r="15" spans="1:56" ht="15.75" customHeight="1">
      <c r="A15" s="283"/>
      <c r="B15" t="s">
        <v>957</v>
      </c>
      <c r="C15" t="str" cm="1">
        <f t="array" ref="C15">_xll.BDP($B15&amp;" Equity","opt_put_call")</f>
        <v>Call</v>
      </c>
      <c r="D15" t="str" cm="1">
        <f t="array" ref="D15">_xll.BDP(B15&amp;" Equity","OPT_UNDL_TICKER")</f>
        <v>META US</v>
      </c>
      <c r="E15" t="str" cm="1">
        <f t="array" ref="E15">_xll.BDP($B15&amp;" Equity","mifid_Maturity_date")</f>
        <v>17/07/2026</v>
      </c>
      <c r="F15" cm="1">
        <f t="array" ref="F15">_xll.BDP($B15&amp;" Equity","opt_days_expire")</f>
        <v>154</v>
      </c>
      <c r="G15" t="str" cm="1">
        <f t="array" ref="G15">_xll.BDP(B15&amp;" Equity","QUOTED_CURRENCY_REALTIME")</f>
        <v>USD</v>
      </c>
      <c r="H15" s="15">
        <v>170</v>
      </c>
      <c r="I15" s="336">
        <v>51.45</v>
      </c>
      <c r="J15" s="14">
        <f>VLOOKUP(B15,Precificação!$B:$O,14,FALSE)</f>
        <v>27.4</v>
      </c>
      <c r="K15" s="73">
        <f t="shared" si="18"/>
        <v>27.4</v>
      </c>
      <c r="L15" s="35" cm="1">
        <f t="array" ref="L15">_xll.BDP($B15&amp;" Equity","mid")</f>
        <v>23.7</v>
      </c>
      <c r="M15" s="18">
        <f t="shared" si="0"/>
        <v>3.7044562889788517E-2</v>
      </c>
      <c r="N15" s="277"/>
      <c r="O15" s="18">
        <f t="shared" si="1"/>
        <v>-0.13503649635036497</v>
      </c>
      <c r="P15" s="35" cm="1">
        <f t="array" ref="P15">_xll.BDP($B15&amp;" Equity","bid")</f>
        <v>23.5</v>
      </c>
      <c r="Q15" s="35" cm="1">
        <f t="array" ref="Q15">_xll.BDP($B15&amp;" Equity","ask")</f>
        <v>23.9</v>
      </c>
      <c r="R15" s="39">
        <f t="shared" si="2"/>
        <v>1.7021276595744705E-2</v>
      </c>
      <c r="S15" s="35" cm="1">
        <f t="array" ref="S15">_xll.BDP(G15&amp;" Curncy","PX_LAST")</f>
        <v>1</v>
      </c>
      <c r="T15" s="15" cm="1">
        <f t="array" ref="T15">_xll.BDP(B15&amp;" Equity","OPT_MULTIPLIER")</f>
        <v>100</v>
      </c>
      <c r="U15" s="15">
        <f t="shared" si="3"/>
        <v>402900</v>
      </c>
      <c r="V15" s="122">
        <f>U15/'Master P&amp;L'!$AD$7*10000</f>
        <v>1.5960478183009346</v>
      </c>
      <c r="W15" s="122">
        <f>(Y15*H15*T15/S15)/'Master P&amp;L'!$AD$7*10000</f>
        <v>1.5960478183009346</v>
      </c>
      <c r="X15" s="339">
        <f t="shared" si="4"/>
        <v>0</v>
      </c>
      <c r="Y15" s="202">
        <f t="shared" si="5"/>
        <v>23.7</v>
      </c>
      <c r="Z15" s="36">
        <f>_xll.BDP(D15&amp;" Equity","LAST_PRICE")</f>
        <v>639.77</v>
      </c>
      <c r="AA15" s="36" cm="1">
        <f t="array" ref="AA15">_xll.BDP(B15&amp;" Equity","OPT_STRIKE_PX")</f>
        <v>750</v>
      </c>
      <c r="AB15" s="39">
        <f t="shared" si="6"/>
        <v>0.17229629398064938</v>
      </c>
      <c r="AC15" s="252" cm="1">
        <f t="array" ref="AC15">_xll.BDP($D15&amp;" Equity","volatility_10d")</f>
        <v>27.705127720622002</v>
      </c>
      <c r="AD15" s="36" cm="1">
        <f t="array" ref="AD15">_xll.BDP(B15&amp;" Equity","ivol_mid")</f>
        <v>34.519799999999996</v>
      </c>
      <c r="AE15" s="36">
        <f t="shared" si="7"/>
        <v>1.2459715164678908</v>
      </c>
      <c r="AF15" s="37" cm="1">
        <f t="array" ref="AF15">_xll.BDP(B15&amp;" Equity","DELTA_MID_RT")</f>
        <v>0.29414078593254089</v>
      </c>
      <c r="AG15" s="18">
        <f>AL15/'Master P&amp;L'!$AE$7</f>
        <v>1.2672919398661966E-3</v>
      </c>
      <c r="AH15" s="18">
        <f>AM15/'Master P&amp;L'!$AE$7</f>
        <v>4.3084536401451004E-3</v>
      </c>
      <c r="AI15" s="352">
        <f>AO15/'Master P&amp;L'!$AD$7*10000</f>
        <v>-1.1181312509094382E-2</v>
      </c>
      <c r="AJ15" s="277">
        <f t="shared" si="8"/>
        <v>0.14251913464525806</v>
      </c>
      <c r="AK15" s="37">
        <f>AP15/'Master P&amp;L'!$AD$7*10000</f>
        <v>-0.2491720222663906</v>
      </c>
      <c r="AL15" s="15">
        <f t="shared" si="9"/>
        <v>3199101.6604730487</v>
      </c>
      <c r="AM15" s="15">
        <f t="shared" si="10"/>
        <v>10876090</v>
      </c>
      <c r="AN15" s="37" cm="1">
        <f t="array" ref="AN15">_xll.BDP($B15&amp;" Equity","theta_mid_rt")</f>
        <v>-0.1660333126783371</v>
      </c>
      <c r="AO15" s="15">
        <f t="shared" si="11"/>
        <v>-2822.5663155317307</v>
      </c>
      <c r="AP15" s="15">
        <f t="shared" si="12"/>
        <v>-62899.999999999993</v>
      </c>
      <c r="AQ15" s="35" t="str" cm="1">
        <f t="array" ref="AQ15">_xll.BDP($D15&amp;" Equity","EXPECTED_REPORT_DT")</f>
        <v>30/04/2026</v>
      </c>
      <c r="AR15" s="65" cm="1">
        <f t="array" ref="AR15">_xll.BDP($B15&amp;" Equity","GAMMA_LAST")</f>
        <v>1.5608E-2</v>
      </c>
      <c r="AS15">
        <f t="shared" si="13"/>
        <v>1086035.2471787441</v>
      </c>
      <c r="AT15">
        <f t="shared" si="14"/>
        <v>5430176.2358937198</v>
      </c>
      <c r="AU15" t="s">
        <v>95</v>
      </c>
      <c r="AV15" s="206" cm="1">
        <f t="array" ref="AV15">_xll.BDP($D15&amp;" Equity","EST_PE_NXT_YR")*(AA15/Z15)</f>
        <v>19.915029208709505</v>
      </c>
      <c r="AX15" s="15"/>
      <c r="AY15" s="206">
        <v>23.7</v>
      </c>
      <c r="AZ15" s="282"/>
      <c r="BA15" s="15">
        <f t="shared" si="15"/>
        <v>23.7</v>
      </c>
      <c r="BB15" s="340">
        <f t="shared" si="16"/>
        <v>27.4</v>
      </c>
      <c r="BC15" s="340">
        <f t="shared" si="17"/>
        <v>62899.999999999985</v>
      </c>
      <c r="BD15" s="340">
        <f>BC15/'Master P&amp;L'!$AD$7*10000</f>
        <v>0.24917202226639054</v>
      </c>
    </row>
    <row r="16" spans="1:56" ht="15.75" customHeight="1">
      <c r="A16" s="263"/>
      <c r="B16" s="72" t="s">
        <v>845</v>
      </c>
      <c r="C16" s="72" t="str" cm="1">
        <f t="array" ref="C16">_xll.BDP($B16&amp;" Equity","opt_put_call")</f>
        <v>Put</v>
      </c>
      <c r="D16" s="72" t="str" cm="1">
        <f t="array" ref="D16">_xll.BDP(B16&amp;" Equity","OPT_UNDL_TICKER")</f>
        <v>MRVL US</v>
      </c>
      <c r="E16" s="72" t="str" cm="1">
        <f t="array" ref="E16">_xll.BDP($B16&amp;" Equity","mifid_Maturity_date")</f>
        <v>20/03/2026</v>
      </c>
      <c r="F16" s="72" cm="1">
        <f t="array" ref="F16">_xll.BDP($B16&amp;" Equity","opt_days_expire")</f>
        <v>35</v>
      </c>
      <c r="G16" s="72" t="str" cm="1">
        <f t="array" ref="G16">_xll.BDP(B16&amp;" Equity","QUOTED_CURRENCY_REALTIME")</f>
        <v>USD</v>
      </c>
      <c r="H16" s="41">
        <v>450</v>
      </c>
      <c r="I16" s="335">
        <v>4.82</v>
      </c>
      <c r="J16" s="14">
        <f>VLOOKUP(B16,Precificação!$B:$O,14,FALSE)</f>
        <v>3.1749999999999998</v>
      </c>
      <c r="K16" s="73">
        <f t="shared" si="18"/>
        <v>3.1749999999999998</v>
      </c>
      <c r="L16" s="73" cm="1">
        <f t="array" ref="L16">_xll.BDP($B16&amp;" Equity","mid")</f>
        <v>2.97</v>
      </c>
      <c r="M16" s="74">
        <f t="shared" si="0"/>
        <v>3.7781452741381505E-2</v>
      </c>
      <c r="N16" s="279"/>
      <c r="O16" s="74">
        <f t="shared" si="1"/>
        <v>-6.4566929133858197E-2</v>
      </c>
      <c r="P16" s="73" cm="1">
        <f t="array" ref="P16">_xll.BDP($B16&amp;" Equity","bid")</f>
        <v>2.83</v>
      </c>
      <c r="Q16" s="73" cm="1">
        <f t="array" ref="Q16">_xll.BDP($B16&amp;" Equity","ask")</f>
        <v>3.1</v>
      </c>
      <c r="R16" s="75">
        <f t="shared" si="2"/>
        <v>9.540636042402828E-2</v>
      </c>
      <c r="S16" s="35" cm="1">
        <f t="array" ref="S16">_xll.BDP(G16&amp;" Curncy","PX_LAST")</f>
        <v>1</v>
      </c>
      <c r="T16" s="41" cm="1">
        <f t="array" ref="T16">_xll.BDP(B16&amp;" Equity","OPT_MULTIPLIER")</f>
        <v>100</v>
      </c>
      <c r="U16" s="41">
        <f t="shared" si="3"/>
        <v>133650</v>
      </c>
      <c r="V16" s="111">
        <f>U16/'Master P&amp;L'!$AD$7*10000</f>
        <v>0.52944102982357877</v>
      </c>
      <c r="W16" s="111">
        <f>(Y16*H16*T16/S16)/'Master P&amp;L'!$AD$7*10000</f>
        <v>0.52944102982357877</v>
      </c>
      <c r="X16" s="116">
        <f t="shared" si="4"/>
        <v>0</v>
      </c>
      <c r="Y16" s="201">
        <f t="shared" si="5"/>
        <v>2.97</v>
      </c>
      <c r="Z16" s="76">
        <f>_xll.BDP(D16&amp;" Equity","LAST_PRICE")</f>
        <v>78.61</v>
      </c>
      <c r="AA16" s="76" cm="1">
        <f t="array" ref="AA16">_xll.BDP(B16&amp;" Equity","OPT_STRIKE_PX")</f>
        <v>70</v>
      </c>
      <c r="AB16" s="75">
        <f t="shared" si="6"/>
        <v>-0.10952804986642917</v>
      </c>
      <c r="AC16" s="251" cm="1">
        <f t="array" ref="AC16">_xll.BDP($D16&amp;" Equity","volatility_10d")</f>
        <v>59.04037018555983</v>
      </c>
      <c r="AD16" s="76" cm="1">
        <f t="array" ref="AD16">_xll.BDP(B16&amp;" Equity","ivol_mid")</f>
        <v>70.521919999999994</v>
      </c>
      <c r="AE16" s="76">
        <f t="shared" si="7"/>
        <v>1.1944694753497385</v>
      </c>
      <c r="AF16" s="77" cm="1">
        <f t="array" ref="AF16">_xll.BDP(B16&amp;" Equity","DELTA_MID_RT")</f>
        <v>-0.25573426485061646</v>
      </c>
      <c r="AG16" s="74">
        <f>AL16/'Master P&amp;L'!$AE$7</f>
        <v>-3.5836687771243012E-4</v>
      </c>
      <c r="AH16" s="74">
        <f>AM16/'Master P&amp;L'!$AE$7</f>
        <v>-1.4013252307889404E-3</v>
      </c>
      <c r="AI16" s="353">
        <f>AO16/'Master P&amp;L'!$AD$7*10000</f>
        <v>-1.4125452037704241E-2</v>
      </c>
      <c r="AJ16" s="277">
        <f t="shared" si="8"/>
        <v>0.18004569671488041</v>
      </c>
      <c r="AK16" s="77">
        <f>AP16/'Master P&amp;L'!$AD$7*10000</f>
        <v>-3.6543909465937191E-2</v>
      </c>
      <c r="AL16" s="41">
        <f t="shared" si="9"/>
        <v>-904647.17519581318</v>
      </c>
      <c r="AM16" s="41">
        <f t="shared" si="10"/>
        <v>-3537450</v>
      </c>
      <c r="AN16" s="77" cm="1">
        <f t="array" ref="AN16">_xll.BDP($B16&amp;" Equity","theta_mid_rt")</f>
        <v>-7.9239405691623688E-2</v>
      </c>
      <c r="AO16" s="41">
        <f t="shared" si="11"/>
        <v>-3565.7732561230659</v>
      </c>
      <c r="AP16" s="41">
        <f t="shared" si="12"/>
        <v>-9224.9999999999836</v>
      </c>
      <c r="AQ16" s="73" t="str" cm="1">
        <f t="array" ref="AQ16">_xll.BDP($D16&amp;" Equity","EXPECTED_REPORT_DT")</f>
        <v>05/03/2026</v>
      </c>
      <c r="AR16" s="189" cm="1">
        <f t="array" ref="AR16">_xll.BDP($B16&amp;" Equity","GAMMA_LAST")</f>
        <v>1.4803999999999999E-2</v>
      </c>
      <c r="AS16" s="72">
        <f t="shared" si="13"/>
        <v>41166.806943780008</v>
      </c>
      <c r="AT16" s="72">
        <f t="shared" si="14"/>
        <v>205834.03471890002</v>
      </c>
      <c r="AU16" s="72" t="s">
        <v>95</v>
      </c>
      <c r="AV16" s="250" cm="1">
        <f t="array" ref="AV16">_xll.BDP($D16&amp;" Equity","EST_PE_NXT_YR")*(AA16/Z16)</f>
        <v>19.591379792891129</v>
      </c>
      <c r="AW16" s="72"/>
      <c r="AX16" s="41"/>
      <c r="AY16" s="250">
        <v>2.97</v>
      </c>
      <c r="AZ16" s="281"/>
      <c r="BA16" s="41">
        <f t="shared" si="15"/>
        <v>2.97</v>
      </c>
      <c r="BB16" s="273">
        <f t="shared" si="16"/>
        <v>3.1749999999999998</v>
      </c>
      <c r="BC16" s="273">
        <f t="shared" si="17"/>
        <v>9224.9999999999836</v>
      </c>
      <c r="BD16" s="273">
        <f>BC16/'Master P&amp;L'!$AD$7*10000</f>
        <v>3.6543909465937191E-2</v>
      </c>
    </row>
    <row r="17" spans="1:56" ht="15.75" customHeight="1">
      <c r="A17" s="283"/>
      <c r="B17" t="s">
        <v>979</v>
      </c>
      <c r="C17" t="str" cm="1">
        <f t="array" ref="C17">_xll.BDP($B17&amp;" Equity","opt_put_call")</f>
        <v>Put</v>
      </c>
      <c r="D17" t="str" cm="1">
        <f t="array" ref="D17">_xll.BDP(B17&amp;" Equity","OPT_UNDL_TICKER")</f>
        <v>MRVL US</v>
      </c>
      <c r="E17" t="str" cm="1">
        <f t="array" ref="E17">_xll.BDP($B17&amp;" Equity","mifid_Maturity_date")</f>
        <v>20/03/2026</v>
      </c>
      <c r="F17" cm="1">
        <f t="array" ref="F17">_xll.BDP($B17&amp;" Equity","opt_days_expire")</f>
        <v>35</v>
      </c>
      <c r="G17" t="s">
        <v>137</v>
      </c>
      <c r="H17" s="15">
        <v>-450</v>
      </c>
      <c r="I17" s="336">
        <v>1.66</v>
      </c>
      <c r="J17" s="14">
        <f>VLOOKUP(B17,Precificação!$B:$O,14,FALSE)</f>
        <v>1.08</v>
      </c>
      <c r="K17" s="73">
        <f t="shared" si="18"/>
        <v>1.08</v>
      </c>
      <c r="L17" s="35" cm="1">
        <f t="array" ref="L17">_xll.BDP($B17&amp;" Equity","mid")</f>
        <v>1.03</v>
      </c>
      <c r="M17" s="18">
        <f t="shared" si="0"/>
        <v>1.3102658694822543E-2</v>
      </c>
      <c r="N17" s="277"/>
      <c r="O17" s="18">
        <f t="shared" si="1"/>
        <v>-4.629629629629628E-2</v>
      </c>
      <c r="P17" s="35" cm="1">
        <f t="array" ref="P17">_xll.BDP($B17&amp;" Equity","bid")</f>
        <v>0.91</v>
      </c>
      <c r="Q17" s="35" cm="1">
        <f t="array" ref="Q17">_xll.BDP($B17&amp;" Equity","ask")</f>
        <v>1.1399999999999999</v>
      </c>
      <c r="R17" s="39">
        <f t="shared" si="2"/>
        <v>0.25274725274725252</v>
      </c>
      <c r="S17" s="35" cm="1">
        <f t="array" ref="S17">_xll.BDP(G17&amp;" Curncy","PX_LAST")</f>
        <v>1</v>
      </c>
      <c r="T17" s="15" cm="1">
        <f t="array" ref="T17">_xll.BDP(B17&amp;" Equity","OPT_MULTIPLIER")</f>
        <v>100</v>
      </c>
      <c r="U17" s="15">
        <f t="shared" si="3"/>
        <v>-46350</v>
      </c>
      <c r="V17" s="122">
        <f>U17/'Master P&amp;L'!$AD$7*10000</f>
        <v>-0.18361086219470912</v>
      </c>
      <c r="W17" s="122">
        <f>(Y17*H17*T17/S17)/'Master P&amp;L'!$AD$7*10000</f>
        <v>-0.18361086219470912</v>
      </c>
      <c r="X17" s="339">
        <f t="shared" si="4"/>
        <v>0</v>
      </c>
      <c r="Y17" s="202">
        <f t="shared" si="5"/>
        <v>1.03</v>
      </c>
      <c r="Z17" s="36">
        <f>_xll.BDP(D17&amp;" Equity","LAST_PRICE")</f>
        <v>78.61</v>
      </c>
      <c r="AA17" s="36" cm="1">
        <f t="array" ref="AA17">_xll.BDP(B17&amp;" Equity","OPT_STRIKE_PX")</f>
        <v>60</v>
      </c>
      <c r="AB17" s="39">
        <f t="shared" si="6"/>
        <v>-0.23673832845693932</v>
      </c>
      <c r="AC17" s="252" cm="1">
        <f t="array" ref="AC17">_xll.BDP($D17&amp;" Equity","volatility_10d")</f>
        <v>59.04037018555983</v>
      </c>
      <c r="AD17" s="36" cm="1">
        <f t="array" ref="AD17">_xll.BDP(B17&amp;" Equity","ivol_mid")</f>
        <v>77.524519999999995</v>
      </c>
      <c r="AE17" s="36">
        <f t="shared" si="7"/>
        <v>1.3130764552516483</v>
      </c>
      <c r="AF17" s="37" cm="1">
        <f t="array" ref="AF17">_xll.BDP(B17&amp;" Equity","DELTA_MID_RT")</f>
        <v>-0.10308077186346054</v>
      </c>
      <c r="AG17" s="18">
        <f>AL17/'Master P&amp;L'!$AE$7</f>
        <v>1.4444968642146592E-4</v>
      </c>
      <c r="AH17" s="18">
        <f>AM17/'Master P&amp;L'!$AE$7</f>
        <v>1.4013252307889404E-3</v>
      </c>
      <c r="AI17" s="352">
        <f>AO17/'Master P&amp;L'!$AD$7*10000</f>
        <v>8.6343601383733412E-3</v>
      </c>
      <c r="AJ17" s="277">
        <f t="shared" si="8"/>
        <v>-0.11005519558956922</v>
      </c>
      <c r="AK17" s="37">
        <f>AP17/'Master P&amp;L'!$AD$7*10000</f>
        <v>8.9131486502286063E-3</v>
      </c>
      <c r="AL17" s="15">
        <f t="shared" si="9"/>
        <v>364643.07642839843</v>
      </c>
      <c r="AM17" s="15">
        <f t="shared" si="10"/>
        <v>3537450</v>
      </c>
      <c r="AN17" s="37" cm="1">
        <f t="array" ref="AN17">_xll.BDP($B17&amp;" Equity","theta_mid_rt")</f>
        <v>-4.8436082899570465E-2</v>
      </c>
      <c r="AO17" s="15">
        <f t="shared" si="11"/>
        <v>2179.6237304806709</v>
      </c>
      <c r="AP17" s="15">
        <f t="shared" si="12"/>
        <v>2250.0000000000018</v>
      </c>
      <c r="AQ17" s="35" t="str" cm="1">
        <f t="array" ref="AQ17">_xll.BDP($D17&amp;" Equity","EXPECTED_REPORT_DT")</f>
        <v>05/03/2026</v>
      </c>
      <c r="AR17" s="65" cm="1">
        <f t="array" ref="AR17">_xll.BDP($B17&amp;" Equity","GAMMA_LAST")</f>
        <v>7.5259999999999997E-3</v>
      </c>
      <c r="AS17">
        <f t="shared" si="13"/>
        <v>-20928.221363069999</v>
      </c>
      <c r="AT17">
        <f t="shared" si="14"/>
        <v>-104641.10681535001</v>
      </c>
      <c r="AU17" t="s">
        <v>95</v>
      </c>
      <c r="AV17" s="206" cm="1">
        <f t="array" ref="AV17">_xll.BDP($D17&amp;" Equity","EST_PE_NXT_YR")*(AA17/Z17)</f>
        <v>16.792611251049536</v>
      </c>
      <c r="AX17" s="15"/>
      <c r="AY17" s="206">
        <v>1.03</v>
      </c>
      <c r="AZ17" s="282"/>
      <c r="BA17" s="15">
        <f t="shared" si="15"/>
        <v>1.03</v>
      </c>
      <c r="BB17" s="340">
        <f t="shared" si="16"/>
        <v>1.08</v>
      </c>
      <c r="BC17" s="340">
        <f t="shared" si="17"/>
        <v>-2250.0000000000023</v>
      </c>
      <c r="BD17" s="340">
        <f>BC17/'Master P&amp;L'!$AD$7*10000</f>
        <v>-8.913148650228608E-3</v>
      </c>
    </row>
    <row r="18" spans="1:56" ht="15.75" customHeight="1">
      <c r="A18" s="263"/>
      <c r="B18" s="72" t="s">
        <v>980</v>
      </c>
      <c r="C18" s="72" t="str" cm="1">
        <f t="array" ref="C18">_xll.BDP($B18&amp;" Equity","opt_put_call")</f>
        <v>Call</v>
      </c>
      <c r="D18" s="72" t="str" cm="1">
        <f t="array" ref="D18">_xll.BDP(B18&amp;" Equity","OPT_UNDL_TICKER")</f>
        <v>NFLX US</v>
      </c>
      <c r="E18" s="72" t="str" cm="1">
        <f t="array" ref="E18">_xll.BDP($B18&amp;" Equity","mifid_Maturity_date")</f>
        <v>15/05/2026</v>
      </c>
      <c r="F18" s="72" cm="1">
        <f t="array" ref="F18">_xll.BDP($B18&amp;" Equity","opt_days_expire")</f>
        <v>91</v>
      </c>
      <c r="G18" s="72" t="s">
        <v>137</v>
      </c>
      <c r="H18" s="41">
        <v>-300</v>
      </c>
      <c r="I18" s="335">
        <v>2.88</v>
      </c>
      <c r="J18" s="14">
        <f>VLOOKUP(B18,Precificação!$B:$O,14,FALSE)</f>
        <v>2.1800000000000002</v>
      </c>
      <c r="K18" s="73">
        <f t="shared" si="18"/>
        <v>2.1800000000000002</v>
      </c>
      <c r="L18" s="73" cm="1">
        <f t="array" ref="L18">_xll.BDP($B18&amp;" Equity","mid")</f>
        <v>2.21</v>
      </c>
      <c r="M18" s="74">
        <f t="shared" si="0"/>
        <v>2.8749837387797579E-2</v>
      </c>
      <c r="N18" s="279"/>
      <c r="O18" s="74">
        <f t="shared" si="1"/>
        <v>1.3761467889908063E-2</v>
      </c>
      <c r="P18" s="73" cm="1">
        <f t="array" ref="P18">_xll.BDP($B18&amp;" Equity","bid")</f>
        <v>2.13</v>
      </c>
      <c r="Q18" s="73" cm="1">
        <f t="array" ref="Q18">_xll.BDP($B18&amp;" Equity","ask")</f>
        <v>2.2799999999999998</v>
      </c>
      <c r="R18" s="75">
        <f t="shared" si="2"/>
        <v>7.0422535211267512E-2</v>
      </c>
      <c r="S18" s="35" cm="1">
        <f t="array" ref="S18">_xll.BDP(G18&amp;" Curncy","PX_LAST")</f>
        <v>1</v>
      </c>
      <c r="T18" s="41" cm="1">
        <f t="array" ref="T18">_xll.BDP(B18&amp;" Equity","OPT_MULTIPLIER")</f>
        <v>100</v>
      </c>
      <c r="U18" s="41">
        <f t="shared" si="3"/>
        <v>-66300</v>
      </c>
      <c r="V18" s="111">
        <f>U18/'Master P&amp;L'!$AD$7*10000</f>
        <v>-0.26264078022673604</v>
      </c>
      <c r="W18" s="111">
        <f>(Y18*H18*T18/S18)/'Master P&amp;L'!$AD$7*10000</f>
        <v>-0.26264078022673604</v>
      </c>
      <c r="X18" s="116">
        <f t="shared" si="4"/>
        <v>0</v>
      </c>
      <c r="Y18" s="201">
        <f t="shared" si="5"/>
        <v>2.21</v>
      </c>
      <c r="Z18" s="76">
        <f>_xll.BDP(D18&amp;" Equity","LAST_PRICE")</f>
        <v>76.87</v>
      </c>
      <c r="AA18" s="76" cm="1">
        <f t="array" ref="AA18">_xll.BDP(B18&amp;" Equity","OPT_STRIKE_PX")</f>
        <v>90</v>
      </c>
      <c r="AB18" s="75">
        <f t="shared" si="6"/>
        <v>0.17080785742162075</v>
      </c>
      <c r="AC18" s="251" cm="1">
        <f t="array" ref="AC18">_xll.BDP($D18&amp;" Equity","volatility_10d")</f>
        <v>38.870210726923858</v>
      </c>
      <c r="AD18" s="76" cm="1">
        <f t="array" ref="AD18">_xll.BDP(B18&amp;" Equity","ivol_mid")</f>
        <v>39.439700000000002</v>
      </c>
      <c r="AE18" s="76">
        <f t="shared" si="7"/>
        <v>1.0146510467122754</v>
      </c>
      <c r="AF18" s="77" cm="1">
        <f t="array" ref="AF18">_xll.BDP(B18&amp;" Equity","DELTA_MID_RT")</f>
        <v>0.26410236954689026</v>
      </c>
      <c r="AG18" s="74">
        <f>AL18/'Master P&amp;L'!$AE$7</f>
        <v>-2.4126763383700223E-4</v>
      </c>
      <c r="AH18" s="74">
        <f>AM18/'Master P&amp;L'!$AE$7</f>
        <v>-9.1353831565742986E-4</v>
      </c>
      <c r="AI18" s="353">
        <f>AO18/'Master P&amp;L'!$AD$7*10000</f>
        <v>3.2076132921203876E-3</v>
      </c>
      <c r="AJ18" s="277">
        <f t="shared" si="8"/>
        <v>-4.0884848741845163E-2</v>
      </c>
      <c r="AK18" s="77">
        <f>AP18/'Master P&amp;L'!$AD$7*10000</f>
        <v>-3.5652594600914162E-3</v>
      </c>
      <c r="AL18" s="41">
        <f t="shared" si="9"/>
        <v>-609046.47441208363</v>
      </c>
      <c r="AM18" s="41">
        <f t="shared" si="10"/>
        <v>-2306100</v>
      </c>
      <c r="AN18" s="77" cm="1">
        <f t="array" ref="AN18">_xll.BDP($B18&amp;" Equity","theta_mid_rt")</f>
        <v>-2.6990573853254318E-2</v>
      </c>
      <c r="AO18" s="41">
        <f t="shared" si="11"/>
        <v>809.71721559762955</v>
      </c>
      <c r="AP18" s="41">
        <f t="shared" si="12"/>
        <v>-899.99999999999409</v>
      </c>
      <c r="AQ18" s="73" t="str" cm="1">
        <f t="array" ref="AQ18">_xll.BDP($D18&amp;" Equity","EXPECTED_REPORT_DT")</f>
        <v>17/04/2026</v>
      </c>
      <c r="AR18" s="189" cm="1">
        <f t="array" ref="AR18">_xll.BDP($B18&amp;" Equity","GAMMA_LAST")</f>
        <v>1.6618999999999998E-2</v>
      </c>
      <c r="AS18" s="72">
        <f t="shared" si="13"/>
        <v>-29460.485844330004</v>
      </c>
      <c r="AT18" s="72">
        <f t="shared" si="14"/>
        <v>-147302.42922165003</v>
      </c>
      <c r="AU18" s="72" t="s">
        <v>95</v>
      </c>
      <c r="AV18" s="250" cm="1">
        <f t="array" ref="AV18">_xll.BDP($D18&amp;" Equity","EST_PE_NXT_YR")*(AA18/Z18)</f>
        <v>23.677979479084449</v>
      </c>
      <c r="AW18" s="72"/>
      <c r="AX18" s="41"/>
      <c r="AY18" s="250">
        <v>2.21</v>
      </c>
      <c r="AZ18" s="281"/>
      <c r="BA18" s="41">
        <f t="shared" si="15"/>
        <v>2.21</v>
      </c>
      <c r="BB18" s="273">
        <f t="shared" si="16"/>
        <v>2.1800000000000002</v>
      </c>
      <c r="BC18" s="273">
        <f t="shared" si="17"/>
        <v>899.99999999999409</v>
      </c>
      <c r="BD18" s="273">
        <f>BC18/'Master P&amp;L'!$AD$7*10000</f>
        <v>3.5652594600914162E-3</v>
      </c>
    </row>
    <row r="19" spans="1:56" ht="15.75" customHeight="1">
      <c r="A19" s="283"/>
      <c r="B19" t="s">
        <v>981</v>
      </c>
      <c r="C19" t="str" cm="1">
        <f t="array" ref="C19">_xll.BDP($B19&amp;" Equity","opt_put_call")</f>
        <v>Put</v>
      </c>
      <c r="D19" t="str" cm="1">
        <f t="array" ref="D19">_xll.BDP(B19&amp;" Equity","OPT_UNDL_TICKER")</f>
        <v>NFLX US</v>
      </c>
      <c r="E19" t="str" cm="1">
        <f t="array" ref="E19">_xll.BDP($B19&amp;" Equity","mifid_Maturity_date")</f>
        <v>15/05/2026</v>
      </c>
      <c r="F19" cm="1">
        <f t="array" ref="F19">_xll.BDP($B19&amp;" Equity","opt_days_expire")</f>
        <v>91</v>
      </c>
      <c r="G19" t="str" cm="1">
        <f t="array" ref="G19">_xll.BDP(B19&amp;" Equity","QUOTED_CURRENCY_REALTIME")</f>
        <v>USD</v>
      </c>
      <c r="H19" s="15">
        <v>-100</v>
      </c>
      <c r="I19" s="336">
        <v>2.13</v>
      </c>
      <c r="J19" s="14">
        <f>VLOOKUP(B19,Precificação!$B:$O,14,FALSE)</f>
        <v>3.6749999999999998</v>
      </c>
      <c r="K19" s="73">
        <f t="shared" si="18"/>
        <v>3.6749999999999998</v>
      </c>
      <c r="L19" s="35" cm="1">
        <f t="array" ref="L19">_xll.BDP($B19&amp;" Equity","mid")</f>
        <v>3.25</v>
      </c>
      <c r="M19" s="18">
        <f t="shared" si="0"/>
        <v>4.2279172629114084E-2</v>
      </c>
      <c r="N19" s="277"/>
      <c r="O19" s="18">
        <f t="shared" si="1"/>
        <v>-0.11564625850340127</v>
      </c>
      <c r="P19" s="35" cm="1">
        <f t="array" ref="P19">_xll.BDP($B19&amp;" Equity","bid")</f>
        <v>3</v>
      </c>
      <c r="Q19" s="35" cm="1">
        <f t="array" ref="Q19">_xll.BDP($B19&amp;" Equity","ask")</f>
        <v>3.5</v>
      </c>
      <c r="R19" s="39">
        <f t="shared" si="2"/>
        <v>0.16666666666666674</v>
      </c>
      <c r="S19" s="35" cm="1">
        <f t="array" ref="S19">_xll.BDP(G19&amp;" Curncy","PX_LAST")</f>
        <v>1</v>
      </c>
      <c r="T19" s="15" cm="1">
        <f t="array" ref="T19">_xll.BDP(B19&amp;" Equity","OPT_MULTIPLIER")</f>
        <v>100</v>
      </c>
      <c r="U19" s="15">
        <f t="shared" si="3"/>
        <v>-32500</v>
      </c>
      <c r="V19" s="122">
        <f>U19/'Master P&amp;L'!$AD$7*10000</f>
        <v>-0.12874548050330201</v>
      </c>
      <c r="W19" s="122">
        <f>(Y19*H19*T19/S19)/'Master P&amp;L'!$AD$7*10000</f>
        <v>-0.12874548050330201</v>
      </c>
      <c r="X19" s="339">
        <f t="shared" si="4"/>
        <v>0</v>
      </c>
      <c r="Y19" s="202">
        <f t="shared" si="5"/>
        <v>3.25</v>
      </c>
      <c r="Z19" s="36">
        <f>_xll.BDP(D19&amp;" Equity","LAST_PRICE")</f>
        <v>76.87</v>
      </c>
      <c r="AA19" s="36" cm="1">
        <f t="array" ref="AA19">_xll.BDP(B19&amp;" Equity","OPT_STRIKE_PX")</f>
        <v>70</v>
      </c>
      <c r="AB19" s="39">
        <f t="shared" si="6"/>
        <v>-8.9371666449850395E-2</v>
      </c>
      <c r="AC19" s="252" cm="1">
        <f t="array" ref="AC19">_xll.BDP($D19&amp;" Equity","volatility_10d")</f>
        <v>38.870210726923858</v>
      </c>
      <c r="AD19" s="36" cm="1">
        <f t="array" ref="AD19">_xll.BDP(B19&amp;" Equity","ivol_mid")</f>
        <v>43.884340000000002</v>
      </c>
      <c r="AE19" s="36">
        <f t="shared" si="7"/>
        <v>1.1289967092872757</v>
      </c>
      <c r="AF19" s="37" cm="1">
        <f t="array" ref="AF19">_xll.BDP(B19&amp;" Equity","DELTA_MID_RT")</f>
        <v>-0.27933627367019653</v>
      </c>
      <c r="AG19" s="18">
        <f>AL19/'Master P&amp;L'!$AE$7</f>
        <v>8.5061462983564766E-5</v>
      </c>
      <c r="AH19" s="18">
        <f>AM19/'Master P&amp;L'!$AE$7</f>
        <v>3.0451277188580999E-4</v>
      </c>
      <c r="AI19" s="352">
        <f>AO19/'Master P&amp;L'!$AD$7*10000</f>
        <v>1.239972648002717E-3</v>
      </c>
      <c r="AJ19" s="277">
        <f t="shared" si="8"/>
        <v>-1.5804927072148318E-2</v>
      </c>
      <c r="AK19" s="37">
        <f>AP19/'Master P&amp;L'!$AD$7*10000</f>
        <v>1.6835947450431793E-2</v>
      </c>
      <c r="AL19" s="15">
        <f t="shared" si="9"/>
        <v>214725.79357028013</v>
      </c>
      <c r="AM19" s="15">
        <f t="shared" si="10"/>
        <v>768700</v>
      </c>
      <c r="AN19" s="37" cm="1">
        <f t="array" ref="AN19">_xll.BDP($B19&amp;" Equity","theta_mid_rt")</f>
        <v>-3.1301379203796387E-2</v>
      </c>
      <c r="AO19" s="15">
        <f t="shared" si="11"/>
        <v>313.01379203796387</v>
      </c>
      <c r="AP19" s="15">
        <f t="shared" si="12"/>
        <v>4249.9999999999982</v>
      </c>
      <c r="AQ19" s="35" t="str" cm="1">
        <f t="array" ref="AQ19">_xll.BDP($D19&amp;" Equity","EXPECTED_REPORT_DT")</f>
        <v>17/04/2026</v>
      </c>
      <c r="AR19" s="65" cm="1">
        <f t="array" ref="AR19">_xll.BDP($B19&amp;" Equity","GAMMA_LAST")</f>
        <v>1.6327999999999999E-2</v>
      </c>
      <c r="AS19">
        <f t="shared" si="13"/>
        <v>-9648.2101383200024</v>
      </c>
      <c r="AT19">
        <f t="shared" si="14"/>
        <v>-48241.050691600009</v>
      </c>
      <c r="AU19" t="s">
        <v>95</v>
      </c>
      <c r="AV19" s="206" cm="1">
        <f t="array" ref="AV19">_xll.BDP($D19&amp;" Equity","EST_PE_NXT_YR")*(AA19/Z19)</f>
        <v>18.41620626151013</v>
      </c>
      <c r="AX19" s="15"/>
      <c r="AY19" s="206">
        <v>3.25</v>
      </c>
      <c r="AZ19" s="282"/>
      <c r="BA19" s="15">
        <f t="shared" si="15"/>
        <v>3.25</v>
      </c>
      <c r="BB19" s="340">
        <f t="shared" si="16"/>
        <v>3.6749999999999998</v>
      </c>
      <c r="BC19" s="340">
        <f t="shared" si="17"/>
        <v>-4249.9999999999982</v>
      </c>
      <c r="BD19" s="340">
        <f>BC19/'Master P&amp;L'!$AD$7*10000</f>
        <v>-1.6835947450431793E-2</v>
      </c>
    </row>
    <row r="20" spans="1:56" ht="15.75" customHeight="1">
      <c r="A20" s="263"/>
      <c r="B20" s="72" t="s">
        <v>923</v>
      </c>
      <c r="C20" s="72" t="str" cm="1">
        <f t="array" ref="C20">_xll.BDP($B20&amp;" Equity","opt_put_call")</f>
        <v>Call</v>
      </c>
      <c r="D20" s="72" t="str" cm="1">
        <f t="array" ref="D20">_xll.BDP(B20&amp;" Equity","OPT_UNDL_TICKER")</f>
        <v>NVDA US</v>
      </c>
      <c r="E20" s="72" t="str" cm="1">
        <f t="array" ref="E20">_xll.BDP($B20&amp;" Equity","mifid_Maturity_date")</f>
        <v>15/05/2026</v>
      </c>
      <c r="F20" s="72" cm="1">
        <f t="array" ref="F20">_xll.BDP($B20&amp;" Equity","opt_days_expire")</f>
        <v>91</v>
      </c>
      <c r="G20" s="72" t="str" cm="1">
        <f t="array" ref="G20">_xll.BDP(B20&amp;" Equity","QUOTED_CURRENCY_REALTIME")</f>
        <v>USD</v>
      </c>
      <c r="H20" s="41">
        <v>150</v>
      </c>
      <c r="I20" s="335">
        <v>14.91</v>
      </c>
      <c r="J20" s="14">
        <f>VLOOKUP(B20,Precificação!$B:$O,14,FALSE)</f>
        <v>12.475</v>
      </c>
      <c r="K20" s="73">
        <f t="shared" si="18"/>
        <v>12.475</v>
      </c>
      <c r="L20" s="73" cm="1">
        <f t="array" ref="L20">_xll.BDP($B20&amp;" Equity","mid")</f>
        <v>10.45</v>
      </c>
      <c r="M20" s="74">
        <f t="shared" si="0"/>
        <v>5.7163174881024008E-2</v>
      </c>
      <c r="N20" s="279"/>
      <c r="O20" s="74">
        <f t="shared" si="1"/>
        <v>-0.16232464929859725</v>
      </c>
      <c r="P20" s="73" cm="1">
        <f t="array" ref="P20">_xll.BDP($B20&amp;" Equity","bid")</f>
        <v>10.4</v>
      </c>
      <c r="Q20" s="73" cm="1">
        <f t="array" ref="Q20">_xll.BDP($B20&amp;" Equity","ask")</f>
        <v>10.5</v>
      </c>
      <c r="R20" s="75">
        <f t="shared" si="2"/>
        <v>9.6153846153845812E-3</v>
      </c>
      <c r="S20" s="35" cm="1">
        <f t="array" ref="S20">_xll.BDP(G20&amp;" Curncy","PX_LAST")</f>
        <v>1</v>
      </c>
      <c r="T20" s="41" cm="1">
        <f t="array" ref="T20">_xll.BDP(B20&amp;" Equity","OPT_MULTIPLIER")</f>
        <v>100</v>
      </c>
      <c r="U20" s="41">
        <f t="shared" si="3"/>
        <v>156750</v>
      </c>
      <c r="V20" s="111">
        <f>U20/'Master P&amp;L'!$AD$7*10000</f>
        <v>0.62094935596592571</v>
      </c>
      <c r="W20" s="111">
        <f>(Y20*H20*T20/S20)/'Master P&amp;L'!$AD$7*10000</f>
        <v>0.62094935596592571</v>
      </c>
      <c r="X20" s="116">
        <f t="shared" si="4"/>
        <v>0</v>
      </c>
      <c r="Y20" s="201">
        <f t="shared" si="5"/>
        <v>10.45</v>
      </c>
      <c r="Z20" s="76">
        <f>_xll.BDP(D20&amp;" Equity","LAST_PRICE")</f>
        <v>182.81</v>
      </c>
      <c r="AA20" s="76" cm="1">
        <f t="array" ref="AA20">_xll.BDP(B20&amp;" Equity","OPT_STRIKE_PX")</f>
        <v>200</v>
      </c>
      <c r="AB20" s="75">
        <f t="shared" si="6"/>
        <v>9.4032055139215531E-2</v>
      </c>
      <c r="AC20" s="251" cm="1">
        <f t="array" ref="AC20">_xll.BDP($D20&amp;" Equity","volatility_10d")</f>
        <v>55.371272944822415</v>
      </c>
      <c r="AD20" s="76" cm="1">
        <f t="array" ref="AD20">_xll.BDP(B20&amp;" Equity","ivol_mid")</f>
        <v>44.997239999999998</v>
      </c>
      <c r="AE20" s="76">
        <f t="shared" si="7"/>
        <v>0.81264593726858758</v>
      </c>
      <c r="AF20" s="77" cm="1">
        <f t="array" ref="AF20">_xll.BDP(B20&amp;" Equity","DELTA_MID_RT")</f>
        <v>0.40252652764320374</v>
      </c>
      <c r="AG20" s="74">
        <f>AL20/'Master P&amp;L'!$AE$7</f>
        <v>4.3725455876003334E-4</v>
      </c>
      <c r="AH20" s="74">
        <f>AM20/'Master P&amp;L'!$AE$7</f>
        <v>1.0862751364988602E-3</v>
      </c>
      <c r="AI20" s="353">
        <f>AO20/'Master P&amp;L'!$AD$7*10000</f>
        <v>-5.1187468136657654E-3</v>
      </c>
      <c r="AJ20" s="277">
        <f t="shared" si="8"/>
        <v>6.524451988605616E-2</v>
      </c>
      <c r="AK20" s="77">
        <f>AP20/'Master P&amp;L'!$AD$7*10000</f>
        <v>-0.1203275067780861</v>
      </c>
      <c r="AL20" s="41">
        <f t="shared" si="9"/>
        <v>1103788.1177768111</v>
      </c>
      <c r="AM20" s="41">
        <f t="shared" si="10"/>
        <v>2742150</v>
      </c>
      <c r="AN20" s="77" cm="1">
        <f t="array" ref="AN20">_xll.BDP($B20&amp;" Equity","theta_mid_rt")</f>
        <v>-8.6143746972084045E-2</v>
      </c>
      <c r="AO20" s="41">
        <f t="shared" si="11"/>
        <v>-1292.1562045812607</v>
      </c>
      <c r="AP20" s="41">
        <f t="shared" si="12"/>
        <v>-30375.000000000004</v>
      </c>
      <c r="AQ20" s="73" t="str" cm="1">
        <f t="array" ref="AQ20">_xll.BDP($D20&amp;" Equity","EXPECTED_REPORT_DT")</f>
        <v>25/02/2026</v>
      </c>
      <c r="AR20" s="189" cm="1">
        <f t="array" ref="AR20">_xll.BDP($B20&amp;" Equity","GAMMA_LAST")</f>
        <v>1.7246000000000001E-2</v>
      </c>
      <c r="AS20" s="72">
        <f t="shared" si="13"/>
        <v>86452.894461090007</v>
      </c>
      <c r="AT20" s="72">
        <f t="shared" si="14"/>
        <v>432264.47230545006</v>
      </c>
      <c r="AU20" s="72" t="s">
        <v>95</v>
      </c>
      <c r="AV20" s="250" cm="1">
        <f t="array" ref="AV20">_xll.BDP($D20&amp;" Equity","EST_PE_NXT_YR")*(AA20/Z20)</f>
        <v>25.835552847331499</v>
      </c>
      <c r="AW20" s="72"/>
      <c r="AX20" s="41"/>
      <c r="AY20" s="250">
        <v>10.45</v>
      </c>
      <c r="AZ20" s="281"/>
      <c r="BA20" s="41">
        <f t="shared" si="15"/>
        <v>10.45</v>
      </c>
      <c r="BB20" s="273">
        <f t="shared" si="16"/>
        <v>12.475</v>
      </c>
      <c r="BC20" s="273">
        <f t="shared" si="17"/>
        <v>30375.000000000007</v>
      </c>
      <c r="BD20" s="273">
        <f>BC20/'Master P&amp;L'!$AD$7*10000</f>
        <v>0.12032750677808611</v>
      </c>
    </row>
    <row r="21" spans="1:56" ht="15.75" customHeight="1">
      <c r="A21" s="283"/>
      <c r="B21" t="s">
        <v>1069</v>
      </c>
      <c r="C21" t="str" cm="1">
        <f t="array" ref="C21">_xll.BDP($B21&amp;" Equity","opt_put_call")</f>
        <v>Call</v>
      </c>
      <c r="D21" t="str" cm="1">
        <f t="array" ref="D21">_xll.BDP(B21&amp;" Equity","OPT_UNDL_TICKER")</f>
        <v>NVDA US</v>
      </c>
      <c r="E21" t="str" cm="1">
        <f t="array" ref="E21">_xll.BDP($B21&amp;" Equity","mifid_Maturity_date")</f>
        <v>20/03/2026</v>
      </c>
      <c r="F21" cm="1">
        <f t="array" ref="F21">_xll.BDP($B21&amp;" Equity","opt_days_expire")</f>
        <v>35</v>
      </c>
      <c r="G21" t="str" cm="1">
        <f t="array" ref="G21">_xll.BDP(B21&amp;" Equity","QUOTED_CURRENCY_REALTIME")</f>
        <v>USD</v>
      </c>
      <c r="H21" s="15">
        <v>725</v>
      </c>
      <c r="I21" s="336">
        <v>7.98</v>
      </c>
      <c r="J21" s="14">
        <f>VLOOKUP(B21,Precificação!$B:$O,14,FALSE)</f>
        <v>6.55</v>
      </c>
      <c r="K21" s="73">
        <f t="shared" si="18"/>
        <v>6.55</v>
      </c>
      <c r="L21" s="35" cm="1">
        <f t="array" ref="L21">_xll.BDP($B21&amp;" Equity","mid")</f>
        <v>4.88</v>
      </c>
      <c r="M21" s="18">
        <f t="shared" si="0"/>
        <v>2.669438214539686E-2</v>
      </c>
      <c r="N21" s="277"/>
      <c r="O21" s="18">
        <f t="shared" si="1"/>
        <v>-0.25496183206106871</v>
      </c>
      <c r="P21" s="35" cm="1">
        <f t="array" ref="P21">_xll.BDP($B21&amp;" Equity","bid")</f>
        <v>4.8499999999999996</v>
      </c>
      <c r="Q21" s="35" cm="1">
        <f t="array" ref="Q21">_xll.BDP($B21&amp;" Equity","ask")</f>
        <v>4.9000000000000004</v>
      </c>
      <c r="R21" s="39">
        <f t="shared" si="2"/>
        <v>1.0309278350515649E-2</v>
      </c>
      <c r="S21" s="35" cm="1">
        <f t="array" ref="S21">_xll.BDP(G21&amp;" Curncy","PX_LAST")</f>
        <v>1</v>
      </c>
      <c r="T21" s="15" cm="1">
        <f t="array" ref="T21">_xll.BDP(B21&amp;" Equity","OPT_MULTIPLIER")</f>
        <v>100</v>
      </c>
      <c r="U21" s="15">
        <f t="shared" si="3"/>
        <v>353800</v>
      </c>
      <c r="V21" s="122">
        <f>U21/'Master P&amp;L'!$AD$7*10000</f>
        <v>1.4015431077559459</v>
      </c>
      <c r="W21" s="122">
        <f>(Y21*H21*T21/S21)/'Master P&amp;L'!$AD$7*10000</f>
        <v>1.4015431077559459</v>
      </c>
      <c r="X21" s="339">
        <f t="shared" si="4"/>
        <v>0</v>
      </c>
      <c r="Y21" s="202">
        <f t="shared" si="5"/>
        <v>4.88</v>
      </c>
      <c r="Z21" s="36">
        <f>_xll.BDP(D21&amp;" Equity","LAST_PRICE")</f>
        <v>182.81</v>
      </c>
      <c r="AA21" s="36" cm="1">
        <f t="array" ref="AA21">_xll.BDP(B21&amp;" Equity","OPT_STRIKE_PX")</f>
        <v>200</v>
      </c>
      <c r="AB21" s="39">
        <f t="shared" si="6"/>
        <v>9.4032055139215531E-2</v>
      </c>
      <c r="AC21" s="252" cm="1">
        <f t="array" ref="AC21">_xll.BDP($D21&amp;" Equity","volatility_10d")</f>
        <v>55.371272944822415</v>
      </c>
      <c r="AD21" s="36" cm="1">
        <f t="array" ref="AD21">_xll.BDP(B21&amp;" Equity","ivol_mid")</f>
        <v>47.931690000000003</v>
      </c>
      <c r="AE21" s="36">
        <f t="shared" si="7"/>
        <v>0.8656418292525806</v>
      </c>
      <c r="AF21" s="37" cm="1">
        <f t="array" ref="AF21">_xll.BDP(B21&amp;" Equity","DELTA_MID_RT")</f>
        <v>0.30479326844215393</v>
      </c>
      <c r="AG21" s="18">
        <f>AL21/'Master P&amp;L'!$AE$7</f>
        <v>1.6002651881911834E-3</v>
      </c>
      <c r="AH21" s="18">
        <f>AM21/'Master P&amp;L'!$AE$7</f>
        <v>5.2503298264111571E-3</v>
      </c>
      <c r="AI21" s="352">
        <f>AO21/'Master P&amp;L'!$AD$7*10000</f>
        <v>-3.9422035096247768E-2</v>
      </c>
      <c r="AJ21" s="277">
        <f t="shared" si="8"/>
        <v>0.50248075289036709</v>
      </c>
      <c r="AK21" s="37">
        <f>AP21/'Master P&amp;L'!$AD$7*10000</f>
        <v>-0.47962643236730113</v>
      </c>
      <c r="AL21" s="15">
        <f t="shared" si="9"/>
        <v>4039646.1617834866</v>
      </c>
      <c r="AM21" s="15">
        <f t="shared" si="10"/>
        <v>13253725</v>
      </c>
      <c r="AN21" s="37" cm="1">
        <f t="array" ref="AN21">_xll.BDP($B21&amp;" Equity","theta_mid_rt")</f>
        <v>-0.13726265728473663</v>
      </c>
      <c r="AO21" s="15">
        <f t="shared" si="11"/>
        <v>-9951.5426531434059</v>
      </c>
      <c r="AP21" s="15">
        <f t="shared" si="12"/>
        <v>-121075</v>
      </c>
      <c r="AQ21" s="35" t="str" cm="1">
        <f t="array" ref="AQ21">_xll.BDP($D21&amp;" Equity","EXPECTED_REPORT_DT")</f>
        <v>25/02/2026</v>
      </c>
      <c r="AR21" s="65" cm="1">
        <f t="array" ref="AR21">_xll.BDP($B21&amp;" Equity","GAMMA_LAST")</f>
        <v>2.3736E-2</v>
      </c>
      <c r="AS21">
        <f t="shared" si="13"/>
        <v>575102.7405864601</v>
      </c>
      <c r="AT21">
        <f t="shared" si="14"/>
        <v>2875513.7029323005</v>
      </c>
      <c r="AU21" t="s">
        <v>95</v>
      </c>
      <c r="AV21" s="206" cm="1">
        <f t="array" ref="AV21">_xll.BDP($D21&amp;" Equity","EST_PE_NXT_YR")*(AA21/Z21)</f>
        <v>25.835552847331499</v>
      </c>
      <c r="AX21" s="15"/>
      <c r="AY21" s="206">
        <v>4.88</v>
      </c>
      <c r="AZ21" s="282"/>
      <c r="BA21" s="15">
        <f t="shared" si="15"/>
        <v>4.88</v>
      </c>
      <c r="BB21" s="340">
        <f t="shared" si="16"/>
        <v>6.55</v>
      </c>
      <c r="BC21" s="340">
        <f t="shared" si="17"/>
        <v>121075</v>
      </c>
      <c r="BD21" s="340">
        <f>BC21/'Master P&amp;L'!$AD$7*10000</f>
        <v>0.47962643236730113</v>
      </c>
    </row>
    <row r="22" spans="1:56" ht="15.75" customHeight="1">
      <c r="A22" s="263"/>
      <c r="B22" s="72" t="s">
        <v>1070</v>
      </c>
      <c r="C22" s="72" t="str" cm="1">
        <f t="array" ref="C22">_xll.BDP($B22&amp;" Equity","opt_put_call")</f>
        <v>Call</v>
      </c>
      <c r="D22" s="72" t="str" cm="1">
        <f t="array" ref="D22">_xll.BDP(B22&amp;" Equity","OPT_UNDL_TICKER")</f>
        <v>NVDA US</v>
      </c>
      <c r="E22" s="72" t="str" cm="1">
        <f t="array" ref="E22">_xll.BDP($B22&amp;" Equity","mifid_Maturity_date")</f>
        <v>20/03/2026</v>
      </c>
      <c r="F22" s="72" cm="1">
        <f t="array" ref="F22">_xll.BDP($B22&amp;" Equity","opt_days_expire")</f>
        <v>35</v>
      </c>
      <c r="G22" s="72" t="str" cm="1">
        <f t="array" ref="G22">_xll.BDP(B22&amp;" Equity","QUOTED_CURRENCY_REALTIME")</f>
        <v>USD</v>
      </c>
      <c r="H22" s="41">
        <v>-725</v>
      </c>
      <c r="I22" s="335">
        <v>2.54</v>
      </c>
      <c r="J22" s="14">
        <f>VLOOKUP(B22,Precificação!$B:$O,14,FALSE)</f>
        <v>2.0499999999999998</v>
      </c>
      <c r="K22" s="73">
        <f t="shared" si="18"/>
        <v>2.0499999999999998</v>
      </c>
      <c r="L22" s="73" cm="1">
        <f t="array" ref="L22">_xll.BDP($B22&amp;" Equity","mid")</f>
        <v>1.41</v>
      </c>
      <c r="M22" s="74">
        <f t="shared" si="0"/>
        <v>7.7129259887314689E-3</v>
      </c>
      <c r="N22" s="279"/>
      <c r="O22" s="74">
        <f t="shared" si="1"/>
        <v>-0.31219512195121946</v>
      </c>
      <c r="P22" s="73" cm="1">
        <f t="array" ref="P22">_xll.BDP($B22&amp;" Equity","bid")</f>
        <v>1.4</v>
      </c>
      <c r="Q22" s="73" cm="1">
        <f t="array" ref="Q22">_xll.BDP($B22&amp;" Equity","ask")</f>
        <v>1.42</v>
      </c>
      <c r="R22" s="75">
        <f t="shared" si="2"/>
        <v>1.4285714285714235E-2</v>
      </c>
      <c r="S22" s="35" cm="1">
        <f t="array" ref="S22">_xll.BDP(G22&amp;" Curncy","PX_LAST")</f>
        <v>1</v>
      </c>
      <c r="T22" s="41" cm="1">
        <f t="array" ref="T22">_xll.BDP(B22&amp;" Equity","OPT_MULTIPLIER")</f>
        <v>100</v>
      </c>
      <c r="U22" s="41">
        <f t="shared" si="3"/>
        <v>-102224.99999999999</v>
      </c>
      <c r="V22" s="111">
        <f>U22/'Master P&amp;L'!$AD$7*10000</f>
        <v>-0.40495405367538601</v>
      </c>
      <c r="W22" s="111">
        <f>(Y22*H22*T22/S22)/'Master P&amp;L'!$AD$7*10000</f>
        <v>-0.40495405367538601</v>
      </c>
      <c r="X22" s="116">
        <f t="shared" si="4"/>
        <v>0</v>
      </c>
      <c r="Y22" s="201">
        <f t="shared" si="5"/>
        <v>1.41</v>
      </c>
      <c r="Z22" s="76">
        <f>_xll.BDP(D22&amp;" Equity","LAST_PRICE")</f>
        <v>182.81</v>
      </c>
      <c r="AA22" s="76" cm="1">
        <f t="array" ref="AA22">_xll.BDP(B22&amp;" Equity","OPT_STRIKE_PX")</f>
        <v>220</v>
      </c>
      <c r="AB22" s="75">
        <f t="shared" si="6"/>
        <v>0.20343526065313711</v>
      </c>
      <c r="AC22" s="251" cm="1">
        <f t="array" ref="AC22">_xll.BDP($D22&amp;" Equity","volatility_10d")</f>
        <v>55.371272944822415</v>
      </c>
      <c r="AD22" s="76" cm="1">
        <f t="array" ref="AD22">_xll.BDP(B22&amp;" Equity","ivol_mid")</f>
        <v>46.585760000000001</v>
      </c>
      <c r="AE22" s="76">
        <f t="shared" si="7"/>
        <v>0.84133445959284348</v>
      </c>
      <c r="AF22" s="77" cm="1">
        <f t="array" ref="AF22">_xll.BDP(B22&amp;" Equity","DELTA_MID_RT")</f>
        <v>0.11652334034442902</v>
      </c>
      <c r="AG22" s="74">
        <f>AL22/'Master P&amp;L'!$AE$7</f>
        <v>-6.1178596928341416E-4</v>
      </c>
      <c r="AH22" s="74">
        <f>AM22/'Master P&amp;L'!$AE$7</f>
        <v>-5.2503298264111571E-3</v>
      </c>
      <c r="AI22" s="353">
        <f>AO22/'Master P&amp;L'!$AD$7*10000</f>
        <v>2.1238994961411333E-2</v>
      </c>
      <c r="AJ22" s="277">
        <f t="shared" si="8"/>
        <v>-0.27071626700115414</v>
      </c>
      <c r="AK22" s="77">
        <f>AP22/'Master P&amp;L'!$AD$7*10000</f>
        <v>0.18380893216471419</v>
      </c>
      <c r="AL22" s="41">
        <f t="shared" si="9"/>
        <v>-1544368.3090064675</v>
      </c>
      <c r="AM22" s="41">
        <f t="shared" si="10"/>
        <v>-13253725</v>
      </c>
      <c r="AN22" s="77" cm="1">
        <f t="array" ref="AN22">_xll.BDP($B22&amp;" Equity","theta_mid_rt")</f>
        <v>-7.3951557278633118E-2</v>
      </c>
      <c r="AO22" s="41">
        <f t="shared" si="11"/>
        <v>5361.487902700901</v>
      </c>
      <c r="AP22" s="41">
        <f t="shared" si="12"/>
        <v>46399.999999999993</v>
      </c>
      <c r="AQ22" s="73" t="str" cm="1">
        <f t="array" ref="AQ22">_xll.BDP($D22&amp;" Equity","EXPECTED_REPORT_DT")</f>
        <v>25/02/2026</v>
      </c>
      <c r="AR22" s="189" cm="1">
        <f t="array" ref="AR22">_xll.BDP($B22&amp;" Equity","GAMMA_LAST")</f>
        <v>1.3618999999999999E-2</v>
      </c>
      <c r="AS22" s="72">
        <f t="shared" si="13"/>
        <v>-329976.58510477748</v>
      </c>
      <c r="AT22" s="72">
        <f t="shared" si="14"/>
        <v>-1649882.9255238874</v>
      </c>
      <c r="AU22" s="72" t="s">
        <v>95</v>
      </c>
      <c r="AV22" s="250" cm="1">
        <f t="array" ref="AV22">_xll.BDP($D22&amp;" Equity","EST_PE_NXT_YR")*(AA22/Z22)</f>
        <v>28.41910813206465</v>
      </c>
      <c r="AW22" s="72"/>
      <c r="AX22" s="41"/>
      <c r="AY22" s="250">
        <v>1.41</v>
      </c>
      <c r="AZ22" s="281"/>
      <c r="BA22" s="41">
        <f t="shared" si="15"/>
        <v>1.41</v>
      </c>
      <c r="BB22" s="273">
        <f t="shared" si="16"/>
        <v>2.0499999999999998</v>
      </c>
      <c r="BC22" s="273">
        <f t="shared" si="17"/>
        <v>-46399.999999999993</v>
      </c>
      <c r="BD22" s="273">
        <f>BC22/'Master P&amp;L'!$AD$7*10000</f>
        <v>-0.18380893216471419</v>
      </c>
    </row>
    <row r="23" spans="1:56" s="397" customFormat="1" ht="15.75" customHeight="1">
      <c r="A23" s="528" t="s">
        <v>441</v>
      </c>
      <c r="B23" s="397" t="s">
        <v>1096</v>
      </c>
      <c r="C23" s="397" t="str" cm="1">
        <f t="array" ref="C23">_xll.BDP($B23&amp;" Equity","opt_put_call")</f>
        <v>Put</v>
      </c>
      <c r="D23" s="397" t="str" cm="1">
        <f t="array" ref="D23">_xll.BDP(B23&amp;" Equity","OPT_UNDL_TICKER")</f>
        <v>QQQ US</v>
      </c>
      <c r="E23" s="397" t="str" cm="1">
        <f t="array" ref="E23">_xll.BDP($B23&amp;" Equity","mifid_Maturity_date")</f>
        <v>20/02/2026</v>
      </c>
      <c r="F23" s="397" cm="1">
        <f t="array" ref="F23">_xll.BDP($B23&amp;" Equity","opt_days_expire")</f>
        <v>7</v>
      </c>
      <c r="G23" s="397" t="str" cm="1">
        <f t="array" ref="G23">_xll.BDP(B23&amp;" Equity","QUOTED_CURRENCY_REALTIME")</f>
        <v>USD</v>
      </c>
      <c r="H23" s="527">
        <v>900</v>
      </c>
      <c r="I23" s="526">
        <v>7.44</v>
      </c>
      <c r="J23" s="525">
        <f>VLOOKUP(B23,Precificação!$B:$O,14,FALSE)</f>
        <v>7.8949999999999996</v>
      </c>
      <c r="K23" s="525">
        <f t="shared" si="18"/>
        <v>7.8949999999999996</v>
      </c>
      <c r="L23" s="525" cm="1">
        <f t="array" ref="L23">_xll.BDP($B23&amp;" Equity","mid")</f>
        <v>6.77</v>
      </c>
      <c r="M23" s="516">
        <f t="shared" si="0"/>
        <v>1.1247341839447103E-2</v>
      </c>
      <c r="N23" s="524"/>
      <c r="O23" s="516">
        <f t="shared" si="1"/>
        <v>-0.14249525015832809</v>
      </c>
      <c r="P23" s="525" cm="1">
        <f t="array" ref="P23">_xll.BDP($B23&amp;" Equity","bid")</f>
        <v>6.74</v>
      </c>
      <c r="Q23" s="525" cm="1">
        <f t="array" ref="Q23">_xll.BDP($B23&amp;" Equity","ask")</f>
        <v>6.8</v>
      </c>
      <c r="R23" s="523">
        <f t="shared" si="2"/>
        <v>8.9020771513352859E-3</v>
      </c>
      <c r="S23" s="525" cm="1">
        <f t="array" ref="S23">_xll.BDP(G23&amp;" Curncy","PX_LAST")</f>
        <v>1</v>
      </c>
      <c r="T23" s="527" cm="1">
        <f t="array" ref="T23">_xll.BDP(B23&amp;" Equity","OPT_MULTIPLIER")</f>
        <v>100</v>
      </c>
      <c r="U23" s="527">
        <f t="shared" si="3"/>
        <v>609300</v>
      </c>
      <c r="V23" s="522">
        <f>U23/'Master P&amp;L'!$AD$7*10000</f>
        <v>2.4136806544819045</v>
      </c>
      <c r="W23" s="522">
        <f>(Y23*H23*T23/S23)/'Master P&amp;L'!$AD$7*10000</f>
        <v>2.4136806544819045</v>
      </c>
      <c r="X23" s="515">
        <f t="shared" si="4"/>
        <v>0</v>
      </c>
      <c r="Y23" s="521">
        <f t="shared" si="5"/>
        <v>6.77</v>
      </c>
      <c r="Z23" s="520">
        <f>_xll.BDP(D23&amp;" Equity","LAST_PRICE")</f>
        <v>601.91999999999996</v>
      </c>
      <c r="AA23" s="520" cm="1">
        <f t="array" ref="AA23">_xll.BDP(B23&amp;" Equity","OPT_STRIKE_PX")</f>
        <v>600</v>
      </c>
      <c r="AB23" s="523">
        <f t="shared" si="6"/>
        <v>-3.1897926634768536E-3</v>
      </c>
      <c r="AC23" s="519" cm="1">
        <f t="array" ref="AC23">_xll.BDP($D23&amp;" Equity","volatility_10d")</f>
        <v>22.364598559731789</v>
      </c>
      <c r="AD23" s="520" cm="1">
        <f t="array" ref="AD23">_xll.BDP(B23&amp;" Equity","ivol_mid")</f>
        <v>26.117830000000001</v>
      </c>
      <c r="AE23" s="520">
        <f t="shared" si="7"/>
        <v>1.1678202016568289</v>
      </c>
      <c r="AF23" s="290" cm="1">
        <f t="array" ref="AF23">_xll.BDP(B23&amp;" Equity","DELTA_MID_RT")</f>
        <v>-0.44627535343170166</v>
      </c>
      <c r="AG23" s="516">
        <f>AL23/'Master P&amp;L'!$AE$7</f>
        <v>-9.5770734323402072E-3</v>
      </c>
      <c r="AH23" s="516">
        <f>AM23/'Master P&amp;L'!$AE$7</f>
        <v>-2.1460009742182394E-2</v>
      </c>
      <c r="AI23" s="514">
        <f>AO23/'Master P&amp;L'!$AD$7*10000</f>
        <v>-0.25220860905194925</v>
      </c>
      <c r="AJ23" s="524">
        <f t="shared" si="8"/>
        <v>3.2146988721522902</v>
      </c>
      <c r="AK23" s="290">
        <f>AP23/'Master P&amp;L'!$AD$7*10000</f>
        <v>-0.40109168926028693</v>
      </c>
      <c r="AL23" s="527">
        <f t="shared" si="9"/>
        <v>-24175985.466384884</v>
      </c>
      <c r="AM23" s="527">
        <f t="shared" si="10"/>
        <v>-54172800</v>
      </c>
      <c r="AN23" s="290" cm="1">
        <f t="array" ref="AN23">_xll.BDP($B23&amp;" Equity","theta_mid_rt")</f>
        <v>-0.70740604400634766</v>
      </c>
      <c r="AO23" s="527">
        <f t="shared" si="11"/>
        <v>-63666.543960571289</v>
      </c>
      <c r="AP23" s="527">
        <f t="shared" si="12"/>
        <v>-101250</v>
      </c>
      <c r="AQ23" s="525" t="str" cm="1">
        <f t="array" ref="AQ23">_xll.BDP($D23&amp;" Equity","EXPECTED_REPORT_DT")</f>
        <v>#N/A N/A</v>
      </c>
      <c r="AR23" s="286" cm="1">
        <f t="array" ref="AR23">_xll.BDP($B23&amp;" Equity","GAMMA_LAST")</f>
        <v>0.119966</v>
      </c>
      <c r="AS23" s="397">
        <f t="shared" si="13"/>
        <v>39118143.515996151</v>
      </c>
      <c r="AT23" s="397">
        <f t="shared" si="14"/>
        <v>195590717.57998079</v>
      </c>
      <c r="AU23" s="397" t="s">
        <v>95</v>
      </c>
      <c r="AV23" s="518" t="e" cm="1">
        <f t="array" ref="AV23">_xll.BDP($D23&amp;" Equity","EST_PE_NXT_YR")*(AA23/Z23)</f>
        <v>#VALUE!</v>
      </c>
      <c r="AX23" s="527"/>
      <c r="AY23" s="518">
        <v>6.77</v>
      </c>
      <c r="AZ23" s="513"/>
      <c r="BA23" s="527">
        <f t="shared" si="15"/>
        <v>6.77</v>
      </c>
      <c r="BB23" s="517">
        <f t="shared" si="16"/>
        <v>7.8949999999999996</v>
      </c>
      <c r="BC23" s="517">
        <f t="shared" si="17"/>
        <v>101250</v>
      </c>
      <c r="BD23" s="517">
        <f>BC23/'Master P&amp;L'!$AD$7*10000</f>
        <v>0.40109168926028693</v>
      </c>
    </row>
    <row r="24" spans="1:56" s="397" customFormat="1" ht="15.75" customHeight="1">
      <c r="A24" s="528"/>
      <c r="B24" s="397" t="s">
        <v>1068</v>
      </c>
      <c r="C24" s="397" t="str" cm="1">
        <f t="array" ref="C24">_xll.BDP($B24&amp;" Equity","opt_put_call")</f>
        <v>Put</v>
      </c>
      <c r="D24" s="397" t="str" cm="1">
        <f t="array" ref="D24">_xll.BDP(B24&amp;" Equity","OPT_UNDL_TICKER")</f>
        <v>QQQ US</v>
      </c>
      <c r="E24" s="397" t="str" cm="1">
        <f t="array" ref="E24">_xll.BDP($B24&amp;" Equity","mifid_Maturity_date")</f>
        <v>20/02/2026</v>
      </c>
      <c r="F24" s="397" cm="1">
        <f t="array" ref="F24">_xll.BDP($B24&amp;" Equity","opt_days_expire")</f>
        <v>7</v>
      </c>
      <c r="G24" s="397" t="str" cm="1">
        <f t="array" ref="G24">_xll.BDP(B24&amp;" Equity","QUOTED_CURRENCY_REALTIME")</f>
        <v>USD</v>
      </c>
      <c r="H24" s="527">
        <v>-900</v>
      </c>
      <c r="I24" s="526">
        <v>3.93</v>
      </c>
      <c r="J24" s="525">
        <f>VLOOKUP(B24,Precificação!$B:$O,14,FALSE)</f>
        <v>4.8849999999999998</v>
      </c>
      <c r="K24" s="525">
        <f t="shared" si="18"/>
        <v>4.8849999999999998</v>
      </c>
      <c r="L24" s="525" cm="1">
        <f t="array" ref="L24">_xll.BDP($B24&amp;" Equity","mid")</f>
        <v>3.85</v>
      </c>
      <c r="M24" s="516">
        <f t="shared" si="0"/>
        <v>6.3961988304093572E-3</v>
      </c>
      <c r="N24" s="524"/>
      <c r="O24" s="516">
        <f t="shared" si="1"/>
        <v>-0.21187308085977474</v>
      </c>
      <c r="P24" s="525" cm="1">
        <f t="array" ref="P24">_xll.BDP($B24&amp;" Equity","bid")</f>
        <v>3.83</v>
      </c>
      <c r="Q24" s="525" cm="1">
        <f t="array" ref="Q24">_xll.BDP($B24&amp;" Equity","ask")</f>
        <v>3.87</v>
      </c>
      <c r="R24" s="523">
        <f t="shared" si="2"/>
        <v>1.0443864229765065E-2</v>
      </c>
      <c r="S24" s="525" cm="1">
        <f t="array" ref="S24">_xll.BDP(G24&amp;" Curncy","PX_LAST")</f>
        <v>1</v>
      </c>
      <c r="T24" s="527" cm="1">
        <f t="array" ref="T24">_xll.BDP(B24&amp;" Equity","OPT_MULTIPLIER")</f>
        <v>100</v>
      </c>
      <c r="U24" s="527">
        <f t="shared" si="3"/>
        <v>-346500</v>
      </c>
      <c r="V24" s="522">
        <f>U24/'Master P&amp;L'!$AD$7*10000</f>
        <v>-1.3726248921352042</v>
      </c>
      <c r="W24" s="522">
        <f>(Y24*H24*T24/S24)/'Master P&amp;L'!$AD$7*10000</f>
        <v>-1.3726248921352042</v>
      </c>
      <c r="X24" s="515">
        <f t="shared" si="4"/>
        <v>0</v>
      </c>
      <c r="Y24" s="521">
        <f t="shared" si="5"/>
        <v>3.85</v>
      </c>
      <c r="Z24" s="520">
        <f>_xll.BDP(D24&amp;" Equity","LAST_PRICE")</f>
        <v>601.91999999999996</v>
      </c>
      <c r="AA24" s="520" cm="1">
        <f t="array" ref="AA24">_xll.BDP(B24&amp;" Equity","OPT_STRIKE_PX")</f>
        <v>590</v>
      </c>
      <c r="AB24" s="523">
        <f t="shared" si="6"/>
        <v>-1.9803296119085489E-2</v>
      </c>
      <c r="AC24" s="519" cm="1">
        <f t="array" ref="AC24">_xll.BDP($D24&amp;" Equity","volatility_10d")</f>
        <v>22.364598559731789</v>
      </c>
      <c r="AD24" s="520" cm="1">
        <f t="array" ref="AD24">_xll.BDP(B24&amp;" Equity","ivol_mid")</f>
        <v>28.905729999999998</v>
      </c>
      <c r="AE24" s="520">
        <f t="shared" si="7"/>
        <v>1.2924770334150213</v>
      </c>
      <c r="AF24" s="290" cm="1">
        <f t="array" ref="AF24">_xll.BDP(B24&amp;" Equity","DELTA_MID_RT")</f>
        <v>-0.27866187691688538</v>
      </c>
      <c r="AG24" s="516">
        <f>AL24/'Master P&amp;L'!$AE$7</f>
        <v>5.9800865934111899E-3</v>
      </c>
      <c r="AH24" s="516">
        <f>AM24/'Master P&amp;L'!$AE$7</f>
        <v>2.1460009742182394E-2</v>
      </c>
      <c r="AI24" s="514">
        <f>AO24/'Master P&amp;L'!$AD$7*10000</f>
        <v>0.23353379219953607</v>
      </c>
      <c r="AJ24" s="524">
        <f t="shared" si="8"/>
        <v>-2.9766661067412667</v>
      </c>
      <c r="AK24" s="290">
        <f>AP24/'Master P&amp;L'!$AD$7*10000</f>
        <v>0.36900435411946386</v>
      </c>
      <c r="AL24" s="527">
        <f t="shared" si="9"/>
        <v>15095894.125843044</v>
      </c>
      <c r="AM24" s="527">
        <f t="shared" si="10"/>
        <v>54172800</v>
      </c>
      <c r="AN24" s="290" cm="1">
        <f t="array" ref="AN24">_xll.BDP($B24&amp;" Equity","theta_mid_rt")</f>
        <v>-0.65502607822418213</v>
      </c>
      <c r="AO24" s="527">
        <f t="shared" si="11"/>
        <v>58952.347040176392</v>
      </c>
      <c r="AP24" s="527">
        <f t="shared" si="12"/>
        <v>93149.999999999971</v>
      </c>
      <c r="AQ24" s="525" t="str" cm="1">
        <f t="array" ref="AQ24">_xll.BDP($D24&amp;" Equity","EXPECTED_REPORT_DT")</f>
        <v>#N/A N/A</v>
      </c>
      <c r="AR24" s="286" cm="1">
        <f t="array" ref="AR24">_xll.BDP($B24&amp;" Equity","GAMMA_LAST")</f>
        <v>9.2034000000000005E-2</v>
      </c>
      <c r="AS24" s="397">
        <f t="shared" si="13"/>
        <v>-30010163.049123839</v>
      </c>
      <c r="AT24" s="397">
        <f t="shared" si="14"/>
        <v>-150050815.24561921</v>
      </c>
      <c r="AU24" s="397" t="s">
        <v>95</v>
      </c>
      <c r="AV24" s="518" t="e" cm="1">
        <f t="array" ref="AV24">_xll.BDP($D24&amp;" Equity","EST_PE_NXT_YR")*(AA24/Z24)</f>
        <v>#VALUE!</v>
      </c>
      <c r="AX24" s="527"/>
      <c r="AY24" s="518">
        <v>3.85</v>
      </c>
      <c r="AZ24" s="513"/>
      <c r="BA24" s="527">
        <f t="shared" si="15"/>
        <v>3.85</v>
      </c>
      <c r="BB24" s="517">
        <f t="shared" si="16"/>
        <v>4.8849999999999998</v>
      </c>
      <c r="BC24" s="517">
        <f t="shared" si="17"/>
        <v>-93149.999999999971</v>
      </c>
      <c r="BD24" s="517">
        <f>BC24/'Master P&amp;L'!$AD$7*10000</f>
        <v>-0.36900435411946386</v>
      </c>
    </row>
    <row r="25" spans="1:56" s="397" customFormat="1" ht="15.75" customHeight="1">
      <c r="A25" s="528" t="s">
        <v>441</v>
      </c>
      <c r="B25" s="397" t="s">
        <v>1095</v>
      </c>
      <c r="C25" s="397" t="str" cm="1">
        <f t="array" ref="C25">_xll.BDP($B25&amp;" Equity","opt_put_call")</f>
        <v>Put</v>
      </c>
      <c r="D25" s="397" t="str" cm="1">
        <f t="array" ref="D25">_xll.BDP(B25&amp;" Equity","OPT_UNDL_TICKER")</f>
        <v>QQQ US</v>
      </c>
      <c r="E25" s="397" t="str" cm="1">
        <f t="array" ref="E25">_xll.BDP($B25&amp;" Equity","mifid_Maturity_date")</f>
        <v>27/02/2026</v>
      </c>
      <c r="F25" s="397" cm="1">
        <f t="array" ref="F25">_xll.BDP($B25&amp;" Equity","opt_days_expire")</f>
        <v>14</v>
      </c>
      <c r="G25" s="397" t="s">
        <v>137</v>
      </c>
      <c r="H25" s="527">
        <v>200</v>
      </c>
      <c r="I25" s="526">
        <v>6.92</v>
      </c>
      <c r="J25" s="525">
        <f>VLOOKUP(B25,Precificação!$B:$O,14,FALSE)</f>
        <v>8.1449999999999996</v>
      </c>
      <c r="K25" s="525">
        <f t="shared" si="18"/>
        <v>8.1449999999999996</v>
      </c>
      <c r="L25" s="525" cm="1">
        <f t="array" ref="L25">_xll.BDP($B25&amp;" Equity","mid")</f>
        <v>7.45</v>
      </c>
      <c r="M25" s="516">
        <f t="shared" si="0"/>
        <v>1.2377060074428497E-2</v>
      </c>
      <c r="N25" s="524"/>
      <c r="O25" s="516">
        <f t="shared" si="1"/>
        <v>-8.5328422344996824E-2</v>
      </c>
      <c r="P25" s="525" cm="1">
        <f t="array" ref="P25">_xll.BDP($B25&amp;" Equity","bid")</f>
        <v>7.41</v>
      </c>
      <c r="Q25" s="525" cm="1">
        <f t="array" ref="Q25">_xll.BDP($B25&amp;" Equity","ask")</f>
        <v>7.48</v>
      </c>
      <c r="R25" s="523">
        <f t="shared" si="2"/>
        <v>9.4466936572199511E-3</v>
      </c>
      <c r="S25" s="525" cm="1">
        <f t="array" ref="S25">_xll.BDP(G25&amp;" Curncy","PX_LAST")</f>
        <v>1</v>
      </c>
      <c r="T25" s="527" cm="1">
        <f t="array" ref="T25">_xll.BDP(B25&amp;" Equity","OPT_MULTIPLIER")</f>
        <v>100</v>
      </c>
      <c r="U25" s="527">
        <f t="shared" si="3"/>
        <v>149000</v>
      </c>
      <c r="V25" s="522">
        <f>U25/'Master P&amp;L'!$AD$7*10000</f>
        <v>0.59024851061513839</v>
      </c>
      <c r="W25" s="522">
        <f>(Y25*H25*T25/S25)/'Master P&amp;L'!$AD$7*10000</f>
        <v>0.59024851061513839</v>
      </c>
      <c r="X25" s="515">
        <f t="shared" si="4"/>
        <v>0</v>
      </c>
      <c r="Y25" s="521">
        <f t="shared" si="5"/>
        <v>7.45</v>
      </c>
      <c r="Z25" s="520">
        <f>_xll.BDP(D25&amp;" Equity","LAST_PRICE")</f>
        <v>601.91999999999996</v>
      </c>
      <c r="AA25" s="520" cm="1">
        <f t="array" ref="AA25">_xll.BDP(B25&amp;" Equity","OPT_STRIKE_PX")</f>
        <v>590</v>
      </c>
      <c r="AB25" s="523">
        <f t="shared" si="6"/>
        <v>-1.9803296119085489E-2</v>
      </c>
      <c r="AC25" s="519" cm="1">
        <f t="array" ref="AC25">_xll.BDP($D25&amp;" Equity","volatility_10d")</f>
        <v>22.364598559731789</v>
      </c>
      <c r="AD25" s="520" cm="1">
        <f t="array" ref="AD25">_xll.BDP(B25&amp;" Equity","ivol_mid")</f>
        <v>28.56578</v>
      </c>
      <c r="AE25" s="520">
        <f t="shared" si="7"/>
        <v>1.2772766711508807</v>
      </c>
      <c r="AF25" s="290" cm="1">
        <f t="array" ref="AF25">_xll.BDP(B25&amp;" Equity","DELTA_MID_RT")</f>
        <v>-0.33727678656578064</v>
      </c>
      <c r="AG25" s="516">
        <f>AL25/'Master P&amp;L'!$AE$7</f>
        <v>-1.6084362501141388E-3</v>
      </c>
      <c r="AH25" s="516">
        <f>AM25/'Master P&amp;L'!$AE$7</f>
        <v>-4.7688910538183091E-3</v>
      </c>
      <c r="AI25" s="514">
        <f>AO25/'Master P&amp;L'!$AD$7*10000</f>
        <v>-3.6807625285614612E-2</v>
      </c>
      <c r="AJ25" s="524">
        <f t="shared" si="8"/>
        <v>0.46915698848288356</v>
      </c>
      <c r="AK25" s="290">
        <f>AP25/'Master P&amp;L'!$AD$7*10000</f>
        <v>-5.5063451661412188E-2</v>
      </c>
      <c r="AL25" s="527">
        <f t="shared" si="9"/>
        <v>-4060272.8673934937</v>
      </c>
      <c r="AM25" s="527">
        <f t="shared" si="10"/>
        <v>-12038399.999999998</v>
      </c>
      <c r="AN25" s="290" cm="1">
        <f t="array" ref="AN25">_xll.BDP($B25&amp;" Equity","theta_mid_rt")</f>
        <v>-0.46457856893539429</v>
      </c>
      <c r="AO25" s="527">
        <f t="shared" si="11"/>
        <v>-9291.5713787078857</v>
      </c>
      <c r="AP25" s="527">
        <f t="shared" si="12"/>
        <v>-13899.999999999989</v>
      </c>
      <c r="AQ25" s="525" t="str" cm="1">
        <f t="array" ref="AQ25">_xll.BDP($D25&amp;" Equity","EXPECTED_REPORT_DT")</f>
        <v>#N/A N/A</v>
      </c>
      <c r="AR25" s="286" cm="1">
        <f t="array" ref="AR25">_xll.BDP($B25&amp;" Equity","GAMMA_LAST")</f>
        <v>6.7053000000000001E-2</v>
      </c>
      <c r="AS25" s="397">
        <f t="shared" si="13"/>
        <v>4858763.4592358395</v>
      </c>
      <c r="AT25" s="397">
        <f t="shared" si="14"/>
        <v>24293817.296179194</v>
      </c>
      <c r="AU25" s="397" t="s">
        <v>95</v>
      </c>
      <c r="AV25" s="518" t="e" cm="1">
        <f t="array" ref="AV25">_xll.BDP($D25&amp;" Equity","EST_PE_NXT_YR")*(AA25/Z25)</f>
        <v>#VALUE!</v>
      </c>
      <c r="AX25" s="527"/>
      <c r="AY25" s="518">
        <v>7.45</v>
      </c>
      <c r="AZ25" s="513"/>
      <c r="BA25" s="527">
        <f t="shared" si="15"/>
        <v>7.45</v>
      </c>
      <c r="BB25" s="517">
        <f t="shared" si="16"/>
        <v>8.1449999999999996</v>
      </c>
      <c r="BC25" s="517">
        <f t="shared" si="17"/>
        <v>13899.999999999989</v>
      </c>
      <c r="BD25" s="517">
        <f>BC25/'Master P&amp;L'!$AD$7*10000</f>
        <v>5.5063451661412188E-2</v>
      </c>
    </row>
    <row r="26" spans="1:56" s="397" customFormat="1" ht="15.75" customHeight="1">
      <c r="A26" s="528" t="s">
        <v>441</v>
      </c>
      <c r="B26" s="397" t="s">
        <v>1097</v>
      </c>
      <c r="C26" s="397" t="str" cm="1">
        <f t="array" ref="C26">_xll.BDP($B26&amp;" Equity","opt_put_call")</f>
        <v>Put</v>
      </c>
      <c r="D26" s="397" t="str" cm="1">
        <f t="array" ref="D26">_xll.BDP(B26&amp;" Equity","OPT_UNDL_TICKER")</f>
        <v>QQQ US</v>
      </c>
      <c r="E26" s="397" t="str" cm="1">
        <f t="array" ref="E26">_xll.BDP($B26&amp;" Equity","mifid_Maturity_date")</f>
        <v>27/02/2026</v>
      </c>
      <c r="F26" s="397" cm="1">
        <f t="array" ref="F26">_xll.BDP($B26&amp;" Equity","opt_days_expire")</f>
        <v>14</v>
      </c>
      <c r="G26" s="397" t="s">
        <v>137</v>
      </c>
      <c r="H26" s="527">
        <v>-200</v>
      </c>
      <c r="I26" s="526">
        <v>4.8600000000000003</v>
      </c>
      <c r="J26" s="525">
        <f>VLOOKUP(B26,Precificação!$B:$O,14,FALSE)</f>
        <v>5.7949999999999999</v>
      </c>
      <c r="K26" s="525">
        <f t="shared" si="18"/>
        <v>5.7949999999999999</v>
      </c>
      <c r="L26" s="525" cm="1">
        <f t="array" ref="L26">_xll.BDP($B26&amp;" Equity","mid")</f>
        <v>5.14</v>
      </c>
      <c r="M26" s="516">
        <f t="shared" si="0"/>
        <v>8.5393407761828813E-3</v>
      </c>
      <c r="N26" s="524"/>
      <c r="O26" s="516">
        <f t="shared" si="1"/>
        <v>-0.11302847282139783</v>
      </c>
      <c r="P26" s="525" cm="1">
        <f t="array" ref="P26">_xll.BDP($B26&amp;" Equity","bid")</f>
        <v>5.1100000000000003</v>
      </c>
      <c r="Q26" s="525" cm="1">
        <f t="array" ref="Q26">_xll.BDP($B26&amp;" Equity","ask")</f>
        <v>5.17</v>
      </c>
      <c r="R26" s="523">
        <f t="shared" si="2"/>
        <v>1.1741682974559575E-2</v>
      </c>
      <c r="S26" s="525" cm="1">
        <f t="array" ref="S26">_xll.BDP(G26&amp;" Curncy","PX_LAST")</f>
        <v>1</v>
      </c>
      <c r="T26" s="527" cm="1">
        <f t="array" ref="T26">_xll.BDP(B26&amp;" Equity","OPT_MULTIPLIER")</f>
        <v>100</v>
      </c>
      <c r="U26" s="527">
        <f t="shared" si="3"/>
        <v>-102800</v>
      </c>
      <c r="V26" s="522">
        <f>U26/'Master P&amp;L'!$AD$7*10000</f>
        <v>-0.40723185833044445</v>
      </c>
      <c r="W26" s="522">
        <f>(Y26*H26*T26/S26)/'Master P&amp;L'!$AD$7*10000</f>
        <v>-0.40723185833044445</v>
      </c>
      <c r="X26" s="515">
        <f t="shared" si="4"/>
        <v>0</v>
      </c>
      <c r="Y26" s="521">
        <f t="shared" si="5"/>
        <v>5.14</v>
      </c>
      <c r="Z26" s="520">
        <f>_xll.BDP(D26&amp;" Equity","LAST_PRICE")</f>
        <v>601.91999999999996</v>
      </c>
      <c r="AA26" s="520" cm="1">
        <f t="array" ref="AA26">_xll.BDP(B26&amp;" Equity","OPT_STRIKE_PX")</f>
        <v>580</v>
      </c>
      <c r="AB26" s="523">
        <f t="shared" si="6"/>
        <v>-3.6416799574694236E-2</v>
      </c>
      <c r="AC26" s="519" cm="1">
        <f t="array" ref="AC26">_xll.BDP($D26&amp;" Equity","volatility_10d")</f>
        <v>22.364598559731789</v>
      </c>
      <c r="AD26" s="520" cm="1">
        <f t="array" ref="AD26">_xll.BDP(B26&amp;" Equity","ivol_mid")</f>
        <v>30.529710000000001</v>
      </c>
      <c r="AE26" s="520">
        <f t="shared" si="7"/>
        <v>1.3650909010712031</v>
      </c>
      <c r="AF26" s="290" cm="1">
        <f t="array" ref="AF26">_xll.BDP(B26&amp;" Equity","DELTA_MID_RT")</f>
        <v>-0.24310283362865448</v>
      </c>
      <c r="AG26" s="516">
        <f>AL26/'Master P&amp;L'!$AE$7</f>
        <v>1.1593309284495712E-3</v>
      </c>
      <c r="AH26" s="516">
        <f>AM26/'Master P&amp;L'!$AE$7</f>
        <v>4.7688910538183091E-3</v>
      </c>
      <c r="AI26" s="514">
        <f>AO26/'Master P&amp;L'!$AD$7*10000</f>
        <v>3.3422203628723106E-2</v>
      </c>
      <c r="AJ26" s="524">
        <f t="shared" si="8"/>
        <v>-0.42600576052489025</v>
      </c>
      <c r="AK26" s="290">
        <f>AP26/'Master P&amp;L'!$AD$7*10000</f>
        <v>5.1894332141330976E-2</v>
      </c>
      <c r="AL26" s="527">
        <f t="shared" si="9"/>
        <v>2926569.1523551936</v>
      </c>
      <c r="AM26" s="527">
        <f t="shared" si="10"/>
        <v>12038399.999999998</v>
      </c>
      <c r="AN26" s="290" cm="1">
        <f t="array" ref="AN26">_xll.BDP($B26&amp;" Equity","theta_mid_rt")</f>
        <v>-0.42184844613075256</v>
      </c>
      <c r="AO26" s="527">
        <f t="shared" si="11"/>
        <v>8436.9689226150513</v>
      </c>
      <c r="AP26" s="527">
        <f t="shared" si="12"/>
        <v>13100.000000000005</v>
      </c>
      <c r="AQ26" s="525" t="str" cm="1">
        <f t="array" ref="AQ26">_xll.BDP($D26&amp;" Equity","EXPECTED_REPORT_DT")</f>
        <v>#N/A N/A</v>
      </c>
      <c r="AR26" s="286" cm="1">
        <f t="array" ref="AR26">_xll.BDP($B26&amp;" Equity","GAMMA_LAST")</f>
        <v>5.4198999999999997E-2</v>
      </c>
      <c r="AS26" s="397">
        <f t="shared" si="13"/>
        <v>-3927342.8590387199</v>
      </c>
      <c r="AT26" s="397">
        <f t="shared" si="14"/>
        <v>-19636714.295193598</v>
      </c>
      <c r="AU26" s="397" t="s">
        <v>95</v>
      </c>
      <c r="AV26" s="518" t="e" cm="1">
        <f t="array" ref="AV26">_xll.BDP($D26&amp;" Equity","EST_PE_NXT_YR")*(AA26/Z26)</f>
        <v>#VALUE!</v>
      </c>
      <c r="AX26" s="527"/>
      <c r="AY26" s="518">
        <v>5.14</v>
      </c>
      <c r="AZ26" s="513"/>
      <c r="BA26" s="527">
        <f t="shared" si="15"/>
        <v>5.14</v>
      </c>
      <c r="BB26" s="517">
        <f t="shared" si="16"/>
        <v>5.7949999999999999</v>
      </c>
      <c r="BC26" s="517">
        <f t="shared" si="17"/>
        <v>-13100.000000000005</v>
      </c>
      <c r="BD26" s="517">
        <f>BC26/'Master P&amp;L'!$AD$7*10000</f>
        <v>-5.1894332141330976E-2</v>
      </c>
    </row>
    <row r="27" spans="1:56" ht="15.75" customHeight="1">
      <c r="A27" s="263"/>
      <c r="B27" s="72" t="s">
        <v>820</v>
      </c>
      <c r="C27" s="72" t="str" cm="1">
        <f t="array" ref="C27">_xll.BDP($B27&amp;" Equity","opt_put_call")</f>
        <v>Call</v>
      </c>
      <c r="D27" s="72" t="str" cm="1">
        <f t="array" ref="D27">_xll.BDP(B27&amp;" Equity","OPT_UNDL_TICKER")</f>
        <v>TSM US</v>
      </c>
      <c r="E27" s="72" t="str" cm="1">
        <f t="array" ref="E27">_xll.BDP($B27&amp;" Equity","mifid_Maturity_date")</f>
        <v>18/06/2026</v>
      </c>
      <c r="F27" s="72" cm="1">
        <f t="array" ref="F27">_xll.BDP($B27&amp;" Equity","opt_days_expire")</f>
        <v>125</v>
      </c>
      <c r="G27" s="72" t="s">
        <v>137</v>
      </c>
      <c r="H27" s="41">
        <v>1550</v>
      </c>
      <c r="I27" s="335">
        <v>34.200000000000003</v>
      </c>
      <c r="J27" s="14">
        <f>VLOOKUP(B27,Precificação!$B:$O,14,FALSE)</f>
        <v>56.125</v>
      </c>
      <c r="K27" s="73">
        <f t="shared" si="18"/>
        <v>56.125</v>
      </c>
      <c r="L27" s="73" cm="1">
        <f t="array" ref="L27">_xll.BDP($B27&amp;" Equity","mid")</f>
        <v>53.98</v>
      </c>
      <c r="M27" s="74">
        <f t="shared" si="0"/>
        <v>0.14734141281799321</v>
      </c>
      <c r="N27" s="279"/>
      <c r="O27" s="74">
        <f t="shared" si="1"/>
        <v>-3.8218262806236081E-2</v>
      </c>
      <c r="P27" s="73" cm="1">
        <f t="array" ref="P27">_xll.BDP($B27&amp;" Equity","bid")</f>
        <v>53.05</v>
      </c>
      <c r="Q27" s="73" cm="1">
        <f t="array" ref="Q27">_xll.BDP($B27&amp;" Equity","ask")</f>
        <v>54.9</v>
      </c>
      <c r="R27" s="75">
        <f t="shared" si="2"/>
        <v>3.4872761545711617E-2</v>
      </c>
      <c r="S27" s="35" cm="1">
        <f t="array" ref="S27">_xll.BDP(G27&amp;" Curncy","PX_LAST")</f>
        <v>1</v>
      </c>
      <c r="T27" s="41" cm="1">
        <f t="array" ref="T27">_xll.BDP(B27&amp;" Equity","OPT_MULTIPLIER")</f>
        <v>100</v>
      </c>
      <c r="U27" s="41">
        <f t="shared" si="3"/>
        <v>8366900</v>
      </c>
      <c r="V27" s="111">
        <f>U27/'Master P&amp;L'!$AD$7*10000</f>
        <v>33.144632640710071</v>
      </c>
      <c r="W27" s="111">
        <f>(Y27*H27*T27/S27)/'Master P&amp;L'!$AD$7*10000</f>
        <v>16.959146971774949</v>
      </c>
      <c r="X27" s="116">
        <f t="shared" si="4"/>
        <v>26.360000000000014</v>
      </c>
      <c r="Y27" s="201">
        <f t="shared" si="5"/>
        <v>27.619999999999983</v>
      </c>
      <c r="Z27" s="76">
        <f>_xll.BDP(D27&amp;" Equity","LAST_PRICE")</f>
        <v>366.36</v>
      </c>
      <c r="AA27" s="76" cm="1">
        <f t="array" ref="AA27">_xll.BDP(B27&amp;" Equity","OPT_STRIKE_PX")</f>
        <v>340</v>
      </c>
      <c r="AB27" s="75">
        <f t="shared" si="6"/>
        <v>-7.1951086363140071E-2</v>
      </c>
      <c r="AC27" s="251" cm="1">
        <f t="array" ref="AC27">_xll.BDP($D27&amp;" Equity","volatility_10d")</f>
        <v>43.289555580887807</v>
      </c>
      <c r="AD27" s="76" cm="1">
        <f t="array" ref="AD27">_xll.BDP(B27&amp;" Equity","ivol_mid")</f>
        <v>45.36065</v>
      </c>
      <c r="AE27" s="76">
        <f t="shared" si="7"/>
        <v>1.0478428200826015</v>
      </c>
      <c r="AF27" s="77" cm="1">
        <f t="array" ref="AF27">_xll.BDP(B27&amp;" Equity","DELTA_MID_RT")</f>
        <v>0.67608213424682617</v>
      </c>
      <c r="AG27" s="74">
        <f>AL27/'Master P&amp;L'!$AE$7</f>
        <v>1.5208551042088131E-2</v>
      </c>
      <c r="AH27" s="74">
        <f>AM27/'Master P&amp;L'!$AE$7</f>
        <v>2.2495123405428943E-2</v>
      </c>
      <c r="AI27" s="353">
        <f>AO27/'Master P&amp;L'!$AD$7*10000</f>
        <v>-9.1324296020312445E-2</v>
      </c>
      <c r="AJ27" s="277">
        <f t="shared" si="8"/>
        <v>1.1640368364908966</v>
      </c>
      <c r="AK27" s="77">
        <f>AP27/'Master P&amp;L'!$AD$7*10000</f>
        <v>-1.3170662655487813</v>
      </c>
      <c r="AL27" s="41">
        <f t="shared" si="9"/>
        <v>38391864.858913422</v>
      </c>
      <c r="AM27" s="41">
        <f t="shared" si="10"/>
        <v>56785800</v>
      </c>
      <c r="AN27" s="77" cm="1">
        <f t="array" ref="AN27">_xll.BDP($B27&amp;" Equity","theta_mid_rt")</f>
        <v>-0.14873254299163818</v>
      </c>
      <c r="AO27" s="41">
        <f t="shared" si="11"/>
        <v>-23053.544163703918</v>
      </c>
      <c r="AP27" s="41">
        <f t="shared" si="12"/>
        <v>-332475.00000000047</v>
      </c>
      <c r="AQ27" s="73" t="str" cm="1">
        <f t="array" ref="AQ27">_xll.BDP($D27&amp;" Equity","EXPECTED_REPORT_DT")</f>
        <v>17/04/2026</v>
      </c>
      <c r="AR27" s="189" cm="1">
        <f t="array" ref="AR27">_xll.BDP($B27&amp;" Equity","GAMMA_LAST")</f>
        <v>1.3598000000000001E-2</v>
      </c>
      <c r="AS27" s="72">
        <f t="shared" si="13"/>
        <v>2828934.1326542408</v>
      </c>
      <c r="AT27" s="72">
        <f t="shared" si="14"/>
        <v>14144670.663271202</v>
      </c>
      <c r="AU27" s="72" t="s">
        <v>95</v>
      </c>
      <c r="AV27" s="250" cm="1">
        <f t="array" ref="AV27">_xll.BDP($D27&amp;" Equity","EST_PE_NXT_YR")*(AA27/Z27)</f>
        <v>17.722074247854721</v>
      </c>
      <c r="AW27" s="72"/>
      <c r="AX27" s="41"/>
      <c r="AY27" s="250">
        <v>53.98</v>
      </c>
      <c r="AZ27" s="281"/>
      <c r="BA27" s="41">
        <f t="shared" si="15"/>
        <v>53.98</v>
      </c>
      <c r="BB27" s="273">
        <f t="shared" si="16"/>
        <v>56.125</v>
      </c>
      <c r="BC27" s="273">
        <f t="shared" si="17"/>
        <v>332475.00000000052</v>
      </c>
      <c r="BD27" s="273">
        <f>BC27/'Master P&amp;L'!$AD$7*10000</f>
        <v>1.3170662655487815</v>
      </c>
    </row>
    <row r="28" spans="1:56" ht="15.75" customHeight="1">
      <c r="A28" s="283"/>
      <c r="B28" t="s">
        <v>821</v>
      </c>
      <c r="C28" t="str" cm="1">
        <f t="array" ref="C28">_xll.BDP($B28&amp;" Equity","opt_put_call")</f>
        <v>Call</v>
      </c>
      <c r="D28" t="str" cm="1">
        <f t="array" ref="D28">_xll.BDP(B28&amp;" Equity","OPT_UNDL_TICKER")</f>
        <v>TSM US</v>
      </c>
      <c r="E28" t="str" cm="1">
        <f t="array" ref="E28">_xll.BDP($B28&amp;" Equity","mifid_Maturity_date")</f>
        <v>18/06/2026</v>
      </c>
      <c r="F28" cm="1">
        <f t="array" ref="F28">_xll.BDP($B28&amp;" Equity","opt_days_expire")</f>
        <v>125</v>
      </c>
      <c r="G28" t="str" cm="1">
        <f t="array" ref="G28">_xll.BDP(B28&amp;" Equity","QUOTED_CURRENCY_REALTIME")</f>
        <v>USD</v>
      </c>
      <c r="H28" s="15">
        <v>-1275</v>
      </c>
      <c r="I28" s="336">
        <v>19.54</v>
      </c>
      <c r="J28" s="14">
        <f>VLOOKUP(B28,Precificação!$B:$O,14,FALSE)</f>
        <v>35.799999999999997</v>
      </c>
      <c r="K28" s="73">
        <f t="shared" si="18"/>
        <v>35.799999999999997</v>
      </c>
      <c r="L28" s="35" cm="1">
        <f t="array" ref="L28">_xll.BDP($B28&amp;" Equity","mid")</f>
        <v>33.549999999999997</v>
      </c>
      <c r="M28" s="18">
        <f t="shared" si="0"/>
        <v>9.1576591330931309E-2</v>
      </c>
      <c r="N28" s="277"/>
      <c r="O28" s="18">
        <f t="shared" si="1"/>
        <v>-6.2849162011173187E-2</v>
      </c>
      <c r="P28" s="35" cm="1">
        <f t="array" ref="P28">_xll.BDP($B28&amp;" Equity","bid")</f>
        <v>33.200000000000003</v>
      </c>
      <c r="Q28" s="35" cm="1">
        <f t="array" ref="Q28">_xll.BDP($B28&amp;" Equity","ask")</f>
        <v>33.9</v>
      </c>
      <c r="R28" s="39">
        <f t="shared" si="2"/>
        <v>2.1084337349397408E-2</v>
      </c>
      <c r="S28" s="35" cm="1">
        <f t="array" ref="S28">_xll.BDP(G28&amp;" Curncy","PX_LAST")</f>
        <v>1</v>
      </c>
      <c r="T28" s="15" cm="1">
        <f t="array" ref="T28">_xll.BDP(B28&amp;" Equity","OPT_MULTIPLIER")</f>
        <v>100</v>
      </c>
      <c r="U28" s="15">
        <f t="shared" si="3"/>
        <v>-4277625</v>
      </c>
      <c r="V28" s="122">
        <f>U28/'Master P&amp;L'!$AD$7*10000</f>
        <v>-16.945381108859607</v>
      </c>
      <c r="W28" s="122">
        <f>(Y28*H28*T28/S28)/'Master P&amp;L'!$AD$7*10000</f>
        <v>-16.945381108859607</v>
      </c>
      <c r="X28" s="339">
        <f t="shared" si="4"/>
        <v>0</v>
      </c>
      <c r="Y28" s="202">
        <f t="shared" si="5"/>
        <v>33.549999999999997</v>
      </c>
      <c r="Z28" s="36">
        <f>_xll.BDP(D28&amp;" Equity","LAST_PRICE")</f>
        <v>366.36</v>
      </c>
      <c r="AA28" s="36" cm="1">
        <f t="array" ref="AA28">_xll.BDP(B28&amp;" Equity","OPT_STRIKE_PX")</f>
        <v>380</v>
      </c>
      <c r="AB28" s="39">
        <f t="shared" si="6"/>
        <v>3.723113877060813E-2</v>
      </c>
      <c r="AC28" s="252" cm="1">
        <f t="array" ref="AC28">_xll.BDP($D28&amp;" Equity","volatility_10d")</f>
        <v>43.289555580887807</v>
      </c>
      <c r="AD28" s="36" cm="1">
        <f t="array" ref="AD28">_xll.BDP(B28&amp;" Equity","ivol_mid")</f>
        <v>44.199199999999998</v>
      </c>
      <c r="AE28" s="36">
        <f t="shared" si="7"/>
        <v>1.0210130228159191</v>
      </c>
      <c r="AF28" s="37" cm="1">
        <f t="array" ref="AF28">_xll.BDP(B28&amp;" Equity","DELTA_MID_RT")</f>
        <v>0.51349765062332153</v>
      </c>
      <c r="AG28" s="18">
        <f>AL28/'Master P&amp;L'!$AE$7</f>
        <v>-9.5017878060910024E-3</v>
      </c>
      <c r="AH28" s="18">
        <f>AM28/'Master P&amp;L'!$AE$7</f>
        <v>-1.8504053123820582E-2</v>
      </c>
      <c r="AI28" s="352">
        <f>AO28/'Master P&amp;L'!$AD$7*10000</f>
        <v>7.9763875214747162E-2</v>
      </c>
      <c r="AJ28" s="277">
        <f t="shared" si="8"/>
        <v>-1.0166855154358656</v>
      </c>
      <c r="AK28" s="37">
        <f>AP28/'Master P&amp;L'!$AD$7*10000</f>
        <v>1.1364264529041463</v>
      </c>
      <c r="AL28" s="15">
        <f t="shared" si="9"/>
        <v>-23985937.40850091</v>
      </c>
      <c r="AM28" s="15">
        <f t="shared" si="10"/>
        <v>-46710900</v>
      </c>
      <c r="AN28" s="37" cm="1">
        <f t="array" ref="AN28">_xll.BDP($B28&amp;" Equity","theta_mid_rt")</f>
        <v>-0.15792374312877655</v>
      </c>
      <c r="AO28" s="15">
        <f t="shared" si="11"/>
        <v>20135.27724891901</v>
      </c>
      <c r="AP28" s="15">
        <f t="shared" si="12"/>
        <v>286875</v>
      </c>
      <c r="AQ28" s="35" t="str" cm="1">
        <f t="array" ref="AQ28">_xll.BDP($D28&amp;" Equity","EXPECTED_REPORT_DT")</f>
        <v>17/04/2026</v>
      </c>
      <c r="AR28" s="65" cm="1">
        <f t="array" ref="AR28">_xll.BDP($B28&amp;" Equity","GAMMA_LAST")</f>
        <v>1.5419E-2</v>
      </c>
      <c r="AS28">
        <f t="shared" si="13"/>
        <v>-2638654.2909075604</v>
      </c>
      <c r="AT28">
        <f t="shared" si="14"/>
        <v>-13193271.454537803</v>
      </c>
      <c r="AU28" t="s">
        <v>95</v>
      </c>
      <c r="AV28" s="206" cm="1">
        <f t="array" ref="AV28">_xll.BDP($D28&amp;" Equity","EST_PE_NXT_YR")*(AA28/Z28)</f>
        <v>19.807024159367042</v>
      </c>
      <c r="AX28" s="15"/>
      <c r="AY28" s="206">
        <v>33.549999999999997</v>
      </c>
      <c r="AZ28" s="282"/>
      <c r="BA28" s="15">
        <f t="shared" si="15"/>
        <v>33.549999999999997</v>
      </c>
      <c r="BB28" s="340">
        <f t="shared" si="16"/>
        <v>35.799999999999997</v>
      </c>
      <c r="BC28" s="340">
        <f t="shared" si="17"/>
        <v>-286875</v>
      </c>
      <c r="BD28" s="340">
        <f>BC28/'Master P&amp;L'!$AD$7*10000</f>
        <v>-1.1364264529041463</v>
      </c>
    </row>
    <row r="29" spans="1:56">
      <c r="H29" s="264"/>
      <c r="I29" s="174"/>
      <c r="J29" s="174"/>
      <c r="K29" s="174"/>
      <c r="L29" s="174"/>
    </row>
    <row r="30" spans="1:56">
      <c r="I30" s="174"/>
      <c r="J30" s="174"/>
      <c r="K30" s="174"/>
      <c r="L30" s="174"/>
      <c r="AY30">
        <v>3.0199999999999996</v>
      </c>
    </row>
    <row r="31" spans="1:56">
      <c r="I31" s="174"/>
      <c r="J31" s="174"/>
      <c r="K31" s="174"/>
      <c r="L31" s="174"/>
      <c r="AY31">
        <v>4.1000000000000005</v>
      </c>
    </row>
    <row r="33" spans="8:10">
      <c r="H33" s="527">
        <v>-300</v>
      </c>
      <c r="I33" s="526">
        <v>2.57</v>
      </c>
      <c r="J33" s="333">
        <f>H33*I33</f>
        <v>-771</v>
      </c>
    </row>
    <row r="34" spans="8:10">
      <c r="H34" s="41"/>
      <c r="I34" s="335"/>
      <c r="J34" s="333">
        <f t="shared" ref="J34:J40" si="19">H34*I34</f>
        <v>0</v>
      </c>
    </row>
    <row r="35" spans="8:10">
      <c r="H35" s="41"/>
      <c r="I35" s="335"/>
      <c r="J35" s="333">
        <f t="shared" si="19"/>
        <v>0</v>
      </c>
    </row>
    <row r="36" spans="8:10">
      <c r="H36" s="330"/>
      <c r="I36" s="331"/>
      <c r="J36" s="333">
        <f t="shared" si="19"/>
        <v>0</v>
      </c>
    </row>
    <row r="37" spans="8:10">
      <c r="H37" s="527">
        <v>-600</v>
      </c>
      <c r="I37" s="526">
        <v>4.6100000000000003</v>
      </c>
      <c r="J37" s="333">
        <f t="shared" si="19"/>
        <v>-2766</v>
      </c>
    </row>
    <row r="38" spans="8:10">
      <c r="H38" s="330"/>
      <c r="I38" s="337"/>
      <c r="J38" s="333">
        <f t="shared" si="19"/>
        <v>0</v>
      </c>
    </row>
    <row r="39" spans="8:10">
      <c r="H39" s="330"/>
      <c r="I39" s="337"/>
      <c r="J39" s="333">
        <f t="shared" si="19"/>
        <v>0</v>
      </c>
    </row>
    <row r="40" spans="8:10">
      <c r="H40" s="275"/>
      <c r="I40" s="332"/>
      <c r="J40" s="333">
        <f t="shared" si="19"/>
        <v>0</v>
      </c>
    </row>
    <row r="42" spans="8:10">
      <c r="H42" s="275">
        <f>H33+H37</f>
        <v>-900</v>
      </c>
      <c r="I42" s="332">
        <f>J42/H42</f>
        <v>3.93</v>
      </c>
      <c r="J42" s="334">
        <f>J33+J37</f>
        <v>-3537</v>
      </c>
    </row>
    <row r="43" spans="8:10">
      <c r="H43" s="275">
        <f>H34+H38</f>
        <v>0</v>
      </c>
      <c r="I43" s="332" t="e">
        <f>J43/H43</f>
        <v>#DIV/0!</v>
      </c>
      <c r="J43" s="334">
        <f>J34+J38</f>
        <v>0</v>
      </c>
    </row>
    <row r="44" spans="8:10">
      <c r="H44" s="275">
        <f>H35+H39</f>
        <v>0</v>
      </c>
      <c r="I44" s="332" t="e">
        <f>J44/H44</f>
        <v>#DIV/0!</v>
      </c>
      <c r="J44" s="334">
        <f>J35+J39</f>
        <v>0</v>
      </c>
    </row>
    <row r="45" spans="8:10">
      <c r="H45" s="275">
        <f>H36+H40</f>
        <v>0</v>
      </c>
      <c r="I45" s="332" t="e">
        <f>J45/H45</f>
        <v>#DIV/0!</v>
      </c>
      <c r="J45" s="334">
        <f>J36+J40</f>
        <v>0</v>
      </c>
    </row>
  </sheetData>
  <autoFilter ref="A3:BD29" xr:uid="{0428720F-9028-4D6D-9843-ED7DFFC9E1CA}">
    <sortState xmlns:xlrd2="http://schemas.microsoft.com/office/spreadsheetml/2017/richdata2" ref="A4:BD31">
      <sortCondition ref="D3:D29"/>
    </sortState>
  </autoFilter>
  <phoneticPr fontId="4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Cola_PL_Options">
                <anchor moveWithCells="1" sizeWithCells="1">
                  <from>
                    <xdr:col>58</xdr:col>
                    <xdr:colOff>228600</xdr:colOff>
                    <xdr:row>0</xdr:row>
                    <xdr:rowOff>76200</xdr:rowOff>
                  </from>
                  <to>
                    <xdr:col>60</xdr:col>
                    <xdr:colOff>514350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E0AAE-F6F2-47FF-8330-4FE090C56A0E}">
  <sheetPr codeName="Sheet6"/>
  <dimension ref="A1:AO111"/>
  <sheetViews>
    <sheetView zoomScale="85" zoomScaleNormal="85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B30" sqref="B30:B31"/>
    </sheetView>
  </sheetViews>
  <sheetFormatPr defaultRowHeight="15" outlineLevelRow="1" outlineLevelCol="1"/>
  <cols>
    <col min="1" max="1" width="7" customWidth="1"/>
    <col min="2" max="2" width="23" customWidth="1"/>
    <col min="3" max="3" width="9" customWidth="1" outlineLevel="1"/>
    <col min="4" max="4" width="12" customWidth="1" outlineLevel="1"/>
    <col min="5" max="5" width="6.85546875" customWidth="1" outlineLevel="1"/>
    <col min="6" max="6" width="6.140625" customWidth="1" outlineLevel="1"/>
    <col min="7" max="7" width="6.140625" customWidth="1"/>
    <col min="8" max="8" width="8.5703125" bestFit="1" customWidth="1"/>
    <col min="9" max="9" width="9.7109375" customWidth="1"/>
    <col min="10" max="10" width="9.140625" customWidth="1" outlineLevel="1"/>
    <col min="11" max="12" width="9.85546875" customWidth="1" outlineLevel="1"/>
    <col min="13" max="14" width="9.140625" customWidth="1" outlineLevel="1"/>
    <col min="15" max="15" width="9.140625" style="21" customWidth="1" outlineLevel="1"/>
    <col min="16" max="16" width="11.42578125" customWidth="1"/>
    <col min="17" max="17" width="8.28515625" customWidth="1"/>
    <col min="18" max="18" width="8.140625" bestFit="1" customWidth="1"/>
    <col min="19" max="19" width="11.7109375" customWidth="1"/>
    <col min="20" max="20" width="11.28515625" customWidth="1"/>
    <col min="21" max="21" width="8" customWidth="1"/>
    <col min="22" max="22" width="7.42578125" customWidth="1"/>
    <col min="24" max="24" width="9.140625" style="70"/>
    <col min="25" max="25" width="12.42578125" customWidth="1"/>
    <col min="26" max="26" width="9.140625" customWidth="1"/>
    <col min="27" max="27" width="8.42578125" customWidth="1"/>
    <col min="28" max="28" width="11.5703125" customWidth="1"/>
    <col min="29" max="29" width="11.140625" customWidth="1"/>
    <col min="30" max="32" width="9.140625" customWidth="1"/>
    <col min="37" max="37" width="10.140625" customWidth="1"/>
    <col min="38" max="38" width="9.140625" style="1"/>
  </cols>
  <sheetData>
    <row r="1" spans="1:41">
      <c r="I1">
        <v>5.5</v>
      </c>
      <c r="P1" s="13"/>
    </row>
    <row r="2" spans="1:41">
      <c r="H2" s="35"/>
      <c r="I2" s="63"/>
      <c r="P2" s="13"/>
      <c r="Q2" s="63"/>
      <c r="S2" s="65"/>
      <c r="T2" s="63"/>
      <c r="X2" s="31"/>
    </row>
    <row r="3" spans="1:41" s="10" customFormat="1" ht="45">
      <c r="B3" s="10" t="s">
        <v>141</v>
      </c>
      <c r="C3" s="10" t="s">
        <v>143</v>
      </c>
      <c r="D3" s="10" t="s">
        <v>144</v>
      </c>
      <c r="E3" s="10" t="s">
        <v>145</v>
      </c>
      <c r="F3" s="10" t="s">
        <v>146</v>
      </c>
      <c r="H3" s="10" t="s">
        <v>147</v>
      </c>
      <c r="I3" s="66" t="s">
        <v>122</v>
      </c>
      <c r="J3" s="66" t="s">
        <v>151</v>
      </c>
      <c r="K3" s="66" t="s">
        <v>152</v>
      </c>
      <c r="L3" s="66" t="s">
        <v>153</v>
      </c>
      <c r="M3" s="66" t="s">
        <v>154</v>
      </c>
      <c r="N3" s="59" t="s">
        <v>124</v>
      </c>
      <c r="O3" s="10" t="s">
        <v>125</v>
      </c>
      <c r="P3" s="104" t="s">
        <v>155</v>
      </c>
      <c r="Q3" s="105" t="s">
        <v>186</v>
      </c>
      <c r="R3" s="10" t="s">
        <v>73</v>
      </c>
      <c r="S3" s="10" t="s">
        <v>187</v>
      </c>
      <c r="T3" s="10" t="s">
        <v>161</v>
      </c>
      <c r="U3" s="68" t="s">
        <v>162</v>
      </c>
      <c r="V3" s="10" t="s">
        <v>1</v>
      </c>
      <c r="W3" s="10" t="s">
        <v>163</v>
      </c>
      <c r="X3" s="93" t="s">
        <v>164</v>
      </c>
      <c r="Y3" s="59" t="s">
        <v>165</v>
      </c>
      <c r="Z3" s="10" t="s">
        <v>167</v>
      </c>
      <c r="AA3" s="10" t="s">
        <v>188</v>
      </c>
      <c r="AB3" s="10" t="s">
        <v>170</v>
      </c>
      <c r="AC3" s="10" t="s">
        <v>171</v>
      </c>
      <c r="AD3" s="10" t="s">
        <v>171</v>
      </c>
      <c r="AF3" s="10">
        <v>0.25</v>
      </c>
      <c r="AL3" s="131"/>
    </row>
    <row r="4" spans="1:41">
      <c r="H4" s="106"/>
      <c r="I4" s="101"/>
      <c r="J4" s="99"/>
      <c r="K4" s="135"/>
      <c r="L4" s="135"/>
      <c r="P4" s="127"/>
      <c r="Q4" s="106"/>
      <c r="S4" s="99"/>
      <c r="T4" s="101"/>
      <c r="W4" s="99"/>
      <c r="X4" s="120"/>
      <c r="AC4" s="99"/>
      <c r="AD4" s="120"/>
    </row>
    <row r="5" spans="1:41">
      <c r="A5" s="98" t="s">
        <v>1039</v>
      </c>
      <c r="B5" s="98"/>
      <c r="I5" s="63"/>
      <c r="K5" s="63">
        <f>K10-K16</f>
        <v>-2.8899999999999997</v>
      </c>
      <c r="P5" s="196"/>
      <c r="Q5">
        <f>Q9/Q15-1</f>
        <v>-0.85155555555555551</v>
      </c>
      <c r="T5" s="63"/>
      <c r="X5" s="120"/>
      <c r="Y5" s="13"/>
      <c r="Z5" s="3"/>
    </row>
    <row r="6" spans="1:41">
      <c r="H6">
        <v>1</v>
      </c>
      <c r="K6" s="63"/>
      <c r="P6" s="21"/>
      <c r="Y6" s="63">
        <f>Y7/S7</f>
        <v>327.80822366476053</v>
      </c>
    </row>
    <row r="7" spans="1:41" outlineLevel="1">
      <c r="A7" s="405">
        <f>P7/Y7</f>
        <v>0.1002868747875052</v>
      </c>
      <c r="B7" t="s">
        <v>1099</v>
      </c>
      <c r="C7" s="58" t="str" cm="1">
        <f t="array" ref="C7">_xll.BDP(B7&amp;" Equity","OPT_UNDL_TICKER")</f>
        <v>LITE US</v>
      </c>
      <c r="D7" s="58" t="str">
        <f>_xll.BDP($B7&amp;" Index","mifid_Maturity_date")</f>
        <v>20/02/2026</v>
      </c>
      <c r="E7" s="58">
        <f>_xll.BDP($B7&amp;" Index","opt_days_expire")</f>
        <v>7</v>
      </c>
      <c r="F7" s="58" t="str" cm="1">
        <f t="array" ref="F7">_xll.BDP(B7&amp;" Equity","QUOTED_CURRENCY_REALTIME")</f>
        <v>USD</v>
      </c>
      <c r="G7" s="103" t="s">
        <v>190</v>
      </c>
      <c r="H7" s="95">
        <v>50</v>
      </c>
      <c r="I7" s="96">
        <f>IF(G7="Buy",L7,K7)</f>
        <v>3.7</v>
      </c>
      <c r="J7" s="18">
        <f>I7/S7</f>
        <v>6.5749724561964679E-3</v>
      </c>
      <c r="K7" s="35" cm="1">
        <f t="array" ref="K7">_xll.BDP($B7&amp;" Equity","bid")</f>
        <v>0.25</v>
      </c>
      <c r="L7" s="35" cm="1">
        <f t="array" ref="L7">_xll.BDP($B7&amp;" Equity","ask")</f>
        <v>3.7</v>
      </c>
      <c r="M7" s="39">
        <f>(L7/K7-1)</f>
        <v>13.8</v>
      </c>
      <c r="N7" s="35" cm="1">
        <f t="array" ref="N7">_xll.BDP(F7&amp;" Curncy","PX_LAST")</f>
        <v>1</v>
      </c>
      <c r="O7" s="132" cm="1">
        <f t="array" ref="O7">_xll.BDP(B7&amp;" Equity","OPT_MULTIPLIER")</f>
        <v>100</v>
      </c>
      <c r="P7" s="15">
        <f>IF(G7="Buy",((I7/N7)*H7*O7),((I7/N7)*-H7*O7))</f>
        <v>18500</v>
      </c>
      <c r="Q7" s="57">
        <f>P7/'Master P&amp;L'!$AD$5*10000</f>
        <v>7.8040616704676616E-2</v>
      </c>
      <c r="R7" s="36" cm="1">
        <f t="array" ref="R7">_xll.BDP($C7&amp;" Equity","EST_PE_NXT_YR")*(T7/S7)</f>
        <v>50.460728389644586</v>
      </c>
      <c r="S7" s="35" cm="1">
        <f t="array" ref="S7">_xll.BDP(C7&amp;" Equity","LAST_PRICE")</f>
        <v>562.74</v>
      </c>
      <c r="T7" s="52" cm="1">
        <f t="array" ref="T7">_xll.BDP(B7&amp;" Equity","OPT_STRIKE_PX")</f>
        <v>690</v>
      </c>
      <c r="U7" s="39">
        <f>T7/S7-1</f>
        <v>0.22614351210150341</v>
      </c>
      <c r="V7" s="36" cm="1">
        <f t="array" ref="V7">_xll.BDP($B7&amp;" Equity","ivol_mid")</f>
        <v>102.0685</v>
      </c>
      <c r="W7" s="37" cm="1">
        <f t="array" ref="W7">_xll.BDP(B7&amp;" Equity","DELTA_MID_RT")</f>
        <v>6.5561644732952118E-2</v>
      </c>
      <c r="X7" s="47">
        <f>Y7/'Master P&amp;L'!$AE$5</f>
        <v>7.7817378266133521E-5</v>
      </c>
      <c r="Y7" s="15">
        <f>IF(G7="Sell", S7*W7*-H7*O7/N7, S7*W7*H7*O7/N7)</f>
        <v>184470.79978510735</v>
      </c>
      <c r="Z7" s="15">
        <f>_xll.BDP($B7&amp;" Equity","opt_theta")*H7*O7/N7</f>
        <v>-6048.2300000000005</v>
      </c>
      <c r="AA7" s="18">
        <f>_xll.BDP($B7&amp;" Equity","opt_theta")/I7</f>
        <v>-0.32693135135135132</v>
      </c>
      <c r="AB7" s="35" t="str" cm="1">
        <f t="array" ref="AB7">_xll.BDP($C7&amp;" Equity","EXPECTED_REPORT_DT")</f>
        <v>06/05/2026</v>
      </c>
      <c r="AC7" s="15">
        <f>S7*H7*O7/N7</f>
        <v>2813700</v>
      </c>
      <c r="AD7" s="18">
        <f>AC7/'Master P&amp;L'!$AE$5</f>
        <v>1.1869345039024247E-3</v>
      </c>
      <c r="AE7" t="str">
        <f>B7  &amp; " - Buy to open " &amp;  "-" &amp; H7 &amp;"x"</f>
        <v>LITE US 02/20/26 C690 - Buy to open -50x</v>
      </c>
      <c r="AF7">
        <f>H7*$AF$3</f>
        <v>12.5</v>
      </c>
      <c r="AK7" t="s">
        <v>507</v>
      </c>
      <c r="AO7" t="s">
        <v>95</v>
      </c>
    </row>
    <row r="8" spans="1:41" outlineLevel="1">
      <c r="A8" s="97" t="s">
        <v>189</v>
      </c>
      <c r="B8" t="s">
        <v>1098</v>
      </c>
      <c r="C8" s="58" t="str" cm="1">
        <f t="array" ref="C8">_xll.BDP(B8&amp;" Equity","OPT_UNDL_TICKER")</f>
        <v>LITE US</v>
      </c>
      <c r="D8" s="58" t="str" cm="1">
        <f t="array" ref="D8">_xll.BDP($B8&amp;" Index","mifid_Maturity_date")</f>
        <v>20/02/2026</v>
      </c>
      <c r="E8" s="58" cm="1">
        <f t="array" ref="E8">_xll.BDP($B8&amp;" Index","opt_days_expire")</f>
        <v>7</v>
      </c>
      <c r="F8" s="58" t="str" cm="1">
        <f t="array" ref="F8">_xll.BDP(B8&amp;" Equity","QUOTED_CURRENCY_REALTIME")</f>
        <v>USD</v>
      </c>
      <c r="G8" s="103" t="s">
        <v>191</v>
      </c>
      <c r="H8" s="95">
        <v>15</v>
      </c>
      <c r="I8" s="96">
        <f>IF(G8="Buy",L8,K8)</f>
        <v>1.2</v>
      </c>
      <c r="J8" s="18">
        <f>I8/S8</f>
        <v>2.1324234993069621E-3</v>
      </c>
      <c r="K8" s="35" cm="1">
        <f t="array" ref="K8">_xll.BDP($B8&amp;" Equity","bid")</f>
        <v>1.2</v>
      </c>
      <c r="L8" s="35" cm="1">
        <f t="array" ref="L8">_xll.BDP($B8&amp;" Equity","ask")</f>
        <v>4.0999999999999996</v>
      </c>
      <c r="M8" s="39">
        <f>(L8/K8-1)</f>
        <v>2.4166666666666665</v>
      </c>
      <c r="N8" s="35" cm="1">
        <f t="array" ref="N8">_xll.BDP(F8&amp;" Curncy","PX_LAST")</f>
        <v>1</v>
      </c>
      <c r="O8" s="132" cm="1">
        <f t="array" ref="O8">_xll.BDP(B8&amp;" Equity","OPT_MULTIPLIER")</f>
        <v>100</v>
      </c>
      <c r="P8" s="15">
        <f>IF(G8="Buy",((I8/N8)*H8*O8),((I8/N8)*-H8*O8))</f>
        <v>-1800</v>
      </c>
      <c r="Q8" s="57">
        <f>P8/'Master P&amp;L'!$AD$5*10000</f>
        <v>-7.5931410847793453E-3</v>
      </c>
      <c r="R8" s="36" cm="1">
        <f t="array" ref="R8">_xll.BDP($C8&amp;" Equity","EST_PE_NXT_YR")*(T8/S8)</f>
        <v>49.729413485446834</v>
      </c>
      <c r="S8" s="35" cm="1">
        <f t="array" ref="S8">_xll.BDP(C8&amp;" Equity","LAST_PRICE")</f>
        <v>562.74</v>
      </c>
      <c r="T8" s="52" cm="1">
        <f t="array" ref="T8">_xll.BDP(B8&amp;" Equity","OPT_STRIKE_PX")</f>
        <v>680</v>
      </c>
      <c r="U8" s="39">
        <f>T8/S8-1</f>
        <v>0.2083733162739454</v>
      </c>
      <c r="V8" s="36" cm="1">
        <f t="array" ref="V8">_xll.BDP($B8&amp;" Equity","ivol_mid")</f>
        <v>103.0534</v>
      </c>
      <c r="W8" s="37" cm="1">
        <f t="array" ref="W8">_xll.BDP(B8&amp;" Equity","DELTA_MID_RT")</f>
        <v>8.355376124382019E-2</v>
      </c>
      <c r="X8" s="47">
        <f>Y8/'Master P&amp;L'!$AE$5</f>
        <v>-2.9751852645334607E-5</v>
      </c>
      <c r="Y8" s="15">
        <f>IF(G8="Sell", S8*W8*-H8*O8/N8, S8*W8*H8*O8/N8)</f>
        <v>-70528.565403521061</v>
      </c>
      <c r="Z8" s="15" cm="1">
        <f t="array" ref="Z8">_xll.BDP($B8&amp;" Equity","opt_theta")*H8*O8/N8</f>
        <v>-1471.2104999999999</v>
      </c>
      <c r="AA8" s="18" cm="1">
        <f t="array" ref="AA8">_xll.BDP($B8&amp;" Equity","opt_theta")/I8</f>
        <v>-0.81733916666666673</v>
      </c>
      <c r="AB8" s="35" t="str" cm="1">
        <f t="array" ref="AB8">_xll.BDP($C8&amp;" Equity","EXPECTED_REPORT_DT")</f>
        <v>06/05/2026</v>
      </c>
      <c r="AC8" s="15">
        <f>S8*H8*O8/N8</f>
        <v>844110</v>
      </c>
      <c r="AD8" s="18">
        <f>AC8/'Master P&amp;L'!$AE$5</f>
        <v>3.5608035117072736E-4</v>
      </c>
      <c r="AE8" t="str">
        <f>B8  &amp; " - Buy to open " &amp;  "-" &amp; H8 &amp;"x"</f>
        <v>LITE US 02/20/26 C680 - Buy to open -15x</v>
      </c>
      <c r="AF8">
        <f>H8*$AF$3</f>
        <v>3.75</v>
      </c>
      <c r="AK8" t="s">
        <v>510</v>
      </c>
      <c r="AO8" t="s">
        <v>95</v>
      </c>
    </row>
    <row r="9" spans="1:41" outlineLevel="1">
      <c r="H9" s="99" t="s">
        <v>64</v>
      </c>
      <c r="I9" s="101">
        <f>I7-I8</f>
        <v>2.5</v>
      </c>
      <c r="J9" s="99" t="s">
        <v>192</v>
      </c>
      <c r="K9" s="100">
        <f>K8/L7</f>
        <v>0.32432432432432429</v>
      </c>
      <c r="P9" s="99" t="s">
        <v>193</v>
      </c>
      <c r="Q9" s="106">
        <f>Q7+Q8</f>
        <v>7.0447475619897268E-2</v>
      </c>
      <c r="S9" s="99" t="s">
        <v>194</v>
      </c>
      <c r="T9" s="101">
        <f>T8-T7</f>
        <v>-10</v>
      </c>
      <c r="W9" s="99" t="s">
        <v>195</v>
      </c>
      <c r="X9" s="120">
        <f>X7+X8</f>
        <v>4.8065525620798915E-5</v>
      </c>
      <c r="Y9" s="13">
        <f>Y7+Y8</f>
        <v>113942.23438158628</v>
      </c>
      <c r="AC9" s="99" t="s">
        <v>172</v>
      </c>
      <c r="AD9" s="120">
        <f>AD7</f>
        <v>1.1869345039024247E-3</v>
      </c>
      <c r="AO9" t="s">
        <v>95</v>
      </c>
    </row>
    <row r="10" spans="1:41" outlineLevel="1">
      <c r="H10" s="99" t="s">
        <v>196</v>
      </c>
      <c r="I10" s="101">
        <f>(T9-I9)/I9</f>
        <v>-5</v>
      </c>
      <c r="J10" s="99" t="s">
        <v>90</v>
      </c>
      <c r="K10" s="178">
        <f>AVERAGE(K7:L7)-AVERAGE(K8:L8)</f>
        <v>-0.67499999999999982</v>
      </c>
      <c r="L10" s="17"/>
      <c r="P10" s="127">
        <f>P7+P8</f>
        <v>16700</v>
      </c>
      <c r="Q10" s="106"/>
      <c r="S10" s="99"/>
      <c r="T10" s="101"/>
      <c r="W10" s="99"/>
      <c r="X10" s="120"/>
      <c r="Y10" s="13">
        <f>Y9/S7</f>
        <v>202.47758179903025</v>
      </c>
      <c r="AC10" s="99"/>
      <c r="AD10" s="102"/>
      <c r="AH10">
        <v>4</v>
      </c>
      <c r="AI10">
        <v>4</v>
      </c>
    </row>
    <row r="11" spans="1:41" outlineLevel="1">
      <c r="H11" s="13"/>
      <c r="I11" s="20"/>
      <c r="J11" s="42">
        <f>J7-J8</f>
        <v>4.4425489568895062E-3</v>
      </c>
      <c r="K11" s="135">
        <f>K7-K8</f>
        <v>-0.95</v>
      </c>
      <c r="L11" s="135">
        <f>L7-L8</f>
        <v>-0.39999999999999947</v>
      </c>
      <c r="P11" s="39">
        <f>P10/Y9</f>
        <v>0.14656549514443096</v>
      </c>
      <c r="Q11" s="63">
        <f>Q9*I10</f>
        <v>-0.35223737809948635</v>
      </c>
      <c r="W11" s="49"/>
      <c r="Y11" s="3"/>
      <c r="AH11">
        <f>AH10*AH12</f>
        <v>30.799999999999997</v>
      </c>
      <c r="AI11">
        <f>AI10*AI12</f>
        <v>29.36</v>
      </c>
      <c r="AJ11">
        <f>AH11-AI11</f>
        <v>1.4399999999999977</v>
      </c>
    </row>
    <row r="12" spans="1:41" outlineLevel="1">
      <c r="J12" s="42"/>
      <c r="L12" s="63"/>
      <c r="X12" s="125">
        <f>X80</f>
        <v>3.5862449750632226E-4</v>
      </c>
      <c r="AH12">
        <f>AH13-AH14</f>
        <v>7.6999999999999993</v>
      </c>
      <c r="AI12">
        <f>AI13-AI14</f>
        <v>7.34</v>
      </c>
    </row>
    <row r="13" spans="1:41" outlineLevel="1">
      <c r="A13" s="97" t="s">
        <v>189</v>
      </c>
      <c r="B13" t="s">
        <v>1069</v>
      </c>
      <c r="C13" s="58" t="str" cm="1">
        <f t="array" ref="C13">_xll.BDP(B13&amp;" Equity","OPT_UNDL_TICKER")</f>
        <v>NVDA US</v>
      </c>
      <c r="D13" s="58" t="str" cm="1">
        <f t="array" ref="D13">_xll.BDP($B13&amp;" Index","mifid_Maturity_date")</f>
        <v>20/03/2026</v>
      </c>
      <c r="E13" s="58" cm="1">
        <f t="array" ref="E13">_xll.BDP($B13&amp;" Index","opt_days_expire")</f>
        <v>35</v>
      </c>
      <c r="F13" s="58" t="str" cm="1">
        <f t="array" ref="F13">_xll.BDP(B13&amp;" Equity","QUOTED_CURRENCY_REALTIME")</f>
        <v>USD</v>
      </c>
      <c r="G13" s="103" t="s">
        <v>190</v>
      </c>
      <c r="H13" s="95">
        <v>500</v>
      </c>
      <c r="I13" s="96">
        <f>IF(G13="Buy",L13,K13)</f>
        <v>4.9000000000000004</v>
      </c>
      <c r="J13" s="18">
        <f>I13/S13</f>
        <v>2.6803785350910783E-2</v>
      </c>
      <c r="K13" s="35" cm="1">
        <f t="array" ref="K13">_xll.BDP($B13&amp;" Equity","bid")</f>
        <v>4.8499999999999996</v>
      </c>
      <c r="L13" s="35" cm="1">
        <f t="array" ref="L13">_xll.BDP($B13&amp;" Equity","ask")</f>
        <v>4.9000000000000004</v>
      </c>
      <c r="M13" s="39">
        <f>(L13/K13-1)</f>
        <v>1.0309278350515649E-2</v>
      </c>
      <c r="N13" s="35" cm="1">
        <f t="array" ref="N13">_xll.BDP(F13&amp;" Curncy","PX_LAST")</f>
        <v>1</v>
      </c>
      <c r="O13" s="132" cm="1">
        <f t="array" ref="O13">_xll.BDP(B13&amp;" Equity","OPT_MULTIPLIER")</f>
        <v>100</v>
      </c>
      <c r="P13" s="15">
        <f>IF(G13="Buy",((I13/N13)*H13*O13),((I13/N13)*-H13*O13))</f>
        <v>245000</v>
      </c>
      <c r="Q13" s="57">
        <f>P13/'Master P&amp;L'!$AD$5*10000</f>
        <v>1.0335108698727442</v>
      </c>
      <c r="R13" s="36" cm="1">
        <f t="array" ref="R13">_xll.BDP($C13&amp;" Equity","EST_PE_NXT_YR")*(T13/S13)</f>
        <v>25.835552847331499</v>
      </c>
      <c r="S13" s="35" cm="1">
        <f t="array" ref="S13">_xll.BDP(C13&amp;" Equity","LAST_PRICE")</f>
        <v>182.81</v>
      </c>
      <c r="T13" s="52" cm="1">
        <f t="array" ref="T13">_xll.BDP(B13&amp;" Equity","OPT_STRIKE_PX")</f>
        <v>200</v>
      </c>
      <c r="U13" s="39">
        <f>T13/S13-1</f>
        <v>9.4032055139215531E-2</v>
      </c>
      <c r="V13" s="36" cm="1">
        <f t="array" ref="V13">_xll.BDP($B13&amp;" Equity","ivol_mid")</f>
        <v>47.931690000000003</v>
      </c>
      <c r="W13" s="37" cm="1">
        <f t="array" ref="W13">_xll.BDP(B13&amp;" Equity","DELTA_MID_RT")</f>
        <v>0.30479326844215393</v>
      </c>
      <c r="X13" s="47">
        <f>Y13/'Master P&amp;L'!$AE$5</f>
        <v>1.1752338405750721E-3</v>
      </c>
      <c r="Y13" s="15">
        <f>IF(G13="Sell", S13*W13*-H13*O13/N13, S13*W13*H13*O13/N13)</f>
        <v>2785962.870195508</v>
      </c>
      <c r="Z13" s="15" cm="1">
        <f t="array" ref="Z13">_xll.BDP($B13&amp;" Equity","opt_theta")*H13*O13/N13</f>
        <v>-6843.4</v>
      </c>
      <c r="AA13" s="18" cm="1">
        <f t="array" ref="AA13">_xll.BDP($B13&amp;" Equity","opt_theta")/I13</f>
        <v>-2.7932244897959181E-2</v>
      </c>
      <c r="AB13" s="35" t="str" cm="1">
        <f t="array" ref="AB13">_xll.BDP($C13&amp;" Equity","EXPECTED_REPORT_DT")</f>
        <v>25/02/2026</v>
      </c>
      <c r="AC13" s="15">
        <f>S13*H13*O13/N13</f>
        <v>9140500</v>
      </c>
      <c r="AD13" s="18">
        <f>AC13/'Master P&amp;L'!$AE$5</f>
        <v>3.8558392269680891E-3</v>
      </c>
      <c r="AE13" t="str">
        <f>B13  &amp; " - Buy to open " &amp;  "-" &amp; H13 &amp;"x"</f>
        <v>NVDA US 03/20/26 C200 - Buy to open -500x</v>
      </c>
      <c r="AF13">
        <f>H13*$AF$3</f>
        <v>125</v>
      </c>
      <c r="AH13">
        <v>20.9</v>
      </c>
      <c r="AI13">
        <v>20.2</v>
      </c>
      <c r="AJ13" s="63"/>
      <c r="AK13" t="s">
        <v>508</v>
      </c>
    </row>
    <row r="14" spans="1:41" outlineLevel="1">
      <c r="A14" s="97" t="s">
        <v>189</v>
      </c>
      <c r="B14" t="s">
        <v>1100</v>
      </c>
      <c r="C14" s="58" t="str" cm="1">
        <f t="array" ref="C14">_xll.BDP(B14&amp;" Equity","OPT_UNDL_TICKER")</f>
        <v>NVDA US</v>
      </c>
      <c r="D14" s="58" t="str" cm="1">
        <f t="array" ref="D14">_xll.BDP($B14&amp;" Index","mifid_Maturity_date")</f>
        <v>20/03/2026</v>
      </c>
      <c r="E14" s="58" cm="1">
        <f t="array" ref="E14">_xll.BDP($B14&amp;" Index","opt_days_expire")</f>
        <v>35</v>
      </c>
      <c r="F14" s="58" t="str" cm="1">
        <f t="array" ref="F14">_xll.BDP(B14&amp;" Equity","QUOTED_CURRENCY_REALTIME")</f>
        <v>USD</v>
      </c>
      <c r="G14" s="103" t="s">
        <v>191</v>
      </c>
      <c r="H14" s="95">
        <f>H13</f>
        <v>500</v>
      </c>
      <c r="I14" s="96">
        <f>IF(G14="Buy",L14,K14)</f>
        <v>2.65</v>
      </c>
      <c r="J14" s="18">
        <f>I14/S14</f>
        <v>1.4495924730594606E-2</v>
      </c>
      <c r="K14" s="35" cm="1">
        <f t="array" ref="K14">_xll.BDP($B14&amp;" Equity","bid")</f>
        <v>2.65</v>
      </c>
      <c r="L14" s="35" cm="1">
        <f t="array" ref="L14">_xll.BDP($B14&amp;" Equity","ask")</f>
        <v>2.67</v>
      </c>
      <c r="M14" s="39">
        <f>(L14/K14-1)</f>
        <v>7.547169811320753E-3</v>
      </c>
      <c r="N14" s="35" cm="1">
        <f t="array" ref="N14">_xll.BDP(F14&amp;" Curncy","PX_LAST")</f>
        <v>1</v>
      </c>
      <c r="O14" s="132" cm="1">
        <f t="array" ref="O14">_xll.BDP(B14&amp;" Equity","OPT_MULTIPLIER")</f>
        <v>100</v>
      </c>
      <c r="P14" s="15">
        <f>IF(G14="Buy",((I14/N14)*H14*O14),((I14/N14)*-H14*O14))</f>
        <v>-132500</v>
      </c>
      <c r="Q14" s="57">
        <f>P14/'Master P&amp;L'!$AD$5*10000</f>
        <v>-0.55893955207403512</v>
      </c>
      <c r="R14" s="36" cm="1">
        <f t="array" ref="R14">_xll.BDP($C14&amp;" Equity","EST_PE_NXT_YR")*(T14/S14)</f>
        <v>27.127330489698078</v>
      </c>
      <c r="S14" s="35" cm="1">
        <f t="array" ref="S14">_xll.BDP(C14&amp;" Equity","LAST_PRICE")</f>
        <v>182.81</v>
      </c>
      <c r="T14" s="52" cm="1">
        <f t="array" ref="T14">_xll.BDP(B14&amp;" Equity","OPT_STRIKE_PX")</f>
        <v>210</v>
      </c>
      <c r="U14" s="39">
        <f>T14/S14-1</f>
        <v>0.14873365789617643</v>
      </c>
      <c r="V14" s="36" cm="1">
        <f t="array" ref="V14">_xll.BDP($B14&amp;" Equity","ivol_mid")</f>
        <v>46.842820000000003</v>
      </c>
      <c r="W14" s="37" cm="1">
        <f t="array" ref="W14">_xll.BDP(B14&amp;" Equity","DELTA_MID_RT")</f>
        <v>0.19417892396450043</v>
      </c>
      <c r="X14" s="47">
        <f>Y14/'Master P&amp;L'!$AE$5</f>
        <v>-7.4872271207277472E-4</v>
      </c>
      <c r="Y14" s="15">
        <f>IF(G14="Sell", S14*W14*-H14*O14/N14, S14*W14*H14*O14/N14)</f>
        <v>-1774892.4544975162</v>
      </c>
      <c r="Z14" s="15" cm="1">
        <f t="array" ref="Z14">_xll.BDP($B14&amp;" Equity","opt_theta")*H14*O14/N14</f>
        <v>-5238.8</v>
      </c>
      <c r="AA14" s="18" cm="1">
        <f t="array" ref="AA14">_xll.BDP($B14&amp;" Equity","opt_theta")/I14</f>
        <v>-3.9538113207547167E-2</v>
      </c>
      <c r="AB14" s="35" t="str" cm="1">
        <f t="array" ref="AB14">_xll.BDP($C14&amp;" Equity","EXPECTED_REPORT_DT")</f>
        <v>25/02/2026</v>
      </c>
      <c r="AC14" s="15">
        <f>S14*H14*O14/N14</f>
        <v>9140500</v>
      </c>
      <c r="AD14" s="18">
        <f>AC14/'Master P&amp;L'!$AE$5</f>
        <v>3.8558392269680891E-3</v>
      </c>
      <c r="AE14" t="str">
        <f>B14  &amp; " - Buy to open " &amp;  "-" &amp; H14 &amp;"x"</f>
        <v>NVDA US 03/20/26 C210 - Buy to open -500x</v>
      </c>
      <c r="AF14">
        <f>H14*$AF$3</f>
        <v>125</v>
      </c>
      <c r="AH14">
        <v>13.2</v>
      </c>
      <c r="AI14">
        <v>12.86</v>
      </c>
      <c r="AJ14" s="63"/>
      <c r="AK14" t="s">
        <v>509</v>
      </c>
    </row>
    <row r="15" spans="1:41" outlineLevel="1">
      <c r="H15" s="99" t="s">
        <v>64</v>
      </c>
      <c r="I15" s="101">
        <f>I13-I14</f>
        <v>2.2500000000000004</v>
      </c>
      <c r="J15" s="99" t="s">
        <v>192</v>
      </c>
      <c r="K15" s="100">
        <f>K14/L13</f>
        <v>0.54081632653061218</v>
      </c>
      <c r="P15" s="99" t="s">
        <v>193</v>
      </c>
      <c r="Q15" s="106">
        <f>Q13+Q14</f>
        <v>0.47457131779870909</v>
      </c>
      <c r="S15" s="99" t="s">
        <v>194</v>
      </c>
      <c r="T15" s="101">
        <f>T14-T13</f>
        <v>10</v>
      </c>
      <c r="W15" s="99" t="s">
        <v>195</v>
      </c>
      <c r="X15" s="120">
        <f>X13+X14</f>
        <v>4.2651112850229742E-4</v>
      </c>
      <c r="Y15" s="13">
        <f>Y13+Y14</f>
        <v>1011070.4156979918</v>
      </c>
      <c r="AC15" s="99" t="s">
        <v>172</v>
      </c>
      <c r="AD15" s="102">
        <f>AD13</f>
        <v>3.8558392269680891E-3</v>
      </c>
    </row>
    <row r="16" spans="1:41" outlineLevel="1">
      <c r="H16" s="99" t="s">
        <v>196</v>
      </c>
      <c r="I16" s="101">
        <f>(T15-I15)/I15</f>
        <v>3.4444444444444438</v>
      </c>
      <c r="J16" s="99" t="s">
        <v>90</v>
      </c>
      <c r="K16" s="178">
        <f>AVERAGE(K13:L13)-AVERAGE(K14:L14)</f>
        <v>2.2149999999999999</v>
      </c>
      <c r="P16" s="127">
        <f>P13+P14</f>
        <v>112500</v>
      </c>
      <c r="Q16" s="106"/>
      <c r="S16" s="99"/>
      <c r="T16" s="101"/>
      <c r="W16" s="106">
        <f>1/(W13-W14)</f>
        <v>9.0404188057365538</v>
      </c>
      <c r="X16" s="120"/>
      <c r="Y16" s="13">
        <f>Y15/S13</f>
        <v>5530.7172238826752</v>
      </c>
      <c r="AC16" s="99"/>
      <c r="AD16" s="102"/>
    </row>
    <row r="17" spans="1:38" outlineLevel="1">
      <c r="I17" s="20"/>
      <c r="J17" s="42">
        <f>J13-J14</f>
        <v>1.2307860620316177E-2</v>
      </c>
      <c r="K17" s="135">
        <f>K13-K14</f>
        <v>2.1999999999999997</v>
      </c>
      <c r="L17" s="135">
        <f>L13-L14</f>
        <v>2.2300000000000004</v>
      </c>
      <c r="P17" s="39">
        <f>P16/Y15</f>
        <v>0.11126821461029071</v>
      </c>
      <c r="Q17" s="63">
        <f>Q15/5</f>
        <v>9.4914263559741821E-2</v>
      </c>
      <c r="W17" s="49"/>
      <c r="X17" s="47"/>
      <c r="Y17" s="3"/>
      <c r="Z17" s="17"/>
    </row>
    <row r="18" spans="1:38" outlineLevel="1">
      <c r="G18">
        <f>H19/25</f>
        <v>20</v>
      </c>
      <c r="H18" s="13">
        <v>1.5</v>
      </c>
      <c r="K18" s="276">
        <f>K10-K16</f>
        <v>-2.8899999999999997</v>
      </c>
      <c r="AK18">
        <v>13</v>
      </c>
      <c r="AL18" s="1">
        <v>16</v>
      </c>
    </row>
    <row r="19" spans="1:38" outlineLevel="1">
      <c r="A19" s="97" t="s">
        <v>189</v>
      </c>
      <c r="B19" s="72" t="s">
        <v>1077</v>
      </c>
      <c r="C19" s="58" t="str">
        <f>_xll.BDP(B19&amp;" Equity","OPT_UNDL_TICKER")</f>
        <v>CSCO US</v>
      </c>
      <c r="D19" s="58" t="str">
        <f>_xll.BDP($B19&amp;" Index","mifid_Maturity_date")</f>
        <v>17/07/2026</v>
      </c>
      <c r="E19" s="58">
        <f>_xll.BDP($B19&amp;" Index","opt_days_expire")</f>
        <v>154</v>
      </c>
      <c r="F19" s="58" t="str">
        <f>_xll.BDP(B19&amp;" Equity","QUOTED_CURRENCY_REALTIME")</f>
        <v>USD</v>
      </c>
      <c r="G19" s="103" t="s">
        <v>190</v>
      </c>
      <c r="H19" s="95">
        <v>500</v>
      </c>
      <c r="I19" s="96">
        <f>IF(G19="Buy",L19,K19)</f>
        <v>0.94</v>
      </c>
      <c r="J19" s="18">
        <f>I19/S19</f>
        <v>1.2231620039037085E-2</v>
      </c>
      <c r="K19" s="35">
        <f>_xll.BDP($B19&amp;" Equity","bid")</f>
        <v>0.56000000000000005</v>
      </c>
      <c r="L19" s="35">
        <f>_xll.BDP($B19&amp;" Equity","ask")</f>
        <v>0.94</v>
      </c>
      <c r="M19" s="39">
        <f>(L19/K19-1)</f>
        <v>0.67857142857142838</v>
      </c>
      <c r="N19" s="35" cm="1">
        <f t="array" ref="N19">_xll.BDP(F19&amp;" Curncy","PX_LAST")</f>
        <v>1</v>
      </c>
      <c r="O19" s="132">
        <f>_xll.BDP(B19&amp;" Equity","OPT_MULTIPLIER")</f>
        <v>100</v>
      </c>
      <c r="P19" s="15">
        <f>IF(G19="Buy",((I19/N19)*H19*O19),((I19/N19)*-H19*O19))</f>
        <v>47000</v>
      </c>
      <c r="Q19" s="57">
        <f>P19/'Master P&amp;L'!$AD$5*10000</f>
        <v>0.19826535054701624</v>
      </c>
      <c r="R19" s="36" cm="1">
        <f t="array" ref="R19">_xll.BDP($C19&amp;" Equity","EST_PE_NXT_YR")*(T19/S19)</f>
        <v>21.040974529346624</v>
      </c>
      <c r="S19" s="35" cm="1">
        <f t="array" ref="S19">_xll.BDP(C19&amp;" Equity","LAST_PRICE")</f>
        <v>76.849999999999994</v>
      </c>
      <c r="T19" s="52">
        <f>_xll.BDP(B19&amp;" Equity","OPT_STRIKE_PX")</f>
        <v>95</v>
      </c>
      <c r="U19" s="39">
        <f>T19/S19-1</f>
        <v>0.23617436564736516</v>
      </c>
      <c r="V19" s="36">
        <f>_xll.BDP($B19&amp;" Equity","ivol_mid")</f>
        <v>25.81804</v>
      </c>
      <c r="W19" s="37">
        <f>_xll.BDP(B19&amp;" Equity","DELTA_MID_RT")</f>
        <v>0.12629111111164093</v>
      </c>
      <c r="X19" s="47">
        <f>Y19/'Master P&amp;L'!$AE$5</f>
        <v>2.0470838151945107E-4</v>
      </c>
      <c r="Y19" s="15">
        <f>IF(G19="Sell", S19*W19*-H19*O19/N19, S19*W19*H19*O19/N19)</f>
        <v>485273.59444648027</v>
      </c>
      <c r="Z19" s="15" cm="1">
        <f t="array" ref="Z19">_xll.BDP($B19&amp;" Equity","opt_theta")*H19*O19/N19</f>
        <v>-457.79999999999995</v>
      </c>
      <c r="AA19" s="18" cm="1">
        <f t="array" ref="AA19">_xll.BDP($B19&amp;" Equity","opt_theta")/I19</f>
        <v>-9.7404255319148928E-3</v>
      </c>
      <c r="AB19" s="35" t="str" cm="1">
        <f t="array" ref="AB19">_xll.BDP($C19&amp;" Equity","EXPECTED_REPORT_DT")</f>
        <v>14/05/2026</v>
      </c>
      <c r="AC19" s="15">
        <f>S19*H19*O19/N19</f>
        <v>3842500</v>
      </c>
      <c r="AD19" s="18">
        <f>AC19/'Master P&amp;L'!$AE$5</f>
        <v>1.6209247010147019E-3</v>
      </c>
      <c r="AE19" t="str">
        <f>B19  &amp; " - Buy to open " &amp;  "-" &amp; H19 &amp;"x"</f>
        <v>CSCO US 07/17/26 C95 - Buy to open -500x</v>
      </c>
      <c r="AH19">
        <v>37.35</v>
      </c>
      <c r="AI19">
        <v>36.799999999999997</v>
      </c>
      <c r="AJ19">
        <f>AH19-AI19</f>
        <v>0.55000000000000426</v>
      </c>
      <c r="AK19">
        <v>15</v>
      </c>
      <c r="AL19" s="1">
        <v>20</v>
      </c>
    </row>
    <row r="20" spans="1:38" outlineLevel="1">
      <c r="A20" s="97" t="s">
        <v>189</v>
      </c>
      <c r="B20" t="s">
        <v>1078</v>
      </c>
      <c r="C20" s="58" t="str" cm="1">
        <f t="array" ref="C20">_xll.BDP(B20&amp;" Equity","OPT_UNDL_TICKER")</f>
        <v>CSCO US</v>
      </c>
      <c r="D20" s="58" t="str" cm="1">
        <f t="array" ref="D20">_xll.BDP($B20&amp;" Index","mifid_Maturity_date")</f>
        <v>17/07/2026</v>
      </c>
      <c r="E20" s="58" cm="1">
        <f t="array" ref="E20">_xll.BDP($B20&amp;" Index","opt_days_expire")</f>
        <v>154</v>
      </c>
      <c r="F20" s="58" t="str" cm="1">
        <f t="array" ref="F20">_xll.BDP(B20&amp;" Equity","QUOTED_CURRENCY_REALTIME")</f>
        <v>USD</v>
      </c>
      <c r="G20" s="103" t="s">
        <v>191</v>
      </c>
      <c r="H20" s="95">
        <f>H19</f>
        <v>500</v>
      </c>
      <c r="I20" s="96">
        <f>IF(G20="Buy",L20,K20)</f>
        <v>0.37</v>
      </c>
      <c r="J20" s="18">
        <f>I20/S20</f>
        <v>4.8145738451528955E-3</v>
      </c>
      <c r="K20" s="35" cm="1">
        <f t="array" ref="K20">_xll.BDP($B20&amp;" Equity","bid")</f>
        <v>0.37</v>
      </c>
      <c r="L20" s="35" cm="1">
        <f t="array" ref="L20">_xll.BDP($B20&amp;" Equity","ask")</f>
        <v>0.61</v>
      </c>
      <c r="M20" s="39">
        <f>(L20/K20-1)</f>
        <v>0.64864864864864868</v>
      </c>
      <c r="N20" s="35" cm="1">
        <f t="array" ref="N20">_xll.BDP(F20&amp;" Curncy","PX_LAST")</f>
        <v>1</v>
      </c>
      <c r="O20" s="132" cm="1">
        <f t="array" ref="O20">_xll.BDP(B20&amp;" Equity","OPT_MULTIPLIER")</f>
        <v>100</v>
      </c>
      <c r="P20" s="15">
        <f>IF(G20="Buy",((I20/N20)*H20*O20),((I20/N20)*-H20*O20))</f>
        <v>-18500</v>
      </c>
      <c r="Q20" s="57">
        <f>P20/'Master P&amp;L'!$AD$5*10000</f>
        <v>-7.8040616704676616E-2</v>
      </c>
      <c r="R20" s="36" cm="1">
        <f t="array" ref="R20">_xll.BDP($C20&amp;" Equity","EST_PE_NXT_YR")*(T20/S20)</f>
        <v>22.148394241417499</v>
      </c>
      <c r="S20" s="35" cm="1">
        <f t="array" ref="S20">_xll.BDP(C20&amp;" Equity","LAST_PRICE")</f>
        <v>76.849999999999994</v>
      </c>
      <c r="T20" s="52" cm="1">
        <f t="array" ref="T20">_xll.BDP(B20&amp;" Equity","OPT_STRIKE_PX")</f>
        <v>100</v>
      </c>
      <c r="U20" s="39">
        <f>T20/S20-1</f>
        <v>0.30123617436564754</v>
      </c>
      <c r="V20" s="36" cm="1">
        <f t="array" ref="V20">_xll.BDP($B20&amp;" Equity","ivol_mid")</f>
        <v>27.132449999999999</v>
      </c>
      <c r="W20" s="37" cm="1">
        <f t="array" ref="W20">_xll.BDP(B20&amp;" Equity","DELTA_MID_RT")</f>
        <v>8.4348201751708984E-2</v>
      </c>
      <c r="X20" s="47">
        <f>Y20/'Master P&amp;L'!$AE$5</f>
        <v>-1.3672208370551665E-4</v>
      </c>
      <c r="Y20" s="15">
        <f>IF(G20="Sell", S20*W20*-H20*O20/N20, S20*W20*H20*O20/N20)</f>
        <v>-324107.96523094177</v>
      </c>
      <c r="Z20" s="15" cm="1">
        <f t="array" ref="Z20">_xll.BDP($B20&amp;" Equity","opt_theta")*H20*O20/N20</f>
        <v>-339.15000000000003</v>
      </c>
      <c r="AA20" s="18" cm="1">
        <f t="array" ref="AA20">_xll.BDP($B20&amp;" Equity","opt_theta")/I20</f>
        <v>-1.8332432432432433E-2</v>
      </c>
      <c r="AB20" s="35" t="str" cm="1">
        <f t="array" ref="AB20">_xll.BDP($C20&amp;" Equity","EXPECTED_REPORT_DT")</f>
        <v>14/05/2026</v>
      </c>
      <c r="AC20" s="15">
        <f>S20*H20*O20/N20</f>
        <v>3842500</v>
      </c>
      <c r="AD20" s="18">
        <f>AC20/'Master P&amp;L'!$AE$5</f>
        <v>1.6209247010147019E-3</v>
      </c>
      <c r="AE20" t="str">
        <f>B20  &amp; " - Buy to open " &amp;  "-" &amp; H20 &amp;"x"</f>
        <v>CSCO US 07/17/26 C100 - Buy to open -500x</v>
      </c>
      <c r="AH20">
        <v>37.35</v>
      </c>
      <c r="AI20">
        <v>36.799999999999997</v>
      </c>
      <c r="AJ20">
        <f>AH20-AI20</f>
        <v>0.55000000000000426</v>
      </c>
      <c r="AK20">
        <v>15</v>
      </c>
      <c r="AL20" s="1">
        <v>20</v>
      </c>
    </row>
    <row r="21" spans="1:38" outlineLevel="1">
      <c r="H21" s="99" t="s">
        <v>64</v>
      </c>
      <c r="I21" s="101">
        <f>I19-I20</f>
        <v>0.56999999999999995</v>
      </c>
      <c r="J21" s="99" t="s">
        <v>192</v>
      </c>
      <c r="K21" s="100">
        <f>K20/L19</f>
        <v>0.39361702127659576</v>
      </c>
      <c r="P21" s="99" t="s">
        <v>193</v>
      </c>
      <c r="Q21" s="106">
        <f>Q19+Q20</f>
        <v>0.12022473384233963</v>
      </c>
      <c r="S21" s="99" t="s">
        <v>194</v>
      </c>
      <c r="T21" s="101">
        <f>T20-T19</f>
        <v>5</v>
      </c>
      <c r="W21" s="99" t="s">
        <v>195</v>
      </c>
      <c r="X21" s="120">
        <f>X19+X20</f>
        <v>6.7986297813934425E-5</v>
      </c>
      <c r="Y21" s="13">
        <f>Y19+Y20</f>
        <v>161165.6292155385</v>
      </c>
      <c r="AC21" s="99" t="s">
        <v>172</v>
      </c>
      <c r="AD21" s="102">
        <f>AD19</f>
        <v>1.6209247010147019E-3</v>
      </c>
      <c r="AK21">
        <f>$AJ$20/AK19</f>
        <v>3.6666666666666951E-2</v>
      </c>
      <c r="AL21">
        <f>$AJ$20/AL19</f>
        <v>2.7500000000000212E-2</v>
      </c>
    </row>
    <row r="22" spans="1:38" outlineLevel="1">
      <c r="H22" s="99" t="s">
        <v>196</v>
      </c>
      <c r="I22" s="101">
        <f>(T21-I21)/I21</f>
        <v>7.7719298245614032</v>
      </c>
      <c r="J22" s="99" t="s">
        <v>90</v>
      </c>
      <c r="K22" s="178">
        <f>AVERAGE(K19:L19)-AVERAGE(K20:L20)</f>
        <v>0.26</v>
      </c>
      <c r="P22" s="127">
        <f>P19+P20</f>
        <v>28500</v>
      </c>
      <c r="Q22" s="106"/>
      <c r="S22" s="99"/>
      <c r="T22" s="101"/>
      <c r="W22" s="99"/>
      <c r="X22" s="120"/>
      <c r="Y22" s="3">
        <f>Y21/S19</f>
        <v>2097.1454679965973</v>
      </c>
      <c r="AC22" s="99"/>
      <c r="AD22" s="102"/>
    </row>
    <row r="23" spans="1:38" outlineLevel="1">
      <c r="I23" s="63">
        <f>I20*2</f>
        <v>0.74</v>
      </c>
      <c r="K23" s="135">
        <f>K19-K20</f>
        <v>0.19000000000000006</v>
      </c>
      <c r="L23" s="135">
        <f>L19-L20</f>
        <v>0.32999999999999996</v>
      </c>
      <c r="P23" s="39">
        <f>P22/Y21</f>
        <v>0.17683671226130282</v>
      </c>
      <c r="AG23" s="135"/>
      <c r="AH23" s="135"/>
      <c r="AJ23">
        <v>165</v>
      </c>
      <c r="AK23">
        <v>7</v>
      </c>
      <c r="AL23" s="1">
        <v>8</v>
      </c>
    </row>
    <row r="24" spans="1:38" outlineLevel="1">
      <c r="A24">
        <v>285</v>
      </c>
      <c r="H24" s="13"/>
      <c r="K24" s="192">
        <v>8.4</v>
      </c>
      <c r="L24" s="192"/>
      <c r="Q24" s="63">
        <f>Q21-Q15</f>
        <v>-0.35434658395636948</v>
      </c>
      <c r="S24">
        <v>181</v>
      </c>
      <c r="W24" s="49"/>
      <c r="AK24">
        <f>$AJ$23/AK23</f>
        <v>23.571428571428573</v>
      </c>
      <c r="AL24">
        <f>$AJ$23/AL23</f>
        <v>20.625</v>
      </c>
    </row>
    <row r="25" spans="1:38" outlineLevel="1">
      <c r="A25">
        <v>285</v>
      </c>
      <c r="H25" s="13"/>
      <c r="I25" t="e">
        <f>#REF!/#REF!</f>
        <v>#REF!</v>
      </c>
      <c r="K25" s="192"/>
      <c r="L25" s="192"/>
      <c r="W25" s="49"/>
    </row>
    <row r="26" spans="1:38" s="58" customFormat="1">
      <c r="O26" s="133"/>
      <c r="X26" s="124"/>
      <c r="AL26" s="14"/>
    </row>
    <row r="27" spans="1:38">
      <c r="K27" s="63">
        <f>K30*2+K31</f>
        <v>0.03</v>
      </c>
      <c r="L27" s="63">
        <f>L30*2+L31</f>
        <v>0.06</v>
      </c>
    </row>
    <row r="28" spans="1:38">
      <c r="A28" s="98" t="s">
        <v>1038</v>
      </c>
      <c r="B28" s="98"/>
      <c r="K28" s="63"/>
      <c r="L28" s="63"/>
      <c r="P28" s="3">
        <f>P30+P31</f>
        <v>1000</v>
      </c>
      <c r="Q28" s="57"/>
    </row>
    <row r="29" spans="1:38">
      <c r="H29">
        <v>1</v>
      </c>
      <c r="I29" s="63">
        <f>I30-I31</f>
        <v>0.01</v>
      </c>
    </row>
    <row r="30" spans="1:38" outlineLevel="1">
      <c r="A30" s="209">
        <v>4.3</v>
      </c>
      <c r="B30" t="s">
        <v>1103</v>
      </c>
      <c r="C30" t="str" cm="1">
        <f t="array" ref="C30">_xll.BDP(B30&amp;" Equity","OPT_UNDL_TICKER")</f>
        <v>QQQ US</v>
      </c>
      <c r="D30" t="str" cm="1">
        <f t="array" ref="D30">_xll.BDP($B30&amp;" Index","mifid_Maturity_date")</f>
        <v>12/02/2026</v>
      </c>
      <c r="E30" t="str" cm="1">
        <f t="array" ref="E30">_xll.BDP($B30&amp;" Index","opt_days_expire")</f>
        <v>#N/A N/A</v>
      </c>
      <c r="F30" t="str" cm="1">
        <f t="array" ref="F30">_xll.BDP(B30&amp;" Equity","QUOTED_CURRENCY_REALTIME")</f>
        <v>USD</v>
      </c>
      <c r="G30" s="103" t="s">
        <v>190</v>
      </c>
      <c r="H30" s="95">
        <v>1000</v>
      </c>
      <c r="I30" s="96">
        <f>IF(G30="Buy",L30,K30)</f>
        <v>0.02</v>
      </c>
      <c r="J30" s="18">
        <f>I30/S30</f>
        <v>3.322700691121744E-5</v>
      </c>
      <c r="K30" s="35" cm="1">
        <f t="array" ref="K30">_xll.BDP($B30&amp;" Equity","bid")</f>
        <v>0.01</v>
      </c>
      <c r="L30" s="35" cm="1">
        <f t="array" ref="L30">_xll.BDP($B30&amp;" Equity","ask")</f>
        <v>0.02</v>
      </c>
      <c r="M30" s="39">
        <f>(L30/K30-1)</f>
        <v>1</v>
      </c>
      <c r="N30" s="35" cm="1">
        <f t="array" ref="N30">_xll.BDP(F30&amp;" Curncy","PX_LAST")</f>
        <v>1</v>
      </c>
      <c r="O30" s="132" cm="1">
        <f t="array" ref="O30">_xll.BDP(B30&amp;" Equity","OPT_MULTIPLIER")</f>
        <v>100</v>
      </c>
      <c r="P30" s="15">
        <f>IF(G30="Buy",((I30/N30)*H30*O30),((I30/N30)*-H30*O30))</f>
        <v>2000</v>
      </c>
      <c r="Q30" s="57">
        <f>P30/'Master P&amp;L'!$AD$5*10000</f>
        <v>8.4368234275326061E-3</v>
      </c>
      <c r="R30" s="36" t="e" cm="1">
        <f t="array" ref="R30">_xll.BDP($C30&amp;" Equity","EST_PE_NXT_YR")*(T30/S30)</f>
        <v>#VALUE!</v>
      </c>
      <c r="S30" s="35" cm="1">
        <f t="array" ref="S30">_xll.BDP(C30&amp;" Equity","LAST_PRICE")</f>
        <v>601.91999999999996</v>
      </c>
      <c r="T30" s="52" cm="1">
        <f t="array" ref="T30">_xll.BDP(B30&amp;" Equity","OPT_STRIKE_PX")</f>
        <v>599</v>
      </c>
      <c r="U30" s="39">
        <f>T30/S30-1</f>
        <v>-4.8511430090376617E-3</v>
      </c>
      <c r="V30" s="36" cm="1">
        <f t="array" ref="V30">_xll.BDP($B30&amp;" Equity","ivol_mid")</f>
        <v>68.566339999999997</v>
      </c>
      <c r="W30" s="37" cm="1">
        <f t="array" ref="W30">_xll.BDP(B30&amp;" Equity","DELTA_MID_RT")</f>
        <v>-2.3706004023551941E-2</v>
      </c>
      <c r="X30" s="284">
        <f>Y30/'Master P&amp;L'!$AE$5</f>
        <v>-6.0193014271039881E-4</v>
      </c>
      <c r="Y30" s="15">
        <f>IF(G30="Sell", S30*W30*-H30*O30/N30, S30*W30*H30*O30/N30)</f>
        <v>-1426911.7941856382</v>
      </c>
      <c r="Z30" s="15" cm="1">
        <f t="array" ref="Z30">_xll.BDP($B30&amp;" Equity","opt_theta")*H30*O30/N30</f>
        <v>0</v>
      </c>
      <c r="AA30" s="18" cm="1">
        <f t="array" ref="AA30">_xll.BDP($B30&amp;" Equity","opt_theta")/I30</f>
        <v>0</v>
      </c>
      <c r="AB30" s="35" t="str" cm="1">
        <f t="array" ref="AB30">_xll.BDP($C30&amp;" Equity","EXPECTED_REPORT_DT")</f>
        <v>#N/A N/A</v>
      </c>
      <c r="AC30" s="15">
        <f>S30*H30*O30/N30</f>
        <v>60192000</v>
      </c>
      <c r="AD30" s="47">
        <f>AC30/'Master P&amp;L'!$AE$5</f>
        <v>2.5391463787502129E-2</v>
      </c>
      <c r="AE30" t="str">
        <f>B30&amp;" -&gt; Buy to open "&amp;H30&amp;"x"</f>
        <v>QQQ US 02/12/26 P599 -&gt; Buy to open 1000x</v>
      </c>
      <c r="AJ30" t="s">
        <v>198</v>
      </c>
    </row>
    <row r="31" spans="1:38" outlineLevel="1">
      <c r="A31" s="209">
        <v>2.0499999999999998</v>
      </c>
      <c r="B31" t="s">
        <v>1104</v>
      </c>
      <c r="C31" t="str" cm="1">
        <f t="array" ref="C31">_xll.BDP(B31&amp;" Equity","OPT_UNDL_TICKER")</f>
        <v>QQQ US</v>
      </c>
      <c r="D31" t="str" cm="1">
        <f t="array" ref="D31">_xll.BDP($B31&amp;" Index","mifid_Maturity_date")</f>
        <v>12/02/2026</v>
      </c>
      <c r="E31" t="str" cm="1">
        <f t="array" ref="E31">_xll.BDP($B31&amp;" Index","opt_days_expire")</f>
        <v>#N/A N/A</v>
      </c>
      <c r="F31" t="str" cm="1">
        <f t="array" ref="F31">_xll.BDP(B31&amp;" Equity","QUOTED_CURRENCY_REALTIME")</f>
        <v>USD</v>
      </c>
      <c r="G31" s="103" t="s">
        <v>191</v>
      </c>
      <c r="H31" s="95">
        <f>H30</f>
        <v>1000</v>
      </c>
      <c r="I31" s="96">
        <f>IF(G31="Buy",L31,K31)</f>
        <v>0.01</v>
      </c>
      <c r="J31" s="18">
        <f>I31/S31</f>
        <v>1.661350345560872E-5</v>
      </c>
      <c r="K31" s="35" cm="1">
        <f t="array" ref="K31">_xll.BDP($B31&amp;" Equity","bid")</f>
        <v>0.01</v>
      </c>
      <c r="L31" s="35" cm="1">
        <f t="array" ref="L31">_xll.BDP($B31&amp;" Equity","ask")</f>
        <v>0.02</v>
      </c>
      <c r="M31" s="39">
        <f>(L31/K31-1)</f>
        <v>1</v>
      </c>
      <c r="N31" s="35" cm="1">
        <f t="array" ref="N31">_xll.BDP(F31&amp;" Curncy","PX_LAST")</f>
        <v>1</v>
      </c>
      <c r="O31" s="132" cm="1">
        <f t="array" ref="O31">_xll.BDP(B31&amp;" Equity","OPT_MULTIPLIER")</f>
        <v>100</v>
      </c>
      <c r="P31" s="15">
        <f>IF(G31="Buy",((I31/N31)*H31*O31),((I31/N31)*-H31*O31))</f>
        <v>-1000</v>
      </c>
      <c r="Q31" s="57">
        <f>P31/'Master P&amp;L'!$AD$5*10000</f>
        <v>-4.218411713766303E-3</v>
      </c>
      <c r="R31" s="36" t="e" cm="1">
        <f t="array" ref="R31">_xll.BDP($C31&amp;" Equity","EST_PE_NXT_YR")*(T31/S31)</f>
        <v>#VALUE!</v>
      </c>
      <c r="S31" s="35" cm="1">
        <f t="array" ref="S31">_xll.BDP(C31&amp;" Equity","LAST_PRICE")</f>
        <v>601.91999999999996</v>
      </c>
      <c r="T31" s="52" cm="1">
        <f t="array" ref="T31">_xll.BDP(B31&amp;" Equity","OPT_STRIKE_PX")</f>
        <v>598</v>
      </c>
      <c r="U31" s="39">
        <f>T31/S31-1</f>
        <v>-6.5124933545985808E-3</v>
      </c>
      <c r="V31" s="36" cm="1">
        <f t="array" ref="V31">_xll.BDP(B31&amp;" Equity","ivol_mid")</f>
        <v>110.754</v>
      </c>
      <c r="W31" s="37" cm="1">
        <f t="array" ref="W31">_xll.BDP(B31&amp;" Equity","DELTA_MID_RT")</f>
        <v>-1.5740003436803818E-2</v>
      </c>
      <c r="X31" s="284">
        <f>Y31/'Master P&amp;L'!$AE$5</f>
        <v>3.9966172728076322E-4</v>
      </c>
      <c r="Y31" s="15">
        <f>IF(G31="Sell", S31*W31*-H31*O31/N31, S31*W31*H31*O31/N31)</f>
        <v>947422.2868680954</v>
      </c>
      <c r="Z31" s="15" cm="1">
        <f t="array" ref="Z31">_xll.BDP($B31&amp;" Equity","opt_theta")*H31*O31/N31</f>
        <v>0</v>
      </c>
      <c r="AA31" s="18" cm="1">
        <f t="array" ref="AA31">_xll.BDP($B31&amp;" Equity","opt_theta")/I31</f>
        <v>0</v>
      </c>
      <c r="AB31" s="35" t="str" cm="1">
        <f t="array" ref="AB31">_xll.BDP($C31&amp;" Equity","EXPECTED_REPORT_DT")</f>
        <v>#N/A N/A</v>
      </c>
      <c r="AC31" s="15">
        <f>S31*H31*O31/N31</f>
        <v>60192000</v>
      </c>
      <c r="AD31" s="18">
        <f>AC31/'Master P&amp;L'!$AE$5</f>
        <v>2.5391463787502129E-2</v>
      </c>
      <c r="AE31" t="str">
        <f>B31  &amp; " -&gt; Sell to open " &amp;   H31 &amp;"x"</f>
        <v>QQQ US 02/12/26 P598 -&gt; Sell to open 1000x</v>
      </c>
      <c r="AJ31" t="s">
        <v>199</v>
      </c>
    </row>
    <row r="32" spans="1:38" outlineLevel="1">
      <c r="A32" s="205">
        <f>A30-A31</f>
        <v>2.25</v>
      </c>
      <c r="H32" s="99" t="s">
        <v>64</v>
      </c>
      <c r="I32" s="101">
        <f>I30-I31</f>
        <v>0.01</v>
      </c>
      <c r="J32" s="99" t="s">
        <v>192</v>
      </c>
      <c r="K32" s="100">
        <f>K31/L30</f>
        <v>0.5</v>
      </c>
      <c r="L32" s="63"/>
      <c r="P32" s="99" t="s">
        <v>193</v>
      </c>
      <c r="Q32" s="106">
        <f>Q30+Q31</f>
        <v>4.218411713766303E-3</v>
      </c>
      <c r="S32" s="99" t="s">
        <v>194</v>
      </c>
      <c r="T32" s="101">
        <f>T30-T31</f>
        <v>1</v>
      </c>
      <c r="W32" s="99" t="s">
        <v>195</v>
      </c>
      <c r="X32" s="342">
        <f>X30+X31</f>
        <v>-2.0226841542963559E-4</v>
      </c>
      <c r="Y32" s="13">
        <f>Y30+Y31</f>
        <v>-479489.5073175428</v>
      </c>
      <c r="AC32" s="99" t="s">
        <v>172</v>
      </c>
      <c r="AD32" s="120">
        <f>AD30</f>
        <v>2.5391463787502129E-2</v>
      </c>
    </row>
    <row r="33" spans="1:36" outlineLevel="1">
      <c r="A33" s="205"/>
      <c r="H33" s="99" t="s">
        <v>196</v>
      </c>
      <c r="I33" s="101">
        <f>(T32-I32)/I32</f>
        <v>99</v>
      </c>
      <c r="J33" s="99" t="s">
        <v>90</v>
      </c>
      <c r="K33" s="107">
        <f>AVERAGE(K30:L30)-AVERAGE(K31:L31)</f>
        <v>0</v>
      </c>
      <c r="L33" s="63"/>
      <c r="P33" s="127">
        <f>P30+P31</f>
        <v>1000</v>
      </c>
      <c r="Q33" s="106"/>
      <c r="S33" s="99"/>
      <c r="T33" s="101"/>
      <c r="W33" s="99"/>
      <c r="X33" s="120"/>
      <c r="Z33" s="3">
        <f>Y32/S30</f>
        <v>-796.60005867481198</v>
      </c>
      <c r="AC33" s="99"/>
      <c r="AD33" s="102"/>
    </row>
    <row r="34" spans="1:36" outlineLevel="1"/>
    <row r="35" spans="1:36" outlineLevel="1">
      <c r="H35">
        <v>1</v>
      </c>
      <c r="I35" s="63"/>
      <c r="J35" s="42" t="e">
        <f>J36-J37</f>
        <v>#VALUE!</v>
      </c>
      <c r="L35" s="63"/>
      <c r="P35" s="13" t="e">
        <f>P36+P37</f>
        <v>#VALUE!</v>
      </c>
      <c r="V35" s="529"/>
    </row>
    <row r="36" spans="1:36" outlineLevel="1">
      <c r="A36" s="97" t="s">
        <v>197</v>
      </c>
      <c r="B36" t="s">
        <v>1101</v>
      </c>
      <c r="C36" t="str" cm="1">
        <f t="array" ref="C36">_xll.BDP(B36&amp;" Equity","OPT_UNDL_TICKER")</f>
        <v>QQQ US</v>
      </c>
      <c r="D36" t="str" cm="1">
        <f t="array" ref="D36">_xll.BDP($B36&amp;" Index","mifid_Maturity_date")</f>
        <v>13/02/2026</v>
      </c>
      <c r="E36" cm="1">
        <f t="array" ref="E36">_xll.BDP($B36&amp;" Index","opt_days_expire")</f>
        <v>0</v>
      </c>
      <c r="F36" t="str" cm="1">
        <f t="array" ref="F36">_xll.BDP(B36&amp;" Equity","QUOTED_CURRENCY_REALTIME")</f>
        <v>USD</v>
      </c>
      <c r="G36" s="103" t="s">
        <v>190</v>
      </c>
      <c r="H36" s="95">
        <v>500</v>
      </c>
      <c r="I36" s="96">
        <f>IF(G36="Buy",L36,K36)</f>
        <v>0.01</v>
      </c>
      <c r="J36" s="18">
        <f>I36/S36</f>
        <v>1.661350345560872E-5</v>
      </c>
      <c r="K36" s="35" t="str" cm="1">
        <f t="array" ref="K36">_xll.BDP($B36&amp;" Equity","bid")</f>
        <v>#N/A N/A</v>
      </c>
      <c r="L36" s="35" cm="1">
        <f t="array" ref="L36">_xll.BDP($B36&amp;" Equity","ask")</f>
        <v>0.01</v>
      </c>
      <c r="M36" s="39" t="e">
        <f>(L36/K36-1)</f>
        <v>#VALUE!</v>
      </c>
      <c r="N36" s="35" cm="1">
        <f t="array" ref="N36">_xll.BDP(F36&amp;" Curncy","PX_LAST")</f>
        <v>1</v>
      </c>
      <c r="O36" s="132" cm="1">
        <f t="array" ref="O36">_xll.BDP(B36&amp;" Equity","OPT_MULTIPLIER")</f>
        <v>100</v>
      </c>
      <c r="P36" s="15">
        <f>IF(G36="Buy",((I36/N36)*H36*O36),((I36/N36)*-H36*O36))</f>
        <v>500</v>
      </c>
      <c r="Q36" s="57">
        <f>P36/'Master P&amp;L'!$AD$5*10000</f>
        <v>2.1092058568831515E-3</v>
      </c>
      <c r="R36" s="36" t="e" cm="1">
        <f t="array" ref="R36">_xll.BDP($C36&amp;" Equity","EST_PE_NXT_YR")*(T36/S36)</f>
        <v>#VALUE!</v>
      </c>
      <c r="S36" s="35" cm="1">
        <f t="array" ref="S36">_xll.BDP(C36&amp;" Equity","LAST_PRICE")</f>
        <v>601.91999999999996</v>
      </c>
      <c r="T36" s="52" cm="1">
        <f t="array" ref="T36">_xll.BDP(B36&amp;" Equity","OPT_STRIKE_PX")</f>
        <v>595</v>
      </c>
      <c r="U36" s="39">
        <f>T36/S36-1</f>
        <v>-1.1496544391281116E-2</v>
      </c>
      <c r="V36" s="36" cm="1">
        <f t="array" ref="V36">_xll.BDP($B36&amp;" Equity","ivol_mid")</f>
        <v>219.10169999999999</v>
      </c>
      <c r="W36" s="37" cm="1">
        <f t="array" ref="W36">_xll.BDP(B36&amp;" Equity","DELTA_MID_RT")</f>
        <v>-6.4561213366687298E-3</v>
      </c>
      <c r="X36" s="47">
        <f>Y36/'Master P&amp;L'!$AE$5</f>
        <v>-8.1965185563871932E-5</v>
      </c>
      <c r="Y36" s="15">
        <f>IF(G36="Sell", S36*W36*-H36*O36/N36, S36*W36*H36*O36/N36)</f>
        <v>-194303.42774838206</v>
      </c>
      <c r="Z36" s="15" cm="1">
        <f t="array" ref="Z36">_xll.BDP($B36&amp;" Equity","opt_theta")*H36*O36/N36</f>
        <v>0</v>
      </c>
      <c r="AA36" s="18" cm="1">
        <f t="array" ref="AA36">_xll.BDP($B36&amp;" Equity","opt_theta")/I36</f>
        <v>0</v>
      </c>
      <c r="AB36" s="35" t="str" cm="1">
        <f t="array" ref="AB36">_xll.BDP($C36&amp;" Equity","EXPECTED_REPORT_DT")</f>
        <v>#N/A N/A</v>
      </c>
      <c r="AC36" s="15">
        <f>S36*H36*O36/N36</f>
        <v>30096000</v>
      </c>
      <c r="AD36" s="47">
        <f>AC36/'Master P&amp;L'!$AE$5</f>
        <v>1.2695731893751065E-2</v>
      </c>
      <c r="AE36" t="str">
        <f>B36&amp;" -&gt; Buy to open "&amp;H36&amp;"x"</f>
        <v>QQQ US 02/13/26 P595 -&gt; Buy to open 500x</v>
      </c>
      <c r="AJ36" t="s">
        <v>198</v>
      </c>
    </row>
    <row r="37" spans="1:36" outlineLevel="1">
      <c r="A37" s="97" t="s">
        <v>197</v>
      </c>
      <c r="B37" t="s">
        <v>1102</v>
      </c>
      <c r="C37" t="str" cm="1">
        <f t="array" ref="C37">_xll.BDP(B37&amp;" Equity","OPT_UNDL_TICKER")</f>
        <v>QQQ US</v>
      </c>
      <c r="D37" t="str" cm="1">
        <f t="array" ref="D37">_xll.BDP($B37&amp;" Index","mifid_Maturity_date")</f>
        <v>13/02/2026</v>
      </c>
      <c r="E37" cm="1">
        <f t="array" ref="E37">_xll.BDP($B37&amp;" Index","opt_days_expire")</f>
        <v>0</v>
      </c>
      <c r="F37" t="str" cm="1">
        <f t="array" ref="F37">_xll.BDP(B37&amp;" Equity","QUOTED_CURRENCY_REALTIME")</f>
        <v>USD</v>
      </c>
      <c r="G37" s="103" t="s">
        <v>191</v>
      </c>
      <c r="H37" s="95">
        <f>H36</f>
        <v>500</v>
      </c>
      <c r="I37" s="96" t="str">
        <f>IF(G37="Buy",L37,K37)</f>
        <v>#N/A N/A</v>
      </c>
      <c r="J37" s="18" t="e">
        <f>I37/S37</f>
        <v>#VALUE!</v>
      </c>
      <c r="K37" s="35" t="str" cm="1">
        <f t="array" ref="K37">_xll.BDP($B37&amp;" Equity","bid")</f>
        <v>#N/A N/A</v>
      </c>
      <c r="L37" s="35" cm="1">
        <f t="array" ref="L37">_xll.BDP($B37&amp;" Equity","ask")</f>
        <v>0.01</v>
      </c>
      <c r="M37" s="39" t="e">
        <f>(L37/K37-1)</f>
        <v>#VALUE!</v>
      </c>
      <c r="N37" s="35" cm="1">
        <f t="array" ref="N37">_xll.BDP(F37&amp;" Curncy","PX_LAST")</f>
        <v>1</v>
      </c>
      <c r="O37" s="132" cm="1">
        <f t="array" ref="O37">_xll.BDP(B37&amp;" Equity","OPT_MULTIPLIER")</f>
        <v>100</v>
      </c>
      <c r="P37" s="15" t="e">
        <f>IF(G37="Buy",((I37/N37)*H37*O37),((I37/N37)*-H37*O37))</f>
        <v>#VALUE!</v>
      </c>
      <c r="Q37" s="57" t="e">
        <f>P37/'Master P&amp;L'!$AD$5*10000</f>
        <v>#VALUE!</v>
      </c>
      <c r="R37" s="36" t="e" cm="1">
        <f t="array" ref="R37">_xll.BDP($C37&amp;" Equity","EST_PE_NXT_YR")*(T37/S37)</f>
        <v>#VALUE!</v>
      </c>
      <c r="S37" s="35" cm="1">
        <f t="array" ref="S37">_xll.BDP(C37&amp;" Equity","LAST_PRICE")</f>
        <v>601.91999999999996</v>
      </c>
      <c r="T37" s="52" cm="1">
        <f t="array" ref="T37">_xll.BDP(B37&amp;" Equity","OPT_STRIKE_PX")</f>
        <v>590</v>
      </c>
      <c r="U37" s="39">
        <f>T37/S37-1</f>
        <v>-1.9803296119085489E-2</v>
      </c>
      <c r="V37" s="36" cm="1">
        <f t="array" ref="V37">_xll.BDP(B37&amp;" Equity","ivol_mid")</f>
        <v>347.8297</v>
      </c>
      <c r="W37" s="37" cm="1">
        <f t="array" ref="W37">_xll.BDP(B37&amp;" Equity","DELTA_MID_RT")</f>
        <v>-3.9813593029975891E-3</v>
      </c>
      <c r="X37" s="47">
        <f>Y37/'Master P&amp;L'!$AE$5</f>
        <v>5.0546270283548987E-5</v>
      </c>
      <c r="Y37" s="15">
        <f>IF(G37="Sell", S37*W37*-H37*O37/N37, S37*W37*H37*O37/N37)</f>
        <v>119822.98958301541</v>
      </c>
      <c r="Z37" s="15" cm="1">
        <f t="array" ref="Z37">_xll.BDP($B37&amp;" Equity","opt_theta")*H37*O37/N37</f>
        <v>0</v>
      </c>
      <c r="AA37" s="18" t="e" cm="1">
        <f t="array" ref="AA37">_xll.BDP($B37&amp;" Equity","opt_theta")/I37</f>
        <v>#VALUE!</v>
      </c>
      <c r="AB37" s="35" t="str" cm="1">
        <f t="array" ref="AB37">_xll.BDP($C37&amp;" Equity","EXPECTED_REPORT_DT")</f>
        <v>#N/A N/A</v>
      </c>
      <c r="AC37" s="15">
        <f>S37*H37*O37/N37</f>
        <v>30096000</v>
      </c>
      <c r="AD37" s="18">
        <f>AC37/'Master P&amp;L'!$AE$5</f>
        <v>1.2695731893751065E-2</v>
      </c>
      <c r="AE37" t="str">
        <f>B37  &amp; " -&gt; Sell to open " &amp;   H37 &amp;"x"</f>
        <v>QQQ US 02/13/26 P590 -&gt; Sell to open 500x</v>
      </c>
      <c r="AJ37" t="s">
        <v>199</v>
      </c>
    </row>
    <row r="38" spans="1:36" outlineLevel="1">
      <c r="G38" t="e">
        <f>I38/K39</f>
        <v>#VALUE!</v>
      </c>
      <c r="H38" s="99" t="s">
        <v>64</v>
      </c>
      <c r="I38" s="101" t="e">
        <f>I36-I37</f>
        <v>#VALUE!</v>
      </c>
      <c r="J38" s="99" t="s">
        <v>192</v>
      </c>
      <c r="K38" s="100" t="e">
        <f>K37/L36</f>
        <v>#VALUE!</v>
      </c>
      <c r="L38" s="63"/>
      <c r="P38" s="99" t="s">
        <v>193</v>
      </c>
      <c r="Q38" s="106" t="e">
        <f>Q36+Q37</f>
        <v>#VALUE!</v>
      </c>
      <c r="S38" s="99" t="s">
        <v>194</v>
      </c>
      <c r="T38" s="101">
        <f>T36-T37</f>
        <v>5</v>
      </c>
      <c r="W38" s="99" t="s">
        <v>195</v>
      </c>
      <c r="X38" s="120">
        <f>X36+X37</f>
        <v>-3.1418915280322944E-5</v>
      </c>
      <c r="Y38" s="13"/>
      <c r="AC38" s="99" t="s">
        <v>172</v>
      </c>
      <c r="AD38" s="120">
        <f>AD36</f>
        <v>1.2695731893751065E-2</v>
      </c>
    </row>
    <row r="39" spans="1:36" outlineLevel="1">
      <c r="H39" s="99" t="s">
        <v>196</v>
      </c>
      <c r="I39" s="101" t="e">
        <f>(T38-I38)/I38</f>
        <v>#VALUE!</v>
      </c>
      <c r="J39" s="99" t="s">
        <v>90</v>
      </c>
      <c r="K39" s="107">
        <f>AVERAGE(K36:L36)-AVERAGE(K37:L37)</f>
        <v>0</v>
      </c>
      <c r="L39" s="63"/>
      <c r="P39" s="99"/>
      <c r="Q39" s="106"/>
      <c r="S39" s="99"/>
      <c r="T39" s="101"/>
      <c r="W39" s="99"/>
      <c r="X39" s="120"/>
      <c r="Y39" s="13">
        <f>Y36+Y37</f>
        <v>-74480.43816536665</v>
      </c>
      <c r="Z39" s="3"/>
      <c r="AC39" s="99"/>
      <c r="AD39" s="102"/>
    </row>
    <row r="40" spans="1:36" outlineLevel="1">
      <c r="K40" s="63">
        <f>K39-K33</f>
        <v>0</v>
      </c>
      <c r="Q40" s="63"/>
      <c r="Y40" s="63">
        <f>Y39/S36</f>
        <v>-123.73810168355705</v>
      </c>
    </row>
    <row r="41" spans="1:36" outlineLevel="1">
      <c r="I41" s="63" t="e">
        <f>I32-I38</f>
        <v>#VALUE!</v>
      </c>
      <c r="K41" s="63">
        <f>K33-K39</f>
        <v>0</v>
      </c>
      <c r="Y41" s="63"/>
    </row>
    <row r="42" spans="1:36" outlineLevel="1">
      <c r="H42">
        <v>1</v>
      </c>
      <c r="I42" s="63"/>
      <c r="L42" s="63" t="e">
        <f>AVERAGE(K43:L43)</f>
        <v>#DIV/0!</v>
      </c>
      <c r="T42" s="63" t="e">
        <f>T43-S43</f>
        <v>#VALUE!</v>
      </c>
    </row>
    <row r="43" spans="1:36" outlineLevel="1">
      <c r="A43" s="97" t="s">
        <v>197</v>
      </c>
      <c r="C43" t="str" cm="1">
        <f t="array" ref="C43">_xll.BDP(B43&amp;" Equity","OPT_UNDL_TICKER")</f>
        <v>#N/A Invalid Security</v>
      </c>
      <c r="D43" t="str" cm="1">
        <f t="array" ref="D43">_xll.BDP($B43&amp;" Index","mifid_Maturity_date")</f>
        <v>#N/A Invalid Security</v>
      </c>
      <c r="E43" t="str" cm="1">
        <f t="array" ref="E43">_xll.BDP($B43&amp;" Index","opt_days_expire")</f>
        <v>#N/A Invalid Security</v>
      </c>
      <c r="F43" t="str" cm="1">
        <f t="array" ref="F43">_xll.BDP(B43&amp;" Equity","QUOTED_CURRENCY_REALTIME")</f>
        <v>#N/A Invalid Security</v>
      </c>
      <c r="G43" s="103" t="s">
        <v>190</v>
      </c>
      <c r="H43" s="95">
        <v>500</v>
      </c>
      <c r="I43" s="96" t="str">
        <f>IF(G43="Buy",L43,K43)</f>
        <v>#N/A Invalid Security</v>
      </c>
      <c r="J43" s="18" t="e">
        <f>I43/S43</f>
        <v>#VALUE!</v>
      </c>
      <c r="K43" s="35" t="str" cm="1">
        <f t="array" ref="K43">_xll.BDP($B43&amp;" Equity","bid")</f>
        <v>#N/A Invalid Security</v>
      </c>
      <c r="L43" s="35" t="str" cm="1">
        <f t="array" ref="L43">_xll.BDP($B43&amp;" Equity","ask")</f>
        <v>#N/A Invalid Security</v>
      </c>
      <c r="M43" s="39" t="e">
        <f>(L43/K43-1)</f>
        <v>#VALUE!</v>
      </c>
      <c r="N43" s="35" t="str" cm="1">
        <f t="array" ref="N43">_xll.BDP(F43&amp;" Curncy","PX_LAST")</f>
        <v>#N/A Invalid Security Curncy</v>
      </c>
      <c r="O43" s="132" t="str" cm="1">
        <f t="array" ref="O43">_xll.BDP(B43&amp;" Equity","OPT_MULTIPLIER")</f>
        <v>#N/A Invalid Security</v>
      </c>
      <c r="P43" s="15" t="e">
        <f>IF(G43="Buy",((I43/N43)*H43*O43),((I43/N43)*-H43*O43))</f>
        <v>#VALUE!</v>
      </c>
      <c r="Q43" s="57" t="e">
        <f>P43/'Master P&amp;L'!$AD$5*10000</f>
        <v>#VALUE!</v>
      </c>
      <c r="R43" s="36" t="e" cm="1">
        <f t="array" ref="R43">_xll.BDP($C43&amp;" Equity","EST_PE_NXT_YR")*(T43/S43)</f>
        <v>#VALUE!</v>
      </c>
      <c r="S43" s="35" t="str" cm="1">
        <f t="array" ref="S43">_xll.BDP(C43&amp;" Equity","LAST_PRICE")</f>
        <v>#N/A Invalid Security Equity</v>
      </c>
      <c r="T43" s="52" t="str" cm="1">
        <f t="array" ref="T43">_xll.BDP(B43&amp;" Equity","OPT_STRIKE_PX")</f>
        <v>#N/A Invalid Security</v>
      </c>
      <c r="U43" s="39" t="e">
        <f>T43/S43-1</f>
        <v>#VALUE!</v>
      </c>
      <c r="V43" s="36" t="str" cm="1">
        <f t="array" ref="V43">_xll.BDP($B43&amp;" Equity","ivol_mid")</f>
        <v>#N/A Invalid Security</v>
      </c>
      <c r="W43" s="37" t="str" cm="1">
        <f t="array" ref="W43">_xll.BDP(B43&amp;" Equity","DELTA_MID_RT")</f>
        <v>#N/A Invalid Security</v>
      </c>
      <c r="X43" s="47" t="e">
        <f>Y43/'Master P&amp;L'!$AE$5</f>
        <v>#VALUE!</v>
      </c>
      <c r="Y43" s="15" t="e">
        <f>IF(G43="Sell", S43*W43*-H43*O43/N43, S43*W43*H43*O43/N43)</f>
        <v>#VALUE!</v>
      </c>
      <c r="Z43" s="15" t="e" cm="1">
        <f t="array" ref="Z43">_xll.BDP($B43&amp;" Equity","opt_theta")*H43*O43/N43</f>
        <v>#VALUE!</v>
      </c>
      <c r="AA43" s="18" t="e" cm="1">
        <f t="array" ref="AA43">_xll.BDP($B43&amp;" Equity","opt_theta")/I43</f>
        <v>#VALUE!</v>
      </c>
      <c r="AB43" s="35" t="str" cm="1">
        <f t="array" ref="AB43">_xll.BDP($C43&amp;" Equity","EXPECTED_REPORT_DT")</f>
        <v>#N/A Invalid Security Equity</v>
      </c>
      <c r="AC43" s="15" t="e">
        <f>S43*H43*O43/N43</f>
        <v>#VALUE!</v>
      </c>
      <c r="AD43" s="47" t="e">
        <f>AC43/'Master P&amp;L'!$AE$5</f>
        <v>#VALUE!</v>
      </c>
      <c r="AE43" t="str">
        <f>B43&amp;" -&gt; Buy to open "&amp;H43&amp;"x"</f>
        <v xml:space="preserve"> -&gt; Buy to open 500x</v>
      </c>
      <c r="AJ43" t="s">
        <v>198</v>
      </c>
    </row>
    <row r="44" spans="1:36" outlineLevel="1">
      <c r="A44" s="97" t="s">
        <v>197</v>
      </c>
      <c r="C44" t="str" cm="1">
        <f t="array" ref="C44">_xll.BDP(B44&amp;" Equity","OPT_UNDL_TICKER")</f>
        <v>#N/A Invalid Security</v>
      </c>
      <c r="D44" t="str" cm="1">
        <f t="array" ref="D44">_xll.BDP($B44&amp;" Index","mifid_Maturity_date")</f>
        <v>#N/A Invalid Security</v>
      </c>
      <c r="E44" t="str" cm="1">
        <f t="array" ref="E44">_xll.BDP($B44&amp;" Index","opt_days_expire")</f>
        <v>#N/A Invalid Security</v>
      </c>
      <c r="F44" t="str" cm="1">
        <f t="array" ref="F44">_xll.BDP(B44&amp;" Equity","QUOTED_CURRENCY_REALTIME")</f>
        <v>#N/A Invalid Security</v>
      </c>
      <c r="G44" s="103" t="s">
        <v>191</v>
      </c>
      <c r="H44" s="95">
        <v>150</v>
      </c>
      <c r="I44" s="96" t="str">
        <f>IF(G44="Buy",L44,K44)</f>
        <v>#N/A Invalid Security</v>
      </c>
      <c r="J44" s="18" t="e">
        <f>I44/S44</f>
        <v>#VALUE!</v>
      </c>
      <c r="K44" s="35" t="str" cm="1">
        <f t="array" ref="K44">_xll.BDP($B44&amp;" Equity","bid")</f>
        <v>#N/A Invalid Security</v>
      </c>
      <c r="L44" s="35" t="str" cm="1">
        <f t="array" ref="L44">_xll.BDP($B44&amp;" Equity","ask")</f>
        <v>#N/A Invalid Security</v>
      </c>
      <c r="M44" s="39" t="e">
        <f>(L44/K44-1)</f>
        <v>#VALUE!</v>
      </c>
      <c r="N44" s="35" t="str" cm="1">
        <f t="array" ref="N44">_xll.BDP(F44&amp;" Curncy","PX_LAST")</f>
        <v>#N/A Invalid Security Curncy</v>
      </c>
      <c r="O44" s="132" t="str" cm="1">
        <f t="array" ref="O44">_xll.BDP(B44&amp;" Equity","OPT_MULTIPLIER")</f>
        <v>#N/A Invalid Security</v>
      </c>
      <c r="P44" s="15" t="e">
        <f>IF(G44="Buy",((I44/N44)*H44*O44),((I44/N44)*-H44*O44))</f>
        <v>#VALUE!</v>
      </c>
      <c r="Q44" s="57" t="e">
        <f>P44/'Master P&amp;L'!$AD$5*10000</f>
        <v>#VALUE!</v>
      </c>
      <c r="R44" s="36" t="e" cm="1">
        <f t="array" ref="R44">_xll.BDP($C44&amp;" Equity","EST_PE_NXT_YR")*(T44/S44)</f>
        <v>#VALUE!</v>
      </c>
      <c r="S44" s="35" t="str" cm="1">
        <f t="array" ref="S44">_xll.BDP(C44&amp;" Equity","LAST_PRICE")</f>
        <v>#N/A Invalid Security Equity</v>
      </c>
      <c r="T44" s="52" t="str" cm="1">
        <f t="array" ref="T44">_xll.BDP(B44&amp;" Equity","OPT_STRIKE_PX")</f>
        <v>#N/A Invalid Security</v>
      </c>
      <c r="U44" s="39" t="e">
        <f>T44/S44-1</f>
        <v>#VALUE!</v>
      </c>
      <c r="V44" s="36" t="str" cm="1">
        <f t="array" ref="V44">_xll.BDP($B44&amp;" Equity","ivol_mid")</f>
        <v>#N/A Invalid Security</v>
      </c>
      <c r="W44" s="37" t="str" cm="1">
        <f t="array" ref="W44">_xll.BDP(B44&amp;" Equity","DELTA_MID_RT")</f>
        <v>#N/A Invalid Security</v>
      </c>
      <c r="X44" s="47" t="e">
        <f>Y44/'Master P&amp;L'!$AE$5</f>
        <v>#VALUE!</v>
      </c>
      <c r="Y44" s="15" t="e">
        <f>IF(G44="Sell", S44*W44*-H44*O44/N44, S44*W44*H44*O44/N44)</f>
        <v>#VALUE!</v>
      </c>
      <c r="Z44" s="15" t="e" cm="1">
        <f t="array" ref="Z44">_xll.BDP($B44&amp;" Equity","opt_theta")*H44*O44/N44</f>
        <v>#VALUE!</v>
      </c>
      <c r="AA44" s="18" t="e" cm="1">
        <f t="array" ref="AA44">_xll.BDP($B44&amp;" Equity","opt_theta")/I44</f>
        <v>#VALUE!</v>
      </c>
      <c r="AB44" s="35" t="str" cm="1">
        <f t="array" ref="AB44">_xll.BDP($C44&amp;" Equity","EXPECTED_REPORT_DT")</f>
        <v>#N/A Invalid Security Equity</v>
      </c>
      <c r="AC44" s="15" t="e">
        <f>S44*H44*O44/N44</f>
        <v>#VALUE!</v>
      </c>
      <c r="AD44" s="47" t="e">
        <f>AC44/'Master P&amp;L'!$AE$5</f>
        <v>#VALUE!</v>
      </c>
      <c r="AE44" t="str">
        <f>B44&amp;" -&gt; Buy to open "&amp;H44&amp;"x"</f>
        <v xml:space="preserve"> -&gt; Buy to open 150x</v>
      </c>
      <c r="AJ44" t="s">
        <v>198</v>
      </c>
    </row>
    <row r="45" spans="1:36" outlineLevel="1">
      <c r="H45" s="99" t="s">
        <v>64</v>
      </c>
      <c r="I45" s="101" t="e">
        <f>I43-I44</f>
        <v>#VALUE!</v>
      </c>
      <c r="J45" s="99" t="s">
        <v>192</v>
      </c>
      <c r="K45" s="100" t="e">
        <f>K44/L43</f>
        <v>#VALUE!</v>
      </c>
      <c r="L45" s="63"/>
      <c r="P45" s="99" t="s">
        <v>193</v>
      </c>
      <c r="Q45" s="106" t="e">
        <f>Q43+Q44</f>
        <v>#VALUE!</v>
      </c>
      <c r="S45" s="99" t="s">
        <v>194</v>
      </c>
      <c r="T45" s="101" t="e">
        <f>T43-T44</f>
        <v>#VALUE!</v>
      </c>
      <c r="W45" s="99" t="s">
        <v>195</v>
      </c>
      <c r="X45" s="120" t="e">
        <f>X43+X44</f>
        <v>#VALUE!</v>
      </c>
      <c r="Y45" s="13" t="e">
        <f>Y43+Y44</f>
        <v>#VALUE!</v>
      </c>
      <c r="AC45" s="99" t="s">
        <v>172</v>
      </c>
      <c r="AD45" s="120" t="e">
        <f>AD43</f>
        <v>#VALUE!</v>
      </c>
    </row>
    <row r="46" spans="1:36" outlineLevel="1">
      <c r="H46" s="99" t="s">
        <v>196</v>
      </c>
      <c r="I46" s="101" t="e">
        <f>(T45-I45)/I45</f>
        <v>#VALUE!</v>
      </c>
      <c r="J46" s="99" t="s">
        <v>90</v>
      </c>
      <c r="K46" s="107" t="e">
        <f>AVERAGE(K43:L43)-AVERAGE(K44:L44)</f>
        <v>#DIV/0!</v>
      </c>
      <c r="P46" s="99"/>
      <c r="Q46" s="106"/>
      <c r="S46" s="99"/>
      <c r="T46" s="101"/>
      <c r="W46" s="99"/>
      <c r="X46" s="120"/>
      <c r="Z46" s="3" t="e">
        <f>Y45/S43</f>
        <v>#VALUE!</v>
      </c>
      <c r="AC46" s="99"/>
      <c r="AD46" s="102"/>
    </row>
    <row r="47" spans="1:36" outlineLevel="1">
      <c r="D47">
        <f>23800/24600-1</f>
        <v>-3.2520325203251987E-2</v>
      </c>
    </row>
    <row r="48" spans="1:36">
      <c r="H48">
        <v>1</v>
      </c>
      <c r="I48" s="63"/>
      <c r="K48" s="63"/>
      <c r="L48" s="63"/>
      <c r="P48" s="13"/>
    </row>
    <row r="49" spans="1:38" s="58" customFormat="1">
      <c r="O49" s="133"/>
      <c r="X49" s="124"/>
      <c r="Y49" s="78"/>
      <c r="AL49" s="14"/>
    </row>
    <row r="52" spans="1:38">
      <c r="A52" s="97" t="s">
        <v>197</v>
      </c>
      <c r="B52" s="249" t="s">
        <v>563</v>
      </c>
      <c r="C52" t="str" cm="1">
        <f t="array" ref="C52">_xll.BDP(B52&amp;" Index","OPT_UNDL_TICKER")</f>
        <v>RUWZ5</v>
      </c>
      <c r="D52" t="str" cm="1">
        <f t="array" ref="D52">_xll.BDP($B52&amp;" Index","mifid_Maturity_date")</f>
        <v>19/09/2025</v>
      </c>
      <c r="E52" cm="1">
        <f t="array" ref="E52">_xll.BDP($B52&amp;" Index","opt_days_expire")</f>
        <v>-147</v>
      </c>
      <c r="F52" t="str" cm="1">
        <f t="array" ref="F52">_xll.BDP(B52&amp;" Index","QUOTED_CURRENCY_REALTIME")</f>
        <v>#N/A Real Time</v>
      </c>
      <c r="G52" s="103" t="s">
        <v>190</v>
      </c>
      <c r="H52" s="95">
        <v>175</v>
      </c>
      <c r="I52" s="96" t="str">
        <f>IF(G52="Buy",L52,K52)</f>
        <v>#N/A Real Time</v>
      </c>
      <c r="J52" s="18" t="e">
        <f>I52/S52</f>
        <v>#VALUE!</v>
      </c>
      <c r="K52" s="35" t="str" cm="1">
        <f t="array" ref="K52">_xll.BDP($B52&amp;" Index","bid")</f>
        <v>#N/A Real Time</v>
      </c>
      <c r="L52" s="35" t="str" cm="1">
        <f t="array" ref="L52">_xll.BDP($B52&amp;" Index","ask")</f>
        <v>#N/A Real Time</v>
      </c>
      <c r="M52" s="39" t="e">
        <f>(L52/K52-1)</f>
        <v>#VALUE!</v>
      </c>
      <c r="N52" s="35" t="str" cm="1">
        <f t="array" ref="N52">_xll.BDP(F52&amp;" Curncy","PX_LAST")</f>
        <v>#N/A Real Time Curncy</v>
      </c>
      <c r="O52" s="132">
        <v>50</v>
      </c>
      <c r="P52" s="15" t="e">
        <f>IF(G52="Buy",((I52/N52)*H52*O52),((I52/N52)*-H52*O52))</f>
        <v>#VALUE!</v>
      </c>
      <c r="Q52" s="57" t="e">
        <f>P52/'Master P&amp;L'!$AD$5*10000</f>
        <v>#VALUE!</v>
      </c>
      <c r="R52" s="36" t="e" cm="1">
        <f t="array" ref="R52">_xll.BDP($C52&amp;" Index","EST_PE_NXT_YR")*(T52/S52)</f>
        <v>#VALUE!</v>
      </c>
      <c r="S52" s="35" t="str" cm="1">
        <f t="array" ref="S52">_xll.BDP(C52&amp;" Index","LAST_PRICE")</f>
        <v>#N/A Real Time</v>
      </c>
      <c r="T52" s="52" cm="1">
        <f t="array" ref="T52">_xll.BDP(B52&amp;" Index","OPT_STRIKE_PX")</f>
        <v>2425</v>
      </c>
      <c r="U52" s="39" t="e">
        <f>T52/S52-1</f>
        <v>#VALUE!</v>
      </c>
      <c r="V52" s="36" t="str" cm="1">
        <f t="array" ref="V52">_xll.BDP($B52&amp;" Index","ivol_mid")</f>
        <v>#N/A Field Not Applicable</v>
      </c>
      <c r="W52" s="37" t="str" cm="1">
        <f t="array" ref="W52">_xll.BDP(B52&amp;" Index","DELTA_MID_RT")</f>
        <v>#N/A Real Time</v>
      </c>
      <c r="X52" s="47" t="e">
        <f>Y52/'Master P&amp;L'!$AE$5</f>
        <v>#VALUE!</v>
      </c>
      <c r="Y52" s="15" t="e">
        <f>IF(G52="Sell", S52*W52*-H52*O52/N52, S52*W52*H52*O52/N52)</f>
        <v>#VALUE!</v>
      </c>
      <c r="Z52" s="15" t="e" cm="1">
        <f t="array" ref="Z52">_xll.BDP($B52&amp;" Index","opt_theta")*H52*O52/N52</f>
        <v>#VALUE!</v>
      </c>
      <c r="AA52" s="123" t="e" cm="1">
        <f t="array" ref="AA52">_xll.BDP($B52&amp;" Index","opt_theta")/I52</f>
        <v>#VALUE!</v>
      </c>
      <c r="AB52" s="35" t="str" cm="1">
        <f t="array" ref="AB52">_xll.BDP($C52&amp;" Index","EXPECTED_REPORT_DT")</f>
        <v>#N/A Field Not Applicable</v>
      </c>
      <c r="AC52" s="15" t="e">
        <f>S52*H52*O52/N52</f>
        <v>#VALUE!</v>
      </c>
      <c r="AD52" s="47" t="e">
        <f>AC52/'Master P&amp;L'!$AE$5</f>
        <v>#VALUE!</v>
      </c>
      <c r="AG52" t="str">
        <f>B52&amp;" -&gt; Buy to open "&amp;H52&amp;"x"</f>
        <v>RTYWU5C3 2425 -&gt; Buy to open 175x</v>
      </c>
    </row>
    <row r="53" spans="1:38">
      <c r="A53" s="97" t="s">
        <v>197</v>
      </c>
      <c r="B53" s="249" t="s">
        <v>564</v>
      </c>
      <c r="C53" t="str" cm="1">
        <f t="array" ref="C53">_xll.BDP(B53&amp;" Index","OPT_UNDL_TICKER")</f>
        <v>RUWZ5</v>
      </c>
      <c r="D53" t="str" cm="1">
        <f t="array" ref="D53">_xll.BDP($B53&amp;" Index","mifid_Maturity_date")</f>
        <v>19/09/2025</v>
      </c>
      <c r="E53" cm="1">
        <f t="array" ref="E53">_xll.BDP($B53&amp;" Index","opt_days_expire")</f>
        <v>-147</v>
      </c>
      <c r="F53" t="str" cm="1">
        <f t="array" ref="F53">_xll.BDP(B53&amp;" Index","QUOTED_CURRENCY_REALTIME")</f>
        <v>#N/A Real Time</v>
      </c>
      <c r="G53" s="103" t="s">
        <v>191</v>
      </c>
      <c r="H53" s="95">
        <f>H52</f>
        <v>175</v>
      </c>
      <c r="I53" s="96" t="str">
        <f>IF(G53="Buy",L53,K53)</f>
        <v>#N/A Real Time</v>
      </c>
      <c r="J53" s="18" t="e">
        <f>I53/S53</f>
        <v>#VALUE!</v>
      </c>
      <c r="K53" s="35" t="str" cm="1">
        <f t="array" ref="K53">_xll.BDP($B53&amp;" Index","bid")</f>
        <v>#N/A Real Time</v>
      </c>
      <c r="L53" s="35" t="str" cm="1">
        <f t="array" ref="L53">_xll.BDP($B53&amp;" Index","ask")</f>
        <v>#N/A Real Time</v>
      </c>
      <c r="M53" s="39" t="e">
        <f>(L53/K53-1)</f>
        <v>#VALUE!</v>
      </c>
      <c r="N53" s="35" t="str">
        <f>_xll.BDP(F53&amp;" Curncy","PX_LAST")</f>
        <v>#N/A Real Time Curncy</v>
      </c>
      <c r="O53" s="132">
        <v>50</v>
      </c>
      <c r="P53" s="15" t="e">
        <f>IF(G53="Buy",((I53/N53)*H53*O53),((I53/N53)*-H53*O53))</f>
        <v>#VALUE!</v>
      </c>
      <c r="Q53" s="57" t="e">
        <f>P53/'Master P&amp;L'!$AD$5*10000</f>
        <v>#VALUE!</v>
      </c>
      <c r="R53" s="36" t="e" cm="1">
        <f t="array" ref="R53">_xll.BDP($C53&amp;" Index","EST_PE_NXT_YR")*(T53/S53)</f>
        <v>#VALUE!</v>
      </c>
      <c r="S53" s="35" t="str" cm="1">
        <f t="array" ref="S53">_xll.BDP(C53&amp;" Index","LAST_PRICE")</f>
        <v>#N/A Real Time</v>
      </c>
      <c r="T53" s="52" cm="1">
        <f t="array" ref="T53">_xll.BDP(B53&amp;" Index","OPT_STRIKE_PX")</f>
        <v>2500</v>
      </c>
      <c r="U53" s="39" t="e">
        <f>T53/S53-1</f>
        <v>#VALUE!</v>
      </c>
      <c r="V53" s="36" t="str" cm="1">
        <f t="array" ref="V53">_xll.BDP($B53&amp;" Index","ivol_mid")</f>
        <v>#N/A Field Not Applicable</v>
      </c>
      <c r="W53" s="37" t="str" cm="1">
        <f t="array" ref="W53">_xll.BDP(B53&amp;" Index","DELTA_MID_RT")</f>
        <v>#N/A Real Time</v>
      </c>
      <c r="X53" s="47" t="e">
        <f>Y53/'Master P&amp;L'!$AE$5</f>
        <v>#VALUE!</v>
      </c>
      <c r="Y53" s="15" t="e">
        <f>IF(G53="Sell", S53*W53*-H53*O53/N53, S53*W53*H53*O53/N53)</f>
        <v>#VALUE!</v>
      </c>
      <c r="Z53" s="15" t="e" cm="1">
        <f t="array" ref="Z53">_xll.BDP($B53&amp;" Index","opt_theta")*H53*O53/N53</f>
        <v>#VALUE!</v>
      </c>
      <c r="AA53" s="123" t="e" cm="1">
        <f t="array" ref="AA53">_xll.BDP($B53&amp;" Index","opt_theta")/I53</f>
        <v>#VALUE!</v>
      </c>
      <c r="AB53" s="35" t="str" cm="1">
        <f t="array" ref="AB53">_xll.BDP($C53&amp;" Index","EXPECTED_REPORT_DT")</f>
        <v>#N/A Field Not Applicable</v>
      </c>
      <c r="AC53" s="15" t="e">
        <f>S53*H53*O53/N53</f>
        <v>#VALUE!</v>
      </c>
      <c r="AD53" s="47" t="e">
        <f>AC53/'Master P&amp;L'!$AE$5</f>
        <v>#VALUE!</v>
      </c>
      <c r="AG53" t="str">
        <f>B53&amp;" -&gt; Buy to open "&amp;H53&amp;"x"</f>
        <v>RTYWU5C3 2500 -&gt; Buy to open 175x</v>
      </c>
    </row>
    <row r="54" spans="1:38">
      <c r="H54" s="99" t="s">
        <v>64</v>
      </c>
      <c r="I54" s="101" t="e">
        <f>I52-I53</f>
        <v>#VALUE!</v>
      </c>
      <c r="J54" s="99" t="s">
        <v>192</v>
      </c>
      <c r="K54" s="100" t="e">
        <f>K53/L52</f>
        <v>#VALUE!</v>
      </c>
      <c r="P54" s="99" t="s">
        <v>193</v>
      </c>
      <c r="Q54" s="106" t="e">
        <f>Q52+Q53</f>
        <v>#VALUE!</v>
      </c>
      <c r="S54" s="99" t="s">
        <v>194</v>
      </c>
      <c r="T54" s="101">
        <f>T53-T52</f>
        <v>75</v>
      </c>
      <c r="W54" s="99" t="s">
        <v>195</v>
      </c>
      <c r="X54" s="120" t="e">
        <f>X52+X53</f>
        <v>#VALUE!</v>
      </c>
      <c r="AC54" s="99" t="s">
        <v>172</v>
      </c>
      <c r="AD54" s="120" t="e">
        <f>AD52</f>
        <v>#VALUE!</v>
      </c>
    </row>
    <row r="55" spans="1:38">
      <c r="H55" s="99" t="s">
        <v>196</v>
      </c>
      <c r="I55" s="101" t="e">
        <f>(T54-I54)/I54</f>
        <v>#VALUE!</v>
      </c>
      <c r="J55" s="99" t="s">
        <v>90</v>
      </c>
      <c r="K55" s="107" t="e">
        <f>AVERAGE(K52:L52)-AVERAGE(K53:L53)</f>
        <v>#DIV/0!</v>
      </c>
      <c r="P55" s="99"/>
      <c r="Q55" s="106"/>
      <c r="S55" s="99"/>
      <c r="T55" s="101"/>
      <c r="W55" s="99"/>
      <c r="X55" s="120"/>
      <c r="Y55" s="205" t="e">
        <f>(Y52+Y53)/S52/O52</f>
        <v>#VALUE!</v>
      </c>
      <c r="AC55" s="99"/>
      <c r="AD55" s="102"/>
    </row>
    <row r="56" spans="1:38">
      <c r="K56" s="63" t="e">
        <f>K52-K53</f>
        <v>#VALUE!</v>
      </c>
      <c r="L56" s="63" t="e">
        <f>L52-L53</f>
        <v>#VALUE!</v>
      </c>
      <c r="Q56" s="49" t="e">
        <f>#REF!+Q54</f>
        <v>#REF!</v>
      </c>
    </row>
    <row r="57" spans="1:38">
      <c r="K57" s="63" t="e">
        <f>#REF!-K56</f>
        <v>#REF!</v>
      </c>
      <c r="L57" s="63" t="e">
        <f>#REF!-L56</f>
        <v>#REF!</v>
      </c>
    </row>
    <row r="60" spans="1:38">
      <c r="H60" s="265">
        <v>20</v>
      </c>
      <c r="I60" s="265">
        <v>237.5</v>
      </c>
      <c r="Z60" t="e">
        <f>Z61/P61</f>
        <v>#VALUE!</v>
      </c>
    </row>
    <row r="61" spans="1:38">
      <c r="A61" s="97"/>
      <c r="B61" s="249" t="s">
        <v>1024</v>
      </c>
      <c r="C61" t="str" cm="1">
        <f t="array" ref="C61">_xll.BDP(B61&amp;" Index","OPT_UNDL_TICKER")</f>
        <v>2OH6</v>
      </c>
      <c r="D61" t="str" cm="1">
        <f t="array" ref="D61">_xll.BDP($B61&amp;" Index","mifid_Maturity_date")</f>
        <v>13/02/2026</v>
      </c>
      <c r="E61" cm="1">
        <f t="array" ref="E61">_xll.BDP($B61&amp;" Index","opt_days_expire")</f>
        <v>0</v>
      </c>
      <c r="F61" t="str" cm="1">
        <f t="array" ref="F61">_xll.BDP(B61&amp;" Index","QUOTED_CURRENCY_REALTIME")</f>
        <v>#N/A N/A</v>
      </c>
      <c r="G61" s="103" t="s">
        <v>190</v>
      </c>
      <c r="H61" s="95">
        <v>30</v>
      </c>
      <c r="I61" s="96">
        <f>IF(G61="Buy",L61,K61)</f>
        <v>50</v>
      </c>
      <c r="J61" s="18">
        <f>I61/S61</f>
        <v>2.017145738779627E-3</v>
      </c>
      <c r="K61" s="35" t="str" cm="1">
        <f t="array" ref="K61">_xll.BDP($B61&amp;" Index","bid")</f>
        <v>#N/A N/A</v>
      </c>
      <c r="L61" s="35" cm="1">
        <f t="array" ref="L61">_xll.BDP($B61&amp;" Index","ask")</f>
        <v>50</v>
      </c>
      <c r="M61" s="39" t="e">
        <f>(L61/K61-1)</f>
        <v>#VALUE!</v>
      </c>
      <c r="N61" s="35" t="str" cm="1">
        <f t="array" ref="N61">_xll.BDP(F61&amp;" Curncy","PX_LAST")</f>
        <v>#N/A N/A Curncy</v>
      </c>
      <c r="O61" s="132">
        <v>20</v>
      </c>
      <c r="P61" s="15" t="e">
        <f>IF(G61="Buy",((I61/N61)*H61*O61),((I61/N61)*-H61*O61))</f>
        <v>#VALUE!</v>
      </c>
      <c r="Q61" s="57" t="e">
        <f>P61/'Master P&amp;L'!$AD$5*10000</f>
        <v>#VALUE!</v>
      </c>
      <c r="R61" s="36" t="e" cm="1">
        <f t="array" ref="R61">_xll.BDP($C61&amp;" Index","EST_PE_NXT_YR")*(T61/S61)</f>
        <v>#VALUE!</v>
      </c>
      <c r="S61" s="35" cm="1">
        <f t="array" ref="S61">_xll.BDP(C61&amp;" Index","LAST_PRICE")</f>
        <v>24787.5</v>
      </c>
      <c r="T61" s="52" cm="1">
        <f t="array" ref="T61">_xll.BDP(B61&amp;" Index","OPT_STRIKE_PX")</f>
        <v>24750</v>
      </c>
      <c r="U61" s="39">
        <f>T61/S61-1</f>
        <v>-1.5128593040847349E-3</v>
      </c>
      <c r="V61" s="36" cm="1">
        <f t="array" ref="V61">_xll.BDP($B61&amp;" Index","ivol_mid")</f>
        <v>1105.4641429999999</v>
      </c>
      <c r="W61" s="37" cm="1">
        <f t="array" ref="W61">_xll.BDP(B61&amp;" Index","DELTA_MID_RT")</f>
        <v>-0.47955486178398132</v>
      </c>
      <c r="X61" s="47" t="e">
        <f>Y61/'Master P&amp;L'!$AE$5</f>
        <v>#VALUE!</v>
      </c>
      <c r="Y61" s="15" t="e">
        <f>IF(G61="Sell", S61*W61*-H61*O61/N61, S61*W61*H61*O61/N61)</f>
        <v>#VALUE!</v>
      </c>
      <c r="Z61" s="15" t="e" cm="1">
        <f t="array" ref="Z61">_xll.BDP($B61&amp;" Index","opt_theta")*H61*O61/N61</f>
        <v>#VALUE!</v>
      </c>
      <c r="AA61" s="123" cm="1">
        <f t="array" ref="AA61">_xll.BDP($B61&amp;" Index","opt_theta")/I61</f>
        <v>0</v>
      </c>
      <c r="AB61" s="35" t="str" cm="1">
        <f t="array" ref="AB61">_xll.BDP($C61&amp;" Index","EXPECTED_REPORT_DT")</f>
        <v>#N/A Field Not Applicable</v>
      </c>
      <c r="AC61" s="15" t="e">
        <f>S61*H61*O61/N61</f>
        <v>#VALUE!</v>
      </c>
      <c r="AD61" s="47" t="e">
        <f>AC61/'Master P&amp;L'!$AE$5</f>
        <v>#VALUE!</v>
      </c>
      <c r="AG61" t="str">
        <f>B61&amp;" -&gt; Buy to open "&amp;H61&amp;"x"</f>
        <v>2OG6P 24750 -&gt; Buy to open 30x</v>
      </c>
    </row>
    <row r="62" spans="1:38">
      <c r="A62" s="97"/>
      <c r="B62" s="249"/>
      <c r="C62" t="str" cm="1">
        <f t="array" ref="C62">_xll.BDP(B62&amp;" Index","OPT_UNDL_TICKER")</f>
        <v>#N/A Invalid Security</v>
      </c>
      <c r="D62" t="str" cm="1">
        <f t="array" ref="D62">_xll.BDP($B62&amp;" Index","mifid_Maturity_date")</f>
        <v>#N/A Invalid Security</v>
      </c>
      <c r="E62" t="str" cm="1">
        <f t="array" ref="E62">_xll.BDP($B62&amp;" Index","opt_days_expire")</f>
        <v>#N/A Invalid Security</v>
      </c>
      <c r="F62" t="str" cm="1">
        <f t="array" ref="F62">_xll.BDP(B62&amp;" Index","QUOTED_CURRENCY_REALTIME")</f>
        <v>#N/A Invalid Security</v>
      </c>
      <c r="G62" s="103" t="s">
        <v>190</v>
      </c>
      <c r="H62" s="95">
        <v>35</v>
      </c>
      <c r="I62" s="96" t="str">
        <f>IF(G62="Buy",L62,K62)</f>
        <v>#N/A Invalid Security</v>
      </c>
      <c r="J62" s="18" t="e">
        <f>I62/S62</f>
        <v>#VALUE!</v>
      </c>
      <c r="K62" s="35" t="str" cm="1">
        <f t="array" ref="K62">_xll.BDP($B62&amp;" Index","bid")</f>
        <v>#N/A Invalid Security</v>
      </c>
      <c r="L62" s="35" t="str" cm="1">
        <f t="array" ref="L62">_xll.BDP($B62&amp;" Index","ask")</f>
        <v>#N/A Invalid Security</v>
      </c>
      <c r="M62" s="39" t="e">
        <f>(L62/K62-1)</f>
        <v>#VALUE!</v>
      </c>
      <c r="N62" s="35" t="str" cm="1">
        <f t="array" ref="N62">_xll.BDP(F62&amp;" Curncy","PX_LAST")</f>
        <v>#N/A Invalid Security Curncy</v>
      </c>
      <c r="O62" s="132">
        <v>20</v>
      </c>
      <c r="P62" s="15" t="e">
        <f>IF(G62="Buy",((I62/N62)*H62*O62),((I62/N62)*-H62*O62))</f>
        <v>#VALUE!</v>
      </c>
      <c r="Q62" s="57" t="e">
        <f>P62/'Master P&amp;L'!$AD$5*10000</f>
        <v>#VALUE!</v>
      </c>
      <c r="R62" s="36" t="e" cm="1">
        <f t="array" ref="R62">_xll.BDP($C62&amp;" Index","EST_PE_NXT_YR")*(T62/S62)</f>
        <v>#VALUE!</v>
      </c>
      <c r="S62" s="35" t="str" cm="1">
        <f t="array" ref="S62">_xll.BDP(C62&amp;" Index","LAST_PRICE")</f>
        <v>#N/A Invalid Security Index</v>
      </c>
      <c r="T62" s="52" t="str" cm="1">
        <f t="array" ref="T62">_xll.BDP(B62&amp;" Index","OPT_STRIKE_PX")</f>
        <v>#N/A Invalid Security</v>
      </c>
      <c r="U62" s="39" t="e">
        <f>T62/S62-1</f>
        <v>#VALUE!</v>
      </c>
      <c r="V62" s="36" t="str" cm="1">
        <f t="array" ref="V62">_xll.BDP($B62&amp;" Index","ivol_mid")</f>
        <v>#N/A Invalid Security</v>
      </c>
      <c r="W62" s="37" t="str" cm="1">
        <f t="array" ref="W62">_xll.BDP(B62&amp;" Index","DELTA_MID_RT")</f>
        <v>#N/A Invalid Security</v>
      </c>
      <c r="X62" s="47" t="e">
        <f>Y62/'Master P&amp;L'!$AE$5</f>
        <v>#VALUE!</v>
      </c>
      <c r="Y62" s="15" t="e">
        <f>IF(G62="Sell", S62*W62*-H62*O62/N62, S62*W62*H62*O62/N62)</f>
        <v>#VALUE!</v>
      </c>
      <c r="Z62" s="15" t="e" cm="1">
        <f t="array" ref="Z62">_xll.BDP($B62&amp;" Index","opt_theta")*H62*O62/N62</f>
        <v>#VALUE!</v>
      </c>
      <c r="AA62" s="123" t="e" cm="1">
        <f t="array" ref="AA62">_xll.BDP($B62&amp;" Index","opt_theta")/I62</f>
        <v>#VALUE!</v>
      </c>
      <c r="AB62" s="35" t="str" cm="1">
        <f t="array" ref="AB62">_xll.BDP($C62&amp;" Index","EXPECTED_REPORT_DT")</f>
        <v>#N/A Invalid Security Index</v>
      </c>
      <c r="AC62" s="15" t="e">
        <f>S62*H62*O62/N62</f>
        <v>#VALUE!</v>
      </c>
      <c r="AD62" s="47" t="e">
        <f>AC62/'Master P&amp;L'!$AE$5</f>
        <v>#VALUE!</v>
      </c>
      <c r="AG62" t="str">
        <f>B62&amp;" -&gt; Buy to open "&amp;H62&amp;"x"</f>
        <v xml:space="preserve"> -&gt; Buy to open 35x</v>
      </c>
    </row>
    <row r="63" spans="1:38">
      <c r="H63" s="99" t="s">
        <v>64</v>
      </c>
      <c r="I63" s="101" t="e">
        <f>I61-I62</f>
        <v>#VALUE!</v>
      </c>
      <c r="J63" s="99" t="s">
        <v>192</v>
      </c>
      <c r="K63" s="100" t="e">
        <f>K62/L61</f>
        <v>#VALUE!</v>
      </c>
      <c r="O63" s="134"/>
      <c r="P63" s="99" t="s">
        <v>193</v>
      </c>
      <c r="Q63" s="106" t="e">
        <f>Q61+Q62</f>
        <v>#VALUE!</v>
      </c>
      <c r="S63" s="99" t="s">
        <v>194</v>
      </c>
      <c r="T63" s="101" t="e">
        <f>T62-T61</f>
        <v>#VALUE!</v>
      </c>
      <c r="W63" s="99" t="s">
        <v>195</v>
      </c>
      <c r="X63" s="120" t="e">
        <f>X61+X62</f>
        <v>#VALUE!</v>
      </c>
      <c r="Y63" s="13" t="e">
        <f>Y61+Y62</f>
        <v>#VALUE!</v>
      </c>
      <c r="AC63" s="99" t="s">
        <v>172</v>
      </c>
      <c r="AD63" s="120" t="e">
        <f>AD61</f>
        <v>#VALUE!</v>
      </c>
    </row>
    <row r="64" spans="1:38">
      <c r="H64" s="99" t="s">
        <v>196</v>
      </c>
      <c r="I64" s="101" t="e">
        <f>(T63-I63)/I63</f>
        <v>#VALUE!</v>
      </c>
      <c r="J64" s="99" t="s">
        <v>90</v>
      </c>
      <c r="K64" s="107" t="e">
        <f>AVERAGE(K61:L61)-AVERAGE(K62:L62)</f>
        <v>#DIV/0!</v>
      </c>
      <c r="O64" s="134"/>
      <c r="P64" s="99"/>
      <c r="Q64" s="106"/>
      <c r="S64" s="99"/>
      <c r="T64" s="101"/>
      <c r="W64" s="99"/>
      <c r="X64" s="120"/>
      <c r="Y64" s="13" t="e">
        <f>Y63/S61/20</f>
        <v>#VALUE!</v>
      </c>
      <c r="AC64" s="99"/>
      <c r="AD64" s="102"/>
    </row>
    <row r="65" spans="1:37">
      <c r="K65" s="63" t="e">
        <f>K61-K62</f>
        <v>#VALUE!</v>
      </c>
      <c r="L65" s="63" t="e">
        <f>L61-L62</f>
        <v>#VALUE!</v>
      </c>
      <c r="W65" s="49"/>
    </row>
    <row r="67" spans="1:37">
      <c r="H67" s="95"/>
      <c r="I67" s="96"/>
      <c r="J67" s="18"/>
      <c r="K67" s="35"/>
      <c r="L67" s="35"/>
      <c r="M67" s="39"/>
      <c r="N67" s="35"/>
      <c r="O67" s="132"/>
      <c r="P67" s="15"/>
      <c r="Q67" s="57"/>
      <c r="R67" s="36"/>
      <c r="S67" s="35"/>
      <c r="T67" s="52"/>
      <c r="U67" s="39"/>
      <c r="V67" s="36"/>
      <c r="W67" s="37"/>
      <c r="X67" s="47"/>
      <c r="Y67" s="15"/>
      <c r="Z67" s="15"/>
      <c r="AA67" s="123"/>
      <c r="AB67" s="35"/>
      <c r="AC67" s="15"/>
      <c r="AD67" s="47"/>
    </row>
    <row r="68" spans="1:37" hidden="1">
      <c r="A68" s="97"/>
      <c r="B68" s="310" t="s">
        <v>787</v>
      </c>
      <c r="C68" t="str" cm="1">
        <f t="array" ref="C68">_xll.BDP(B68&amp;" Index","OPT_UNDL_TICKER")</f>
        <v>SPX</v>
      </c>
      <c r="D68" t="str" cm="1">
        <f t="array" ref="D68">_xll.BDP($B68&amp;" Index","mifid_Maturity_date")</f>
        <v>31/12/2025</v>
      </c>
      <c r="E68" t="str" cm="1">
        <f t="array" ref="E68">_xll.BDP($B68&amp;" Index","opt_days_expire")</f>
        <v>#N/A N/A</v>
      </c>
      <c r="F68" t="s">
        <v>137</v>
      </c>
      <c r="G68" s="103" t="s">
        <v>190</v>
      </c>
      <c r="H68" s="95">
        <v>100</v>
      </c>
      <c r="I68" s="96" t="str">
        <f>IF(G68="Buy",L68,K68)</f>
        <v>#N/A Real Time</v>
      </c>
      <c r="J68" s="18" t="e">
        <f>I68/S68</f>
        <v>#VALUE!</v>
      </c>
      <c r="K68" s="35" t="str" cm="1">
        <f t="array" ref="K68">_xll.BDP($B68&amp;" Index","bid")</f>
        <v>#N/A Real Time</v>
      </c>
      <c r="L68" s="35" t="str" cm="1">
        <f t="array" ref="L68">_xll.BDP($B68&amp;" Index","ask")</f>
        <v>#N/A Real Time</v>
      </c>
      <c r="M68" s="39" t="e">
        <f>(L68/K68-1)</f>
        <v>#VALUE!</v>
      </c>
      <c r="N68" s="35" cm="1">
        <f t="array" ref="N68">_xll.BDP(F68&amp;" Curncy","PX_LAST")</f>
        <v>1</v>
      </c>
      <c r="O68" s="132">
        <v>100</v>
      </c>
      <c r="P68" s="15" t="e">
        <f>IF(G68="Buy",((I68/N68)*H68*O68),((I68/N68)*-H68*O68))</f>
        <v>#VALUE!</v>
      </c>
      <c r="Q68" s="57" t="e">
        <f>P68/'Master P&amp;L'!$AD$5*10000</f>
        <v>#VALUE!</v>
      </c>
      <c r="R68" s="36" t="e" cm="1">
        <f t="array" ref="R68">_xll.BDP($C68&amp;" Index","EST_PE_NXT_YR")*(T68/S68)</f>
        <v>#VALUE!</v>
      </c>
      <c r="S68" s="35" cm="1">
        <f t="array" ref="S68">_xll.BDP(C68&amp;" Index","LAST_PRICE")</f>
        <v>6836.17</v>
      </c>
      <c r="T68" s="52" cm="1">
        <f t="array" ref="T68">_xll.BDP(B68&amp;" Index","OPT_STRIKE_PX")</f>
        <v>6950</v>
      </c>
      <c r="U68" s="39">
        <f>T68/S68-1</f>
        <v>1.6651136528202271E-2</v>
      </c>
      <c r="V68" s="36" t="str" cm="1">
        <f t="array" ref="V68">_xll.BDP($B68&amp;" Index","ivol_mid")</f>
        <v>#N/A N/A</v>
      </c>
      <c r="W68" s="37" t="str" cm="1">
        <f t="array" ref="W68">_xll.BDP(B68&amp;" Index","DELTA_MID_RT")</f>
        <v>#N/A Real Time</v>
      </c>
      <c r="X68" s="47" t="e">
        <f>Y68/'Master P&amp;L'!$AE$5</f>
        <v>#VALUE!</v>
      </c>
      <c r="Y68" s="15" t="e">
        <f>IF(G68="Sell", S68*W68*-H68*O68/N68, S68*W68*H68*O68/N68)</f>
        <v>#VALUE!</v>
      </c>
      <c r="Z68" s="15" t="e" cm="1">
        <f t="array" ref="Z68">_xll.BDP($B68&amp;" Index","opt_theta")*H68*O68/N68</f>
        <v>#VALUE!</v>
      </c>
      <c r="AA68" s="123" t="e" cm="1">
        <f t="array" ref="AA68">_xll.BDP($B68&amp;" Index","opt_theta")/I68</f>
        <v>#VALUE!</v>
      </c>
      <c r="AB68" s="35" t="str" cm="1">
        <f t="array" ref="AB68">_xll.BDP($C68&amp;" Index","EXPECTED_REPORT_DT")</f>
        <v>#N/A Field Not Applicable</v>
      </c>
      <c r="AC68" s="15">
        <f>S68*H68*O68/N68</f>
        <v>68361700</v>
      </c>
      <c r="AD68" s="47">
        <f>AC68/'Master P&amp;L'!$AE$5</f>
        <v>2.8837779605297785E-2</v>
      </c>
      <c r="AG68" t="str">
        <f>B68&amp;" -&gt; Buy to open "&amp;H68&amp;"x"</f>
        <v>SPXW US 12/31/25 C6950 -&gt; Buy to open 100x</v>
      </c>
    </row>
    <row r="69" spans="1:37" hidden="1">
      <c r="A69" s="97"/>
      <c r="B69" s="310"/>
      <c r="G69" s="103"/>
      <c r="H69" s="95"/>
      <c r="I69" s="96"/>
      <c r="J69" s="18"/>
      <c r="K69" s="35"/>
      <c r="L69" s="35"/>
      <c r="M69" s="39"/>
      <c r="N69" s="35"/>
      <c r="O69" s="132"/>
      <c r="P69" s="15"/>
      <c r="Q69" s="57"/>
      <c r="R69" s="36"/>
      <c r="S69" s="35"/>
      <c r="T69" s="52"/>
      <c r="U69" s="39"/>
      <c r="V69" s="36"/>
      <c r="W69" s="37"/>
      <c r="X69" s="47"/>
      <c r="Y69" s="15"/>
      <c r="Z69" s="15"/>
      <c r="AA69" s="123"/>
      <c r="AB69" s="35"/>
      <c r="AC69" s="15"/>
      <c r="AD69" s="47"/>
    </row>
    <row r="70" spans="1:37" hidden="1">
      <c r="H70" s="99" t="s">
        <v>64</v>
      </c>
      <c r="I70" s="101" t="e">
        <f>I68-I69</f>
        <v>#VALUE!</v>
      </c>
      <c r="J70" s="99" t="s">
        <v>192</v>
      </c>
      <c r="K70" s="100" t="e">
        <f>K69/L68</f>
        <v>#VALUE!</v>
      </c>
      <c r="O70" s="134"/>
      <c r="P70" s="99" t="s">
        <v>193</v>
      </c>
      <c r="Q70" s="106" t="e">
        <f>Q68+Q69</f>
        <v>#VALUE!</v>
      </c>
      <c r="S70" s="99" t="s">
        <v>194</v>
      </c>
      <c r="T70" s="101">
        <f>T69-T68</f>
        <v>-6950</v>
      </c>
      <c r="W70" s="99" t="s">
        <v>195</v>
      </c>
      <c r="X70" s="120" t="e">
        <f>X68+X69</f>
        <v>#VALUE!</v>
      </c>
      <c r="Y70" s="13" t="e">
        <f>Y68+Y69</f>
        <v>#VALUE!</v>
      </c>
      <c r="AC70" s="99" t="s">
        <v>172</v>
      </c>
      <c r="AD70" s="120">
        <f>AD68</f>
        <v>2.8837779605297785E-2</v>
      </c>
    </row>
    <row r="71" spans="1:37" hidden="1">
      <c r="H71" s="99" t="s">
        <v>196</v>
      </c>
      <c r="I71" s="101" t="e">
        <f>(T70-I70)/I70</f>
        <v>#VALUE!</v>
      </c>
      <c r="J71" s="99" t="s">
        <v>90</v>
      </c>
      <c r="K71" s="107" t="e">
        <f>AVERAGE(K68:L68)-AVERAGE(K69:L69)</f>
        <v>#DIV/0!</v>
      </c>
      <c r="O71" s="134"/>
      <c r="P71" s="99"/>
      <c r="Q71" s="106"/>
      <c r="S71" s="99"/>
      <c r="T71" s="101"/>
      <c r="W71" s="99"/>
      <c r="X71" s="120"/>
      <c r="Y71" s="13" t="e">
        <f>Y70/S68</f>
        <v>#VALUE!</v>
      </c>
      <c r="AC71" s="99"/>
      <c r="AD71" s="102"/>
    </row>
    <row r="72" spans="1:37" hidden="1">
      <c r="K72" s="63" t="e">
        <f>K68-K69</f>
        <v>#VALUE!</v>
      </c>
      <c r="L72" s="63" t="e">
        <f>L68-L69</f>
        <v>#VALUE!</v>
      </c>
    </row>
    <row r="73" spans="1:37" hidden="1">
      <c r="Q73" t="e">
        <f>Q70/Q63</f>
        <v>#VALUE!</v>
      </c>
    </row>
    <row r="74" spans="1:37" hidden="1">
      <c r="H74" s="17"/>
      <c r="K74" s="63" t="e">
        <f>K65-K72</f>
        <v>#VALUE!</v>
      </c>
      <c r="L74" s="63" t="e">
        <f>L65-L72</f>
        <v>#VALUE!</v>
      </c>
    </row>
    <row r="75" spans="1:37" hidden="1">
      <c r="I75" s="63">
        <f>I78-I79</f>
        <v>11.150000000000006</v>
      </c>
    </row>
    <row r="76" spans="1:37" hidden="1">
      <c r="A76">
        <v>300</v>
      </c>
      <c r="H76" s="205">
        <v>1</v>
      </c>
      <c r="I76" s="63">
        <f>I78-I79</f>
        <v>11.150000000000006</v>
      </c>
      <c r="K76" s="126"/>
    </row>
    <row r="77" spans="1:37" hidden="1">
      <c r="A77" s="191">
        <v>1</v>
      </c>
      <c r="B77" t="s">
        <v>731</v>
      </c>
      <c r="C77" t="str" cm="1">
        <f t="array" ref="C77">_xll.BDP(B77&amp;" Equity","OPT_UNDL_TICKER")</f>
        <v>META US</v>
      </c>
      <c r="D77" s="63">
        <f>A77*AVERAGE(K77:L77)</f>
        <v>16.074999999999999</v>
      </c>
      <c r="E77" cm="1">
        <f t="array" ref="E77">_xll.BDP($B77&amp;" Index","opt_days_expire")</f>
        <v>63</v>
      </c>
      <c r="F77" t="str" cm="1">
        <f t="array" ref="F77">_xll.BDP(B77&amp;" Equity","QUOTED_CURRENCY_REALTIME")</f>
        <v>USD</v>
      </c>
      <c r="G77" s="103" t="s">
        <v>190</v>
      </c>
      <c r="H77" s="128">
        <v>60</v>
      </c>
      <c r="I77" s="96">
        <f>IF(G77="Buy",L77,K77)</f>
        <v>16.2</v>
      </c>
      <c r="J77" s="18">
        <f>I77/S77</f>
        <v>2.5321599949982024E-2</v>
      </c>
      <c r="K77" s="35" cm="1">
        <f t="array" ref="K77">_xll.BDP($B77&amp;" Equity","bid")</f>
        <v>15.95</v>
      </c>
      <c r="L77" s="35" cm="1">
        <f t="array" ref="L77">_xll.BDP($B77&amp;" Equity","ask")</f>
        <v>16.2</v>
      </c>
      <c r="M77" s="39">
        <f>(L77/K77-1)</f>
        <v>1.5673981191222541E-2</v>
      </c>
      <c r="N77" s="35" cm="1">
        <f t="array" ref="N77">_xll.BDP(F77&amp;" Curncy","PX_LAST")</f>
        <v>1</v>
      </c>
      <c r="O77" s="132" cm="1">
        <f t="array" ref="O77">_xll.BDP(B77&amp;" Equity","OPT_MULTIPLIER")</f>
        <v>100</v>
      </c>
      <c r="P77" s="15">
        <f>IF(G77="Buy",((I77/N77)*H77*O77),((I77/N77)*-H77*O77))</f>
        <v>97200</v>
      </c>
      <c r="Q77" s="57">
        <f>P77/'Master P&amp;L'!$AD$5*10000</f>
        <v>0.41002961857808462</v>
      </c>
      <c r="R77" s="36" cm="1">
        <f t="array" ref="R77">_xll.BDP($C77&amp;" Equity","EST_PE_NXT_YR")*(T77/S77)</f>
        <v>18.321826872012743</v>
      </c>
      <c r="S77" s="35" cm="1">
        <f t="array" ref="S77">_xll.BDP(C77&amp;" Equity","LAST_PRICE")</f>
        <v>639.77</v>
      </c>
      <c r="T77" s="52" cm="1">
        <f t="array" ref="T77">_xll.BDP(B77&amp;" Equity","OPT_STRIKE_PX")</f>
        <v>690</v>
      </c>
      <c r="U77" s="39">
        <f>T77/S77-1</f>
        <v>7.8512590462197274E-2</v>
      </c>
      <c r="V77" s="36" cm="1">
        <f t="array" ref="V77">_xll.BDP($B77&amp;" Equity","ivol_mid")</f>
        <v>31.593</v>
      </c>
      <c r="W77" s="37" cm="1">
        <f t="array" ref="W77">_xll.BDP(B77&amp;" Equity","DELTA_MID_RT")</f>
        <v>0.31831291317939758</v>
      </c>
      <c r="X77" s="47">
        <f>Y77/'Master P&amp;L'!$AE$5</f>
        <v>5.1544026695485334E-4</v>
      </c>
      <c r="Y77" s="15">
        <f>IF(G77="Sell", S77*W77*-H77*O77/N77, S77*W77*H77*O77/N77)</f>
        <v>1221882.3147886992</v>
      </c>
      <c r="Z77" s="15" cm="1">
        <f t="array" ref="Z77">_xll.BDP($B77&amp;" Equity","opt_theta")*H77*O77/N77</f>
        <v>-1498.47</v>
      </c>
      <c r="AA77" s="18" cm="1">
        <f t="array" ref="AA77">_xll.BDP($B77&amp;" Equity","opt_theta")/I77</f>
        <v>-1.5416358024691358E-2</v>
      </c>
      <c r="AB77" s="35" t="str" cm="1">
        <f t="array" ref="AB77">_xll.BDP($C77&amp;" Equity","EXPECTED_REPORT_DT")</f>
        <v>30/04/2026</v>
      </c>
      <c r="AC77" s="15">
        <f>S77*H77*O77/N77</f>
        <v>3838619.9999999995</v>
      </c>
      <c r="AD77" s="18">
        <f>AC77/'Master P&amp;L'!$AE$5</f>
        <v>1.6192879572697603E-3</v>
      </c>
      <c r="AE77" t="str">
        <f>B77  &amp; " - Buy to open " &amp;  "-" &amp; H77 &amp;"x"</f>
        <v>META US 04/17/26 C690 - Buy to open -60x</v>
      </c>
      <c r="AK77" s="58" t="s">
        <v>201</v>
      </c>
    </row>
    <row r="78" spans="1:37" hidden="1">
      <c r="A78" s="191">
        <v>2</v>
      </c>
      <c r="B78" s="72" t="s">
        <v>856</v>
      </c>
      <c r="C78" t="str" cm="1">
        <f t="array" ref="C78">_xll.BDP(B78&amp;" Equity","OPT_UNDL_TICKER")</f>
        <v>META US</v>
      </c>
      <c r="D78" s="63">
        <f>A78*AVERAGE(K78:L78)</f>
        <v>99.35</v>
      </c>
      <c r="E78" cm="1">
        <f t="array" ref="E78">_xll.BDP($B78&amp;" Index","opt_days_expire")</f>
        <v>154</v>
      </c>
      <c r="F78" t="str" cm="1">
        <f t="array" ref="F78">_xll.BDP(B78&amp;" Equity","QUOTED_CURRENCY_REALTIME")</f>
        <v>USD</v>
      </c>
      <c r="G78" s="103" t="s">
        <v>191</v>
      </c>
      <c r="H78" s="128">
        <v>75</v>
      </c>
      <c r="I78" s="96">
        <f>IF(G78="Buy",L78,K78)</f>
        <v>49.45</v>
      </c>
      <c r="J78" s="18">
        <f>I78/S78</f>
        <v>7.7293402316457482E-2</v>
      </c>
      <c r="K78" s="35" cm="1">
        <f t="array" ref="K78">_xll.BDP($B78&amp;" Equity","bid")</f>
        <v>49.45</v>
      </c>
      <c r="L78" s="35" cm="1">
        <f t="array" ref="L78">_xll.BDP($B78&amp;" Equity","ask")</f>
        <v>49.9</v>
      </c>
      <c r="M78" s="39">
        <f>(L78/K78-1)</f>
        <v>9.100101112234471E-3</v>
      </c>
      <c r="N78" s="35" cm="1">
        <f t="array" ref="N78">_xll.BDP(F78&amp;" Curncy","PX_LAST")</f>
        <v>1</v>
      </c>
      <c r="O78" s="132" cm="1">
        <f t="array" ref="O78">_xll.BDP(B78&amp;" Equity","OPT_MULTIPLIER")</f>
        <v>100</v>
      </c>
      <c r="P78" s="15">
        <f>IF(G78="Buy",((I78/N78)*H78*O78),((I78/N78)*-H78*O78))</f>
        <v>-370875</v>
      </c>
      <c r="Q78" s="57">
        <f>P78/'Master P&amp;L'!$AD$5*10000</f>
        <v>-1.5645034443430774</v>
      </c>
      <c r="R78" s="36" cm="1">
        <f t="array" ref="R78">_xll.BDP($C78&amp;" Equity","EST_PE_NXT_YR")*(T78/S78)</f>
        <v>17.790759426447156</v>
      </c>
      <c r="S78" s="35" cm="1">
        <f t="array" ref="S78">_xll.BDP(C78&amp;" Equity","LAST_PRICE")</f>
        <v>639.77</v>
      </c>
      <c r="T78" s="52" cm="1">
        <f t="array" ref="T78">_xll.BDP(B78&amp;" Equity","OPT_STRIKE_PX")</f>
        <v>670</v>
      </c>
      <c r="U78" s="39">
        <f>T78/S78-1</f>
        <v>4.7251355956046792E-2</v>
      </c>
      <c r="V78" s="36" cm="1">
        <f t="array" ref="V78">_xll.BDP($B78&amp;" Equity","ivol_mid")</f>
        <v>35.594929999999998</v>
      </c>
      <c r="W78" s="37" cm="1">
        <f t="array" ref="W78">_xll.BDP(B78&amp;" Equity","DELTA_MID_RT")</f>
        <v>0.48948341608047485</v>
      </c>
      <c r="X78" s="47">
        <f>Y78/'Master P&amp;L'!$AE$5</f>
        <v>-9.9076825117797051E-4</v>
      </c>
      <c r="Y78" s="15">
        <f>IF(G78="Sell", S78*W78*-H78*O78/N78, S78*W78*H78*O78/N78)</f>
        <v>-2348676.0382935405</v>
      </c>
      <c r="Z78" s="15" cm="1">
        <f t="array" ref="Z78">_xll.BDP($B78&amp;" Equity","opt_theta")*H78*O78/N78</f>
        <v>-1498.5975000000001</v>
      </c>
      <c r="AA78" s="18" cm="1">
        <f t="array" ref="AA78">_xll.BDP($B78&amp;" Equity","opt_theta")/I78</f>
        <v>-4.040707785642062E-3</v>
      </c>
      <c r="AB78" s="35" t="str" cm="1">
        <f t="array" ref="AB78">_xll.BDP($C78&amp;" Equity","EXPECTED_REPORT_DT")</f>
        <v>30/04/2026</v>
      </c>
      <c r="AC78" s="15">
        <f>S78*H78*O78/N78</f>
        <v>4798275</v>
      </c>
      <c r="AD78" s="47">
        <f>AC78/'Master P&amp;L'!$AE$5</f>
        <v>2.0241099465872006E-3</v>
      </c>
      <c r="AE78" t="str">
        <f>B78&amp;" -&gt; Buy to open "&amp;H78&amp;"x"</f>
        <v>META US 07/17/26 C670 -&gt; Buy to open 75x</v>
      </c>
      <c r="AK78" t="s">
        <v>202</v>
      </c>
    </row>
    <row r="79" spans="1:37" hidden="1">
      <c r="A79" s="191">
        <v>2</v>
      </c>
      <c r="B79" s="72" t="s">
        <v>935</v>
      </c>
      <c r="C79" t="str" cm="1">
        <f t="array" ref="C79">_xll.BDP(B79&amp;" Equity","OPT_UNDL_TICKER")</f>
        <v>META US</v>
      </c>
      <c r="D79" s="63">
        <f>A79*AVERAGE(K79:L79)</f>
        <v>76.199999999999989</v>
      </c>
      <c r="E79" cm="1">
        <f t="array" ref="E79">_xll.BDP($B79&amp;" Index","opt_days_expire")</f>
        <v>154</v>
      </c>
      <c r="F79" t="str" cm="1">
        <f t="array" ref="F79">_xll.BDP(B79&amp;" Equity","QUOTED_CURRENCY_REALTIME")</f>
        <v>USD</v>
      </c>
      <c r="G79" s="103" t="s">
        <v>190</v>
      </c>
      <c r="H79" s="128">
        <v>75</v>
      </c>
      <c r="I79" s="96">
        <f>IF(G79="Buy",L79,K79)</f>
        <v>38.299999999999997</v>
      </c>
      <c r="J79" s="18">
        <f>I79/S79</f>
        <v>5.9865264079278488E-2</v>
      </c>
      <c r="K79" s="35" cm="1">
        <f t="array" ref="K79">_xll.BDP($B79&amp;" Equity","bid")</f>
        <v>37.9</v>
      </c>
      <c r="L79" s="35" cm="1">
        <f t="array" ref="L79">_xll.BDP($B79&amp;" Equity","ask")</f>
        <v>38.299999999999997</v>
      </c>
      <c r="M79" s="39">
        <f>(L79/K79-1)</f>
        <v>1.055408970976246E-2</v>
      </c>
      <c r="N79" s="35" cm="1">
        <f t="array" ref="N79">_xll.BDP(F79&amp;" Curncy","PX_LAST")</f>
        <v>1</v>
      </c>
      <c r="O79" s="132" cm="1">
        <f t="array" ref="O79">_xll.BDP(B79&amp;" Equity","OPT_MULTIPLIER")</f>
        <v>100</v>
      </c>
      <c r="P79" s="15">
        <f>IF(G79="Buy",((I79/N79)*H79*O79),((I79/N79)*-H79*O79))</f>
        <v>287250</v>
      </c>
      <c r="Q79" s="57">
        <f>P79/'Master P&amp;L'!$AD$5*10000</f>
        <v>1.2117387647793705</v>
      </c>
      <c r="R79" s="36" cm="1">
        <f t="array" ref="R79">_xll.BDP($C79&amp;" Equity","EST_PE_NXT_YR")*(T79/S79)</f>
        <v>18.587360594795534</v>
      </c>
      <c r="S79" s="35" cm="1">
        <f t="array" ref="S79">_xll.BDP(C79&amp;" Equity","LAST_PRICE")</f>
        <v>639.77</v>
      </c>
      <c r="T79" s="52" cm="1">
        <f t="array" ref="T79">_xll.BDP(B79&amp;" Equity","OPT_STRIKE_PX")</f>
        <v>700</v>
      </c>
      <c r="U79" s="39">
        <f>T79/S79-1</f>
        <v>9.4143207715272625E-2</v>
      </c>
      <c r="V79" s="36" cm="1">
        <f t="array" ref="V79">_xll.BDP(B79&amp;" Equity","ivol_mid")</f>
        <v>35.155839999999998</v>
      </c>
      <c r="W79" s="37" cm="1">
        <f t="array" ref="W79">_xll.BDP(B79&amp;" Equity","DELTA_MID_RT")</f>
        <v>0.41200947761535645</v>
      </c>
      <c r="X79" s="47">
        <f>Y79/'Master P&amp;L'!$AE$5</f>
        <v>8.3395248172943943E-4</v>
      </c>
      <c r="Y79" s="15">
        <f>IF(G79="Sell", S79*W79*-H79*O79/N79, S79*W79*H79*O79/N79)</f>
        <v>1976934.776204824</v>
      </c>
      <c r="Z79" s="15" cm="1">
        <f t="array" ref="Z79">_xll.BDP($B79&amp;" Equity","opt_theta")*H79*O79/N79</f>
        <v>-1430.415</v>
      </c>
      <c r="AA79" s="18" cm="1">
        <f t="array" ref="AA79">_xll.BDP($B79&amp;" Equity","opt_theta")/I79</f>
        <v>-4.9796866840731077E-3</v>
      </c>
      <c r="AB79" s="35" t="str" cm="1">
        <f t="array" ref="AB79">_xll.BDP($C79&amp;" Equity","EXPECTED_REPORT_DT")</f>
        <v>30/04/2026</v>
      </c>
      <c r="AC79" s="15">
        <f>S79*H79*O79/N79</f>
        <v>4798275</v>
      </c>
      <c r="AD79" s="18">
        <f>AC79/'Master P&amp;L'!$AE$5</f>
        <v>2.0241099465872006E-3</v>
      </c>
      <c r="AE79" t="str">
        <f>B79  &amp; " -&gt; Sell to open " &amp;   H79 &amp;"x"</f>
        <v>META US 07/17/26 C700 -&gt; Sell to open 75x</v>
      </c>
      <c r="AK79" t="s">
        <v>203</v>
      </c>
    </row>
    <row r="80" spans="1:37" hidden="1">
      <c r="H80" s="99" t="s">
        <v>64</v>
      </c>
      <c r="I80" s="101">
        <f>I78-I77-I79</f>
        <v>-5.0499999999999972</v>
      </c>
      <c r="J80" s="99" t="s">
        <v>192</v>
      </c>
      <c r="K80" s="100">
        <f>K79/L78</f>
        <v>0.75951903807615229</v>
      </c>
      <c r="P80" s="127">
        <f>P78+P79+P77</f>
        <v>13575</v>
      </c>
      <c r="Q80" s="57">
        <f>P80/'Master P&amp;L'!$AD$5*10000</f>
        <v>5.7264939014377556E-2</v>
      </c>
      <c r="S80" s="99" t="s">
        <v>194</v>
      </c>
      <c r="T80" s="101"/>
      <c r="W80" s="99" t="s">
        <v>195</v>
      </c>
      <c r="X80" s="120">
        <f>X78+X79+X77</f>
        <v>3.5862449750632226E-4</v>
      </c>
      <c r="AC80" s="99" t="s">
        <v>172</v>
      </c>
      <c r="AD80" s="120">
        <f>AD78</f>
        <v>2.0241099465872006E-3</v>
      </c>
    </row>
    <row r="81" spans="1:37" hidden="1">
      <c r="H81" s="99" t="s">
        <v>196</v>
      </c>
      <c r="I81" s="101"/>
      <c r="J81" s="99" t="s">
        <v>90</v>
      </c>
      <c r="K81" s="107">
        <f>-AVERAGE(K77:L77)+AVERAGE(K78:L78)-AVERAGE(K79:L79)</f>
        <v>-4.5</v>
      </c>
      <c r="P81" s="99"/>
      <c r="Q81" s="106"/>
      <c r="S81" s="99"/>
      <c r="T81" s="101"/>
      <c r="W81" s="99"/>
      <c r="X81" s="120"/>
      <c r="Y81" s="13">
        <f>(Y77+Y78+Y79)/S78</f>
        <v>1328.8229405879968</v>
      </c>
      <c r="AC81" s="99"/>
      <c r="AD81" s="102"/>
    </row>
    <row r="82" spans="1:37" hidden="1">
      <c r="D82" s="63"/>
      <c r="H82" s="95"/>
      <c r="I82" s="63">
        <f>(I78*A78)-(I79*A79)-(I77*A77)</f>
        <v>6.1000000000000121</v>
      </c>
      <c r="K82" s="63"/>
      <c r="N82" s="35"/>
      <c r="O82" s="132"/>
      <c r="P82" s="15"/>
      <c r="Q82" s="57"/>
    </row>
    <row r="83" spans="1:37" hidden="1">
      <c r="I83" s="20">
        <f>I79/I78</f>
        <v>0.77451971688574306</v>
      </c>
    </row>
    <row r="84" spans="1:37" hidden="1">
      <c r="I84" s="20"/>
    </row>
    <row r="85" spans="1:37" hidden="1">
      <c r="H85" s="205">
        <v>1</v>
      </c>
      <c r="I85" s="63" t="e">
        <f>I87-I86</f>
        <v>#VALUE!</v>
      </c>
      <c r="J85" s="17" t="e">
        <f>T86-T87</f>
        <v>#VALUE!</v>
      </c>
      <c r="K85" s="205" t="e">
        <f>(J85-I85)/I85</f>
        <v>#VALUE!</v>
      </c>
      <c r="Q85" s="205" t="e">
        <f>Q87+Q86</f>
        <v>#VALUE!</v>
      </c>
    </row>
    <row r="86" spans="1:37" hidden="1">
      <c r="A86" s="191"/>
      <c r="C86" t="str" cm="1">
        <f t="array" ref="C86">_xll.BDP(B86&amp;" Equity","OPT_UNDL_TICKER")</f>
        <v>#N/A Invalid Security</v>
      </c>
      <c r="D86" s="63" t="e">
        <f>A86*AVERAGE(K86:L86)</f>
        <v>#DIV/0!</v>
      </c>
      <c r="E86" t="str" cm="1">
        <f t="array" ref="E86">_xll.BDP($B86&amp;" Index","opt_days_expire")</f>
        <v>#N/A Invalid Security</v>
      </c>
      <c r="F86" t="str" cm="1">
        <f t="array" ref="F86">_xll.BDP(B86&amp;" Equity","QUOTED_CURRENCY_REALTIME")</f>
        <v>#N/A Invalid Security</v>
      </c>
      <c r="G86" s="103" t="s">
        <v>191</v>
      </c>
      <c r="H86" s="128">
        <f>H87*H85</f>
        <v>20</v>
      </c>
      <c r="I86" s="96" t="str">
        <f>IF(G86="Buy",L86,K86)</f>
        <v>#N/A Invalid Security</v>
      </c>
      <c r="J86" s="18" t="e">
        <f>I86/S86</f>
        <v>#VALUE!</v>
      </c>
      <c r="K86" s="35" t="str" cm="1">
        <f t="array" ref="K86">_xll.BDP($B86&amp;" Equity","bid")</f>
        <v>#N/A Invalid Security</v>
      </c>
      <c r="L86" s="35" t="str" cm="1">
        <f t="array" ref="L86">_xll.BDP($B86&amp;" Equity","ask")</f>
        <v>#N/A Invalid Security</v>
      </c>
      <c r="M86" s="39" t="e">
        <f>(L86/K86-1)</f>
        <v>#VALUE!</v>
      </c>
      <c r="N86" s="35" t="str" cm="1">
        <f t="array" ref="N86">_xll.BDP(F86&amp;" Curncy","PX_LAST")</f>
        <v>#N/A Invalid Security Curncy</v>
      </c>
      <c r="O86" s="132" t="str" cm="1">
        <f t="array" ref="O86">_xll.BDP(B86&amp;" Equity","OPT_MULTIPLIER")</f>
        <v>#N/A Invalid Security</v>
      </c>
      <c r="P86" s="15" t="e">
        <f>IF(G86="Buy",((I86/N86)*H86*O86),((I86/N86)*-H86*O86))</f>
        <v>#VALUE!</v>
      </c>
      <c r="Q86" s="57" t="e">
        <f>P86/'Master P&amp;L'!$AD$5*10000</f>
        <v>#VALUE!</v>
      </c>
      <c r="R86" s="36" t="e" cm="1">
        <f t="array" ref="R86">_xll.BDP($C86&amp;" Equity","EST_PE_NXT_YR")*(T86/S86)</f>
        <v>#VALUE!</v>
      </c>
      <c r="S86" s="35" t="str" cm="1">
        <f t="array" ref="S86">_xll.BDP(C86&amp;" Equity","LAST_PRICE")</f>
        <v>#N/A Invalid Security Equity</v>
      </c>
      <c r="T86" s="52" t="str" cm="1">
        <f t="array" ref="T86">_xll.BDP(B86&amp;" Equity","OPT_STRIKE_PX")</f>
        <v>#N/A Invalid Security</v>
      </c>
      <c r="U86" s="39" t="e">
        <f>T86/S86-1</f>
        <v>#VALUE!</v>
      </c>
      <c r="V86" s="36" t="str" cm="1">
        <f t="array" ref="V86">_xll.BDP($B86&amp;" Equity","ivol_mid")</f>
        <v>#N/A Invalid Security</v>
      </c>
      <c r="W86" s="37" t="str" cm="1">
        <f t="array" ref="W86">_xll.BDP(B86&amp;" Equity","DELTA_MID_RT")</f>
        <v>#N/A Invalid Security</v>
      </c>
      <c r="X86" s="47" t="e">
        <f>Y86/'Master P&amp;L'!$AE$5</f>
        <v>#VALUE!</v>
      </c>
      <c r="Y86" s="15" t="e">
        <f>IF(G86="Sell", S86*W86*-H86*O86/N86, S86*W86*H86*O86/N86)</f>
        <v>#VALUE!</v>
      </c>
      <c r="Z86" s="15" t="e" cm="1">
        <f t="array" ref="Z86">_xll.BDP($B86&amp;" Equity","opt_theta")*H86*O86/N86</f>
        <v>#VALUE!</v>
      </c>
      <c r="AA86" s="18" t="e" cm="1">
        <f t="array" ref="AA86">_xll.BDP($B86&amp;" Equity","opt_theta")/I86</f>
        <v>#VALUE!</v>
      </c>
      <c r="AB86" s="35" t="str" cm="1">
        <f t="array" ref="AB86">_xll.BDP($C86&amp;" Equity","EXPECTED_REPORT_DT")</f>
        <v>#N/A Invalid Security Equity</v>
      </c>
      <c r="AC86" s="15" t="e">
        <f>S86*H86*O86/N86</f>
        <v>#VALUE!</v>
      </c>
      <c r="AD86" s="18" t="e">
        <f>AC86/'Master P&amp;L'!$AE$5</f>
        <v>#VALUE!</v>
      </c>
      <c r="AE86" t="str">
        <f>B86  &amp; " - Buy to open " &amp;  "-" &amp; H86 &amp;"x"</f>
        <v xml:space="preserve"> - Buy to open -20x</v>
      </c>
      <c r="AK86" s="58"/>
    </row>
    <row r="87" spans="1:37" hidden="1">
      <c r="A87" s="191"/>
      <c r="B87" s="72"/>
      <c r="C87" t="str" cm="1">
        <f t="array" ref="C87">_xll.BDP(B87&amp;" Equity","OPT_UNDL_TICKER")</f>
        <v>#N/A Invalid Security</v>
      </c>
      <c r="D87" s="63" t="e">
        <f>A87*AVERAGE(K87:L87)</f>
        <v>#DIV/0!</v>
      </c>
      <c r="E87" t="str" cm="1">
        <f t="array" ref="E87">_xll.BDP($B87&amp;" Index","opt_days_expire")</f>
        <v>#N/A Invalid Security</v>
      </c>
      <c r="F87" t="str" cm="1">
        <f t="array" ref="F87">_xll.BDP(B87&amp;" Equity","QUOTED_CURRENCY_REALTIME")</f>
        <v>#N/A Invalid Security</v>
      </c>
      <c r="G87" s="103" t="s">
        <v>190</v>
      </c>
      <c r="H87" s="128">
        <v>20</v>
      </c>
      <c r="I87" s="96" t="str">
        <f>IF(G87="Buy",L87,K87)</f>
        <v>#N/A Invalid Security</v>
      </c>
      <c r="J87" s="18" t="e">
        <f>I87/S87</f>
        <v>#VALUE!</v>
      </c>
      <c r="K87" s="35" t="str" cm="1">
        <f t="array" ref="K87">_xll.BDP($B87&amp;" Equity","bid")</f>
        <v>#N/A Invalid Security</v>
      </c>
      <c r="L87" s="35" t="str" cm="1">
        <f t="array" ref="L87">_xll.BDP($B87&amp;" Equity","ask")</f>
        <v>#N/A Invalid Security</v>
      </c>
      <c r="M87" s="39" t="e">
        <f>(L87/K87-1)</f>
        <v>#VALUE!</v>
      </c>
      <c r="N87" s="35" t="str" cm="1">
        <f t="array" ref="N87">_xll.BDP(F87&amp;" Curncy","PX_LAST")</f>
        <v>#N/A Invalid Security Curncy</v>
      </c>
      <c r="O87" s="132" t="str" cm="1">
        <f t="array" ref="O87">_xll.BDP(B87&amp;" Equity","OPT_MULTIPLIER")</f>
        <v>#N/A Invalid Security</v>
      </c>
      <c r="P87" s="15" t="e">
        <f>IF(G87="Buy",((I87/N87)*H87*O87),((I87/N87)*-H87*O87))</f>
        <v>#VALUE!</v>
      </c>
      <c r="Q87" s="57" t="e">
        <f>P87/'Master P&amp;L'!$AD$5*10000</f>
        <v>#VALUE!</v>
      </c>
      <c r="R87" s="36" t="e" cm="1">
        <f t="array" ref="R87">_xll.BDP($C87&amp;" Equity","EST_PE_NXT_YR")*(T87/S87)</f>
        <v>#VALUE!</v>
      </c>
      <c r="S87" s="35" t="str" cm="1">
        <f t="array" ref="S87">_xll.BDP(C87&amp;" Equity","LAST_PRICE")</f>
        <v>#N/A Invalid Security Equity</v>
      </c>
      <c r="T87" s="52" t="str" cm="1">
        <f t="array" ref="T87">_xll.BDP(B87&amp;" Equity","OPT_STRIKE_PX")</f>
        <v>#N/A Invalid Security</v>
      </c>
      <c r="U87" s="39" t="e">
        <f>T87/S87-1</f>
        <v>#VALUE!</v>
      </c>
      <c r="V87" s="36" t="str" cm="1">
        <f t="array" ref="V87">_xll.BDP($B87&amp;" Equity","ivol_mid")</f>
        <v>#N/A Invalid Security</v>
      </c>
      <c r="W87" s="37" t="str" cm="1">
        <f t="array" ref="W87">_xll.BDP(B87&amp;" Equity","DELTA_MID_RT")</f>
        <v>#N/A Invalid Security</v>
      </c>
      <c r="X87" s="47" t="e">
        <f>Y87/'Master P&amp;L'!$AE$5</f>
        <v>#VALUE!</v>
      </c>
      <c r="Y87" s="15" t="e">
        <f>IF(G87="Sell", S87*W87*-H87*O87/N87, S87*W87*H87*O87/N87)</f>
        <v>#VALUE!</v>
      </c>
      <c r="Z87" s="15" t="e" cm="1">
        <f t="array" ref="Z87">_xll.BDP($B87&amp;" Equity","opt_theta")*H87*O87/N87</f>
        <v>#VALUE!</v>
      </c>
      <c r="AA87" s="18" t="e" cm="1">
        <f t="array" ref="AA87">_xll.BDP($B87&amp;" Equity","opt_theta")/I87</f>
        <v>#VALUE!</v>
      </c>
      <c r="AB87" s="35" t="str" cm="1">
        <f t="array" ref="AB87">_xll.BDP($C87&amp;" Equity","EXPECTED_REPORT_DT")</f>
        <v>#N/A Invalid Security Equity</v>
      </c>
      <c r="AC87" s="15" t="e">
        <f>S87*H87*O87/N87</f>
        <v>#VALUE!</v>
      </c>
      <c r="AD87" s="47" t="e">
        <f>AC87/'Master P&amp;L'!$AE$5</f>
        <v>#VALUE!</v>
      </c>
      <c r="AE87" t="str">
        <f>B87&amp;" -&gt; Buy to open "&amp;H87&amp;"x"</f>
        <v xml:space="preserve"> -&gt; Buy to open 20x</v>
      </c>
    </row>
    <row r="88" spans="1:37" hidden="1">
      <c r="A88" s="191"/>
      <c r="B88" t="s">
        <v>858</v>
      </c>
      <c r="C88" t="str" cm="1">
        <f t="array" ref="C88">_xll.BDP(B88&amp;" Equity","OPT_UNDL_TICKER")</f>
        <v>META US</v>
      </c>
      <c r="D88" s="63">
        <f>A88*AVERAGE(K88:L88)</f>
        <v>0</v>
      </c>
      <c r="E88" cm="1">
        <f t="array" ref="E88">_xll.BDP($B88&amp;" Index","opt_days_expire")</f>
        <v>14</v>
      </c>
      <c r="F88" t="str" cm="1">
        <f t="array" ref="F88">_xll.BDP(B88&amp;" Equity","QUOTED_CURRENCY_REALTIME")</f>
        <v>USD</v>
      </c>
      <c r="G88" s="103" t="s">
        <v>190</v>
      </c>
      <c r="H88" s="128">
        <v>35</v>
      </c>
      <c r="I88" s="96">
        <f>IF(G88="Buy",L88,K88)</f>
        <v>8.3000000000000007</v>
      </c>
      <c r="J88" s="18">
        <f>I88/S88</f>
        <v>1.2973412320052521E-2</v>
      </c>
      <c r="K88" s="35" cm="1">
        <f t="array" ref="K88">_xll.BDP($B88&amp;" Equity","bid")</f>
        <v>8.15</v>
      </c>
      <c r="L88" s="35" cm="1">
        <f t="array" ref="L88">_xll.BDP($B88&amp;" Equity","ask")</f>
        <v>8.3000000000000007</v>
      </c>
      <c r="M88" s="39">
        <f>(L88/K88-1)</f>
        <v>1.8404907975460238E-2</v>
      </c>
      <c r="N88" s="35" cm="1">
        <f t="array" ref="N88">_xll.BDP(F88&amp;" Curncy","PX_LAST")</f>
        <v>1</v>
      </c>
      <c r="O88" s="132" cm="1">
        <f t="array" ref="O88">_xll.BDP(B88&amp;" Equity","OPT_MULTIPLIER")</f>
        <v>100</v>
      </c>
      <c r="P88" s="15">
        <f>IF(G88="Buy",((I88/N88)*H88*O88),((I88/N88)*-H88*O88))</f>
        <v>29050</v>
      </c>
      <c r="Q88" s="57">
        <f>P88/'Master P&amp;L'!$AD$5*10000</f>
        <v>0.1225448602849111</v>
      </c>
      <c r="R88" s="36" cm="1">
        <f t="array" ref="R88">_xll.BDP($C88&amp;" Equity","EST_PE_NXT_YR")*(T88/S88)</f>
        <v>17.525225703664365</v>
      </c>
      <c r="S88" s="35" cm="1">
        <f t="array" ref="S88">_xll.BDP(C88&amp;" Equity","LAST_PRICE")</f>
        <v>639.77</v>
      </c>
      <c r="T88" s="52" cm="1">
        <f t="array" ref="T88">_xll.BDP(B88&amp;" Equity","OPT_STRIKE_PX")</f>
        <v>660</v>
      </c>
      <c r="U88" s="39">
        <f>T88/S88-1</f>
        <v>3.162073870297144E-2</v>
      </c>
      <c r="V88" s="36" cm="1">
        <f t="array" ref="V88">_xll.BDP(B88&amp;" Equity","ivol_mid")</f>
        <v>32.813650000000003</v>
      </c>
      <c r="W88" s="37" cm="1">
        <f t="array" ref="W88">_xll.BDP(B88&amp;" Equity","DELTA_MID_RT")</f>
        <v>0.32702887058258057</v>
      </c>
      <c r="X88" s="47">
        <f>Y88/'Master P&amp;L'!$AE$5</f>
        <v>3.0890644855811048E-4</v>
      </c>
      <c r="Y88" s="15">
        <f>IF(G88="Sell", S88*W88*-H88*O88/N88, S88*W88*H88*O88/N88)</f>
        <v>732281.41186416137</v>
      </c>
      <c r="Z88" s="15" cm="1">
        <f t="array" ref="Z88">_xll.BDP($B88&amp;" Equity","opt_theta")*H88*O88/N88</f>
        <v>-1954.3370000000002</v>
      </c>
      <c r="AA88" s="18" cm="1">
        <f t="array" ref="AA88">_xll.BDP($B88&amp;" Equity","opt_theta")/I88</f>
        <v>-6.7274939759036145E-2</v>
      </c>
      <c r="AB88" s="35" t="str" cm="1">
        <f t="array" ref="AB88">_xll.BDP($C88&amp;" Equity","EXPECTED_REPORT_DT")</f>
        <v>30/04/2026</v>
      </c>
      <c r="AC88" s="15">
        <f>S88*H88*O88/N88</f>
        <v>2239195</v>
      </c>
      <c r="AD88" s="18">
        <f>AC88/'Master P&amp;L'!$AE$5</f>
        <v>9.4458464174069362E-4</v>
      </c>
      <c r="AE88" t="str">
        <f>B88  &amp; " -&gt; Sell to open " &amp;   H88 &amp;"x"</f>
        <v>META US 02/27/26 C660 -&gt; Sell to open 35x</v>
      </c>
    </row>
    <row r="89" spans="1:37" hidden="1">
      <c r="H89" s="99" t="s">
        <v>64</v>
      </c>
      <c r="I89" s="101" t="e">
        <f>I87-I86-I88</f>
        <v>#VALUE!</v>
      </c>
      <c r="J89" s="99" t="s">
        <v>192</v>
      </c>
      <c r="K89" s="100" t="e">
        <f>K88/L87</f>
        <v>#VALUE!</v>
      </c>
      <c r="P89" s="127" t="e">
        <f>P87+P88+P86</f>
        <v>#VALUE!</v>
      </c>
      <c r="Q89" s="57" t="e">
        <f>P89/'Master P&amp;L'!$AD$5*10000</f>
        <v>#VALUE!</v>
      </c>
      <c r="S89" s="99" t="s">
        <v>194</v>
      </c>
      <c r="T89" s="101"/>
      <c r="W89" s="99" t="s">
        <v>195</v>
      </c>
      <c r="X89" s="120" t="e">
        <f>X87+X88+X86</f>
        <v>#VALUE!</v>
      </c>
      <c r="AC89" s="99" t="s">
        <v>172</v>
      </c>
      <c r="AD89" s="120" t="e">
        <f>AD87</f>
        <v>#VALUE!</v>
      </c>
    </row>
    <row r="90" spans="1:37" hidden="1">
      <c r="H90" s="99" t="s">
        <v>196</v>
      </c>
      <c r="I90" s="101"/>
      <c r="J90" s="99" t="s">
        <v>90</v>
      </c>
      <c r="K90" s="107" t="e">
        <f>-AVERAGE(K86:L86)+AVERAGE(K87:L87)-AVERAGE(K88:L88)</f>
        <v>#DIV/0!</v>
      </c>
      <c r="P90" s="99"/>
      <c r="Q90" s="106"/>
      <c r="S90" s="99"/>
      <c r="T90" s="101"/>
      <c r="W90" s="99"/>
      <c r="X90" s="120"/>
      <c r="Y90" s="13" t="e">
        <f>(Y86+Y87+Y88)/S87</f>
        <v>#VALUE!</v>
      </c>
      <c r="AC90" s="99"/>
      <c r="AD90" s="102"/>
    </row>
    <row r="91" spans="1:37" hidden="1">
      <c r="D91" s="63"/>
      <c r="H91" s="95"/>
      <c r="I91" s="63" t="e">
        <f>(I87*A87)-(I88*A88)-(I86*A86)</f>
        <v>#VALUE!</v>
      </c>
      <c r="K91" s="63"/>
      <c r="N91" s="35"/>
      <c r="O91" s="132"/>
      <c r="P91" s="15"/>
      <c r="Q91" s="57"/>
    </row>
    <row r="93" spans="1:37">
      <c r="A93">
        <v>300</v>
      </c>
      <c r="H93" s="205">
        <v>1</v>
      </c>
      <c r="I93" s="63">
        <f>I95-I94</f>
        <v>5.5</v>
      </c>
      <c r="J93" s="17">
        <f>T94-T95</f>
        <v>20</v>
      </c>
      <c r="K93" s="205">
        <f>(J93-I93)/I93</f>
        <v>2.6363636363636362</v>
      </c>
      <c r="Q93" s="205">
        <f>Q95+Q94</f>
        <v>0.69603793277143988</v>
      </c>
    </row>
    <row r="94" spans="1:37">
      <c r="A94" s="191">
        <v>2</v>
      </c>
      <c r="B94" t="s">
        <v>1071</v>
      </c>
      <c r="C94" t="str" cm="1">
        <f t="array" ref="C94">_xll.BDP(B94&amp;" Equity","OPT_UNDL_TICKER")</f>
        <v>AMZN US</v>
      </c>
      <c r="D94" t="str" cm="1">
        <f t="array" ref="D94">_xll.BDP($B94&amp;" Index","mifid_Maturity_date")</f>
        <v>18/12/2026</v>
      </c>
      <c r="E94" cm="1">
        <f t="array" ref="E94">_xll.BDP($B94&amp;" Index","opt_days_expire")</f>
        <v>308</v>
      </c>
      <c r="F94" t="str" cm="1">
        <f t="array" ref="F94">_xll.BDP(B94&amp;" Equity","QUOTED_CURRENCY_REALTIME")</f>
        <v>USD</v>
      </c>
      <c r="G94" s="103" t="s">
        <v>191</v>
      </c>
      <c r="H94" s="128">
        <f>H95</f>
        <v>300</v>
      </c>
      <c r="I94" s="96">
        <f>IF(G94="Buy",L94,K94)</f>
        <v>12.05</v>
      </c>
      <c r="J94" s="18">
        <f>I94/S94</f>
        <v>6.0616731223904631E-2</v>
      </c>
      <c r="K94" s="35" cm="1">
        <f t="array" ref="K94">_xll.BDP($B94&amp;" Equity","bid")</f>
        <v>12.05</v>
      </c>
      <c r="L94" s="35" cm="1">
        <f t="array" ref="L94">_xll.BDP($B94&amp;" Equity","ask")</f>
        <v>12.2</v>
      </c>
      <c r="M94" s="39">
        <f>(L94/K94-1)</f>
        <v>1.2448132780082943E-2</v>
      </c>
      <c r="N94" s="35" cm="1">
        <f t="array" ref="N94">_xll.BDP(F94&amp;" Curncy","PX_LAST")</f>
        <v>1</v>
      </c>
      <c r="O94" s="132" cm="1">
        <f t="array" ref="O94">_xll.BDP(B94&amp;" Equity","OPT_MULTIPLIER")</f>
        <v>100</v>
      </c>
      <c r="P94" s="15">
        <f>IF(G94="Buy",((I94/N94)*H94*O94),((I94/N94)*-H94*O94))</f>
        <v>-361500</v>
      </c>
      <c r="Q94" s="57">
        <f>P94/'Master P&amp;L'!$AD$5*10000</f>
        <v>-1.5249558345265186</v>
      </c>
      <c r="R94" s="36" cm="1">
        <f t="array" ref="R94">_xll.BDP($C94&amp;" Equity","EST_PE_NXT_YR")*(T94/S94)</f>
        <v>22.831050228310499</v>
      </c>
      <c r="S94" s="35">
        <f>_xll.BDP(C94&amp;" Equity","LAST_PRICE")</f>
        <v>198.79</v>
      </c>
      <c r="T94" s="52" cm="1">
        <f t="array" ref="T94">_xll.BDP(B94&amp;" Equity","OPT_STRIKE_PX")</f>
        <v>250</v>
      </c>
      <c r="U94" s="39">
        <f>T94/S94-1</f>
        <v>0.25760853161627861</v>
      </c>
      <c r="V94" s="36" cm="1">
        <f t="array" ref="V94">_xll.BDP($B94&amp;" Equity","ivol_mid")</f>
        <v>35.478700000000003</v>
      </c>
      <c r="W94" s="37" cm="1">
        <f t="array" ref="W94">_xll.BDP(B94&amp;" Equity","DELTA_MID_RT")</f>
        <v>0.33078858256340027</v>
      </c>
      <c r="X94" s="47">
        <f>Y94/'Master P&amp;L'!$AE$5</f>
        <v>-8.3217614805313953E-4</v>
      </c>
      <c r="Y94" s="15">
        <f>IF(G94="Sell", S94*W94*-H94*O94/N94, S94*W94*H94*O94/N94)</f>
        <v>-1972723.8698333502</v>
      </c>
      <c r="Z94" s="15" cm="1">
        <f t="array" ref="Z94">_xll.BDP($B94&amp;" Equity","opt_theta")*H94*O94/N94</f>
        <v>-1092.5099999999998</v>
      </c>
      <c r="AA94" s="18" cm="1">
        <f t="array" ref="AA94">_xll.BDP($B94&amp;" Equity","opt_theta")/I94</f>
        <v>-3.0221576763485472E-3</v>
      </c>
      <c r="AB94" s="35" t="str" cm="1">
        <f t="array" ref="AB94">_xll.BDP($C94&amp;" Equity","EXPECTED_REPORT_DT")</f>
        <v>01/05/2026</v>
      </c>
      <c r="AC94" s="15">
        <f>S94*H94*O94/N94</f>
        <v>5963700</v>
      </c>
      <c r="AD94" s="18">
        <f>AC94/'Master P&amp;L'!$AE$5</f>
        <v>2.5157341937388101E-3</v>
      </c>
      <c r="AE94" t="str">
        <f>B94  &amp; " - Buy to open " &amp;  "-" &amp; H94 &amp;"x"</f>
        <v>AMZN US 12/18/26 C250 - Buy to open -300x</v>
      </c>
      <c r="AK94" s="58" t="s">
        <v>481</v>
      </c>
    </row>
    <row r="95" spans="1:37">
      <c r="A95" s="191">
        <v>2</v>
      </c>
      <c r="B95" t="s">
        <v>1072</v>
      </c>
      <c r="C95" t="str" cm="1">
        <f t="array" ref="C95">_xll.BDP(B95&amp;" Equity","OPT_UNDL_TICKER")</f>
        <v>AMZN US</v>
      </c>
      <c r="D95" t="str" cm="1">
        <f t="array" ref="D95">_xll.BDP($B95&amp;" Index","mifid_Maturity_date")</f>
        <v>18/12/2026</v>
      </c>
      <c r="E95" cm="1">
        <f t="array" ref="E95">_xll.BDP($B95&amp;" Index","opt_days_expire")</f>
        <v>308</v>
      </c>
      <c r="F95" t="str" cm="1">
        <f t="array" ref="F95">_xll.BDP(B95&amp;" Equity","QUOTED_CURRENCY_REALTIME")</f>
        <v>USD</v>
      </c>
      <c r="G95" s="103" t="s">
        <v>190</v>
      </c>
      <c r="H95" s="128">
        <v>300</v>
      </c>
      <c r="I95" s="96">
        <f>IF(G95="Buy",L95,K95)</f>
        <v>17.55</v>
      </c>
      <c r="J95" s="18">
        <f>I95/S95</f>
        <v>8.8284118919462751E-2</v>
      </c>
      <c r="K95" s="35" cm="1">
        <f t="array" ref="K95">_xll.BDP($B95&amp;" Equity","bid")</f>
        <v>17.350000000000001</v>
      </c>
      <c r="L95" s="35" cm="1">
        <f t="array" ref="L95">_xll.BDP($B95&amp;" Equity","ask")</f>
        <v>17.55</v>
      </c>
      <c r="M95" s="39">
        <f>(L95/K95-1)</f>
        <v>1.1527377521613813E-2</v>
      </c>
      <c r="N95" s="35" cm="1">
        <f t="array" ref="N95">_xll.BDP(F95&amp;" Curncy","PX_LAST")</f>
        <v>1</v>
      </c>
      <c r="O95" s="132" cm="1">
        <f t="array" ref="O95">_xll.BDP(B95&amp;" Equity","OPT_MULTIPLIER")</f>
        <v>100</v>
      </c>
      <c r="P95" s="15">
        <f>IF(G95="Buy",((I95/N95)*H95*O95),((I95/N95)*-H95*O95))</f>
        <v>526500</v>
      </c>
      <c r="Q95" s="57">
        <f>P95/'Master P&amp;L'!$AD$5*10000</f>
        <v>2.2209937672979585</v>
      </c>
      <c r="R95" s="36" cm="1">
        <f t="array" ref="R95">_xll.BDP($C95&amp;" Equity","EST_PE_NXT_YR")*(T95/S95)</f>
        <v>21.004566210045656</v>
      </c>
      <c r="S95" s="35">
        <f>_xll.BDP(C95&amp;" Equity","LAST_PRICE")</f>
        <v>198.79</v>
      </c>
      <c r="T95" s="52" cm="1">
        <f t="array" ref="T95">_xll.BDP(B95&amp;" Equity","OPT_STRIKE_PX")</f>
        <v>230</v>
      </c>
      <c r="U95" s="39">
        <f>T95/S95-1</f>
        <v>0.15699984908697617</v>
      </c>
      <c r="V95" s="36" cm="1">
        <f t="array" ref="V95">_xll.BDP($B95&amp;" Equity","ivol_mid")</f>
        <v>35.856870000000001</v>
      </c>
      <c r="W95" s="37" cm="1">
        <f t="array" ref="W95">_xll.BDP(B95&amp;" Equity","DELTA_MID_RT")</f>
        <v>0.4282907247543335</v>
      </c>
      <c r="X95" s="47">
        <f>Y95/'Master P&amp;L'!$AE$5</f>
        <v>1.0774656211256538E-3</v>
      </c>
      <c r="Y95" s="15">
        <f>IF(G95="Sell", S95*W95*-H95*O95/N95, S95*W95*H95*O95/N95)</f>
        <v>2554197.3952174187</v>
      </c>
      <c r="Z95" s="15" cm="1">
        <f t="array" ref="Z95">_xll.BDP($B95&amp;" Equity","opt_theta")*H95*O95/N95</f>
        <v>-1182.3899999999999</v>
      </c>
      <c r="AA95" s="18" cm="1">
        <f t="array" ref="AA95">_xll.BDP($B95&amp;" Equity","opt_theta")/I95</f>
        <v>-2.2457549857549854E-3</v>
      </c>
      <c r="AB95" s="35" t="str" cm="1">
        <f t="array" ref="AB95">_xll.BDP($C95&amp;" Equity","EXPECTED_REPORT_DT")</f>
        <v>01/05/2026</v>
      </c>
      <c r="AC95" s="15">
        <f>S95*H95*O95/N95</f>
        <v>5963700</v>
      </c>
      <c r="AD95" s="18">
        <f>AC95/'Master P&amp;L'!$AE$5</f>
        <v>2.5157341937388101E-3</v>
      </c>
      <c r="AE95" t="str">
        <f>B95  &amp; " - Buy to open " &amp;  "-" &amp; H95 &amp;"x"</f>
        <v>AMZN US 12/18/26 C230 - Buy to open -300x</v>
      </c>
      <c r="AK95" s="58" t="s">
        <v>481</v>
      </c>
    </row>
    <row r="96" spans="1:37">
      <c r="A96" s="191">
        <v>2</v>
      </c>
      <c r="B96" t="s">
        <v>1075</v>
      </c>
      <c r="C96" t="str" cm="1">
        <f t="array" ref="C96">_xll.BDP(B96&amp;" Equity","OPT_UNDL_TICKER")</f>
        <v>AMZN US</v>
      </c>
      <c r="D96" t="str" cm="1">
        <f t="array" ref="D96">_xll.BDP($B96&amp;" Index","mifid_Maturity_date")</f>
        <v>18/12/2026</v>
      </c>
      <c r="E96" cm="1">
        <f t="array" ref="E96">_xll.BDP($B96&amp;" Index","opt_days_expire")</f>
        <v>308</v>
      </c>
      <c r="F96" t="str" cm="1">
        <f t="array" ref="F96">_xll.BDP(B96&amp;" Equity","QUOTED_CURRENCY_REALTIME")</f>
        <v>USD</v>
      </c>
      <c r="G96" s="103" t="s">
        <v>191</v>
      </c>
      <c r="H96" s="128">
        <f>H95</f>
        <v>300</v>
      </c>
      <c r="I96" s="96">
        <f>IF(G96="Buy",L96,K96)</f>
        <v>15.15</v>
      </c>
      <c r="J96" s="18">
        <f>I96/S96</f>
        <v>7.6211077015946482E-2</v>
      </c>
      <c r="K96" s="35" cm="1">
        <f t="array" ref="K96">_xll.BDP($B96&amp;" Equity","bid")</f>
        <v>15.15</v>
      </c>
      <c r="L96" s="35" cm="1">
        <f t="array" ref="L96">_xll.BDP($B96&amp;" Equity","ask")</f>
        <v>15.3</v>
      </c>
      <c r="M96" s="39">
        <f>(L96/K96-1)</f>
        <v>9.9009900990099098E-3</v>
      </c>
      <c r="N96" s="35" cm="1">
        <f t="array" ref="N96">_xll.BDP(F96&amp;" Curncy","PX_LAST")</f>
        <v>1</v>
      </c>
      <c r="O96" s="132" cm="1">
        <f t="array" ref="O96">_xll.BDP(B96&amp;" Equity","OPT_MULTIPLIER")</f>
        <v>100</v>
      </c>
      <c r="P96" s="15">
        <f>IF(G96="Buy",((I96/N96)*H96*O96),((I96/N96)*-H96*O96))</f>
        <v>-454500</v>
      </c>
      <c r="Q96" s="57">
        <f>P96/'Master P&amp;L'!$AD$5*10000</f>
        <v>-1.9172681239067846</v>
      </c>
      <c r="R96" s="36" cm="1">
        <f t="array" ref="R96">_xll.BDP($C96&amp;" Equity","EST_PE_NXT_YR")*(T96/S96)</f>
        <v>16.438356164383556</v>
      </c>
      <c r="S96" s="35" cm="1">
        <f t="array" ref="S96">_xll.BDP(C96&amp;" Equity","LAST_PRICE")</f>
        <v>198.79</v>
      </c>
      <c r="T96" s="52" cm="1">
        <f t="array" ref="T96">_xll.BDP(B96&amp;" Equity","OPT_STRIKE_PX")</f>
        <v>180</v>
      </c>
      <c r="U96" s="39">
        <f>T96/S96-1</f>
        <v>-9.4521857236279483E-2</v>
      </c>
      <c r="V96" s="36" cm="1">
        <f t="array" ref="V96">_xll.BDP($B96&amp;" Equity","ivol_mid")</f>
        <v>36.381189999999997</v>
      </c>
      <c r="W96" s="37" cm="1">
        <f t="array" ref="W96">_xll.BDP(B96&amp;" Equity","DELTA_MID_RT")</f>
        <v>-0.29878926277160645</v>
      </c>
      <c r="X96" s="47">
        <f>Y96/'Master P&amp;L'!$AE$5</f>
        <v>7.5167436507654075E-4</v>
      </c>
      <c r="Y96" s="15">
        <f>IF(G96="Sell", S96*W96*-H96*O96/N96, S96*W96*H96*O96/N96)</f>
        <v>1781889.5263910294</v>
      </c>
      <c r="Z96" s="15" cm="1">
        <f t="array" ref="Z96">_xll.BDP($B96&amp;" Equity","opt_theta")*H96*O96/N96</f>
        <v>-1100.82</v>
      </c>
      <c r="AA96" s="18" cm="1">
        <f t="array" ref="AA96">_xll.BDP($B96&amp;" Equity","opt_theta")/I96</f>
        <v>-2.4220462046204618E-3</v>
      </c>
      <c r="AB96" s="35" t="str" cm="1">
        <f t="array" ref="AB96">_xll.BDP($C96&amp;" Equity","EXPECTED_REPORT_DT")</f>
        <v>01/05/2026</v>
      </c>
      <c r="AC96" s="15">
        <f>S96*H96*O96/N96</f>
        <v>5963700</v>
      </c>
      <c r="AD96" s="18">
        <f>AC96/'Master P&amp;L'!$AE$5</f>
        <v>2.5157341937388101E-3</v>
      </c>
      <c r="AE96" t="str">
        <f>B96  &amp; " - Buy to open " &amp;  "-" &amp; H96 &amp;"x"</f>
        <v>AMZN US 12/18/26 P180 - Buy to open -300x</v>
      </c>
      <c r="AK96" s="58" t="s">
        <v>481</v>
      </c>
    </row>
    <row r="97" spans="1:37">
      <c r="H97" s="99" t="s">
        <v>64</v>
      </c>
      <c r="I97" s="101">
        <f>I95-I94-I96</f>
        <v>-9.65</v>
      </c>
      <c r="J97" s="99" t="s">
        <v>192</v>
      </c>
      <c r="K97" s="100">
        <f>K96/L95</f>
        <v>0.86324786324786318</v>
      </c>
      <c r="P97" s="127">
        <f>P95+P96+P94</f>
        <v>-289500</v>
      </c>
      <c r="Q97" s="57">
        <f>P97/'Master P&amp;L'!$AD$5*10000</f>
        <v>-1.2212301911353445</v>
      </c>
      <c r="S97" s="99" t="s">
        <v>194</v>
      </c>
      <c r="T97" s="101"/>
      <c r="W97" s="99" t="s">
        <v>195</v>
      </c>
      <c r="X97" s="120">
        <f>X95+X96+X94</f>
        <v>9.9696383814905495E-4</v>
      </c>
      <c r="AC97" s="99" t="s">
        <v>172</v>
      </c>
      <c r="AD97" s="120">
        <f>AD95</f>
        <v>2.5157341937388101E-3</v>
      </c>
    </row>
    <row r="98" spans="1:37">
      <c r="B98" s="17">
        <f>((T94-T95)*(H95*100))+P97</f>
        <v>310500</v>
      </c>
      <c r="H98" s="99" t="s">
        <v>196</v>
      </c>
      <c r="I98" s="101"/>
      <c r="J98" s="99" t="s">
        <v>90</v>
      </c>
      <c r="K98" s="107">
        <f>-AVERAGE(K94:L94)+AVERAGE(K95:L95)-AVERAGE(K96:L96)</f>
        <v>-9.8999999999999986</v>
      </c>
      <c r="P98" s="99"/>
      <c r="Q98" s="106"/>
      <c r="S98" s="99"/>
      <c r="T98" s="101"/>
      <c r="W98" s="99"/>
      <c r="X98" s="120"/>
      <c r="Y98" s="13">
        <f>(Y94+Y95+Y96)/S95</f>
        <v>11888.74214887619</v>
      </c>
      <c r="AC98" s="99"/>
      <c r="AD98" s="102"/>
    </row>
    <row r="99" spans="1:37">
      <c r="B99" s="205">
        <f>B98/'Master P&amp;L'!$AD$5*10000</f>
        <v>1.3098168371244372</v>
      </c>
      <c r="D99" s="63"/>
      <c r="H99" s="95"/>
      <c r="I99" s="63">
        <f>I95-I94</f>
        <v>5.5</v>
      </c>
      <c r="K99" s="63"/>
      <c r="N99" s="35"/>
      <c r="O99" s="132"/>
      <c r="P99" s="15"/>
      <c r="Q99" s="57"/>
    </row>
    <row r="100" spans="1:37">
      <c r="D100" s="63"/>
      <c r="E100" s="126"/>
    </row>
    <row r="101" spans="1:37">
      <c r="D101" s="63"/>
      <c r="I101" s="63">
        <f>I104-I103</f>
        <v>2.2999999999999998</v>
      </c>
      <c r="Q101" s="63">
        <f>Q104+Q105</f>
        <v>-1.1769368681407986</v>
      </c>
    </row>
    <row r="102" spans="1:37">
      <c r="A102">
        <v>300</v>
      </c>
      <c r="H102" s="205">
        <v>1</v>
      </c>
      <c r="I102" s="126">
        <f>(I104-I103)/I105</f>
        <v>0.24731182795698922</v>
      </c>
      <c r="K102" s="126">
        <f>K103/K104</f>
        <v>0.74251497005988032</v>
      </c>
      <c r="Q102" s="126">
        <f>(Q104+Q103)/Q105</f>
        <v>0.66666666666666652</v>
      </c>
    </row>
    <row r="103" spans="1:37">
      <c r="A103" s="191">
        <v>2</v>
      </c>
      <c r="B103" t="s">
        <v>1076</v>
      </c>
      <c r="C103" t="str" cm="1">
        <f t="array" ref="C103">_xll.BDP(B103&amp;" Equity","OPT_UNDL_TICKER")</f>
        <v>AMZN US</v>
      </c>
      <c r="D103" t="str" cm="1">
        <f t="array" ref="D103">_xll.BDP($B103&amp;" Index","mifid_Maturity_date")</f>
        <v>17/07/2026</v>
      </c>
      <c r="E103" cm="1">
        <f t="array" ref="E103">_xll.BDP($B103&amp;" Index","opt_days_expire")</f>
        <v>154</v>
      </c>
      <c r="F103" t="str" cm="1">
        <f t="array" ref="F103">_xll.BDP(B103&amp;" Equity","QUOTED_CURRENCY_REALTIME")</f>
        <v>USD</v>
      </c>
      <c r="G103" s="103" t="s">
        <v>191</v>
      </c>
      <c r="H103" s="128">
        <v>300</v>
      </c>
      <c r="I103" s="96">
        <f>IF(G103="Buy",L103,K103)</f>
        <v>6.2</v>
      </c>
      <c r="J103" s="18">
        <f>I103/S103</f>
        <v>3.118869158408371E-2</v>
      </c>
      <c r="K103" s="35" cm="1">
        <f t="array" ref="K103">_xll.BDP($B103&amp;" Equity","bid")</f>
        <v>6.2</v>
      </c>
      <c r="L103" s="35" cm="1">
        <f t="array" ref="L103">_xll.BDP($B103&amp;" Equity","ask")</f>
        <v>6.3</v>
      </c>
      <c r="M103" s="39">
        <f>(L103/K103-1)</f>
        <v>1.6129032258064502E-2</v>
      </c>
      <c r="N103" s="35" cm="1">
        <f t="array" ref="N103">_xll.BDP(F103&amp;" Curncy","PX_LAST")</f>
        <v>1</v>
      </c>
      <c r="O103" s="132" cm="1">
        <f t="array" ref="O103">_xll.BDP(B103&amp;" Equity","OPT_MULTIPLIER")</f>
        <v>100</v>
      </c>
      <c r="P103" s="15">
        <f>IF(G103="Buy",((I103/N103)*H103*O103),((I103/N103)*-H103*O103))</f>
        <v>-186000</v>
      </c>
      <c r="Q103" s="57">
        <f>P103/'Master P&amp;L'!$AD$5*10000</f>
        <v>-0.78462457876053227</v>
      </c>
      <c r="R103" s="36" cm="1">
        <f t="array" ref="R103">_xll.BDP($C103&amp;" Equity","EST_PE_NXT_YR")*(T103/S103)</f>
        <v>21.917808219178081</v>
      </c>
      <c r="S103" s="35">
        <f>_xll.BDP(C103&amp;" Equity","LAST_PRICE")</f>
        <v>198.79</v>
      </c>
      <c r="T103" s="52" cm="1">
        <f t="array" ref="T103">_xll.BDP(B103&amp;" Equity","OPT_STRIKE_PX")</f>
        <v>240</v>
      </c>
      <c r="U103" s="39">
        <f>T103/S103-1</f>
        <v>0.2073041903516275</v>
      </c>
      <c r="V103" s="36" cm="1">
        <f t="array" ref="V103">_xll.BDP($B103&amp;" Equity","ivol_mid")</f>
        <v>35.058929999999997</v>
      </c>
      <c r="W103" s="37" cm="1">
        <f t="array" ref="W103">_xll.BDP(B103&amp;" Equity","DELTA_MID_RT")</f>
        <v>0.25737655162811279</v>
      </c>
      <c r="X103" s="47">
        <f>Y103/'Master P&amp;L'!$AE$5</f>
        <v>-6.474909915974255E-4</v>
      </c>
      <c r="Y103" s="15">
        <f>IF(G103="Sell", S103*W103*-H103*O103/N103, S103*W103*H103*O103/N103)</f>
        <v>-1534916.5409445763</v>
      </c>
      <c r="Z103" s="15" cm="1">
        <f t="array" ref="Z103">_xll.BDP($B103&amp;" Equity","opt_theta")*H103*O103/N103</f>
        <v>-1410.6</v>
      </c>
      <c r="AA103" s="18" cm="1">
        <f t="array" ref="AA103">_xll.BDP($B103&amp;" Equity","opt_theta")/I103</f>
        <v>-7.5838709677419356E-3</v>
      </c>
      <c r="AB103" s="35" t="str" cm="1">
        <f t="array" ref="AB103">_xll.BDP($C103&amp;" Equity","EXPECTED_REPORT_DT")</f>
        <v>01/05/2026</v>
      </c>
      <c r="AC103" s="15">
        <f>S103*H103*O103/N103</f>
        <v>5963700</v>
      </c>
      <c r="AD103" s="18">
        <f>AC103/'Master P&amp;L'!$AE$5</f>
        <v>2.5157341937388101E-3</v>
      </c>
      <c r="AE103" t="str">
        <f>B103  &amp; " - Buy to open " &amp;  "-" &amp; H103 &amp;"x"</f>
        <v>AMZN US 07/17/26 C240 - Buy to open -300x</v>
      </c>
      <c r="AK103" s="58" t="s">
        <v>481</v>
      </c>
    </row>
    <row r="104" spans="1:37">
      <c r="A104" s="191">
        <v>2</v>
      </c>
      <c r="B104" t="s">
        <v>1073</v>
      </c>
      <c r="C104" t="str" cm="1">
        <f t="array" ref="C104">_xll.BDP(B104&amp;" Equity","OPT_UNDL_TICKER")</f>
        <v>AMZN US</v>
      </c>
      <c r="D104" t="str" cm="1">
        <f t="array" ref="D104">_xll.BDP($B104&amp;" Index","mifid_Maturity_date")</f>
        <v>17/07/2026</v>
      </c>
      <c r="E104" cm="1">
        <f t="array" ref="E104">_xll.BDP($B104&amp;" Index","opt_days_expire")</f>
        <v>154</v>
      </c>
      <c r="F104" t="str" cm="1">
        <f t="array" ref="F104">_xll.BDP(B104&amp;" Equity","QUOTED_CURRENCY_REALTIME")</f>
        <v>USD</v>
      </c>
      <c r="G104" s="103" t="s">
        <v>190</v>
      </c>
      <c r="H104" s="128"/>
      <c r="I104" s="96">
        <f>IF(G104="Buy",L104,K104)</f>
        <v>8.5</v>
      </c>
      <c r="J104" s="18">
        <f>I104/S104</f>
        <v>4.2758690074953469E-2</v>
      </c>
      <c r="K104" s="35" cm="1">
        <f t="array" ref="K104">_xll.BDP($B104&amp;" Equity","bid")</f>
        <v>8.35</v>
      </c>
      <c r="L104" s="35" cm="1">
        <f t="array" ref="L104">_xll.BDP($B104&amp;" Equity","ask")</f>
        <v>8.5</v>
      </c>
      <c r="M104" s="39">
        <f>(L104/K104-1)</f>
        <v>1.7964071856287456E-2</v>
      </c>
      <c r="N104" s="35" cm="1">
        <f t="array" ref="N104">_xll.BDP(F104&amp;" Curncy","PX_LAST")</f>
        <v>1</v>
      </c>
      <c r="O104" s="132" cm="1">
        <f t="array" ref="O104">_xll.BDP(B104&amp;" Equity","OPT_MULTIPLIER")</f>
        <v>100</v>
      </c>
      <c r="P104" s="15">
        <f>IF(G104="Buy",((I104/N104)*H104*O104),((I104/N104)*-H104*O104))</f>
        <v>0</v>
      </c>
      <c r="Q104" s="57">
        <f>P104/'Master P&amp;L'!$AD$5*10000</f>
        <v>0</v>
      </c>
      <c r="R104" s="36" cm="1">
        <f t="array" ref="R104">_xll.BDP($C104&amp;" Equity","EST_PE_NXT_YR")*(T104/S104)</f>
        <v>21.004566210045656</v>
      </c>
      <c r="S104" s="35">
        <f>_xll.BDP(C104&amp;" Equity","LAST_PRICE")</f>
        <v>198.79</v>
      </c>
      <c r="T104" s="52" cm="1">
        <f t="array" ref="T104">_xll.BDP(B104&amp;" Equity","OPT_STRIKE_PX")</f>
        <v>230</v>
      </c>
      <c r="U104" s="39">
        <f>T104/S104-1</f>
        <v>0.15699984908697617</v>
      </c>
      <c r="V104" s="36" cm="1">
        <f t="array" ref="V104">_xll.BDP($B104&amp;" Equity","ivol_mid")</f>
        <v>35.147449999999999</v>
      </c>
      <c r="W104" s="37" cm="1">
        <f t="array" ref="W104">_xll.BDP(B104&amp;" Equity","DELTA_MID_RT")</f>
        <v>0.32216265797615051</v>
      </c>
      <c r="X104" s="47">
        <f>Y104/'Master P&amp;L'!$AE$5</f>
        <v>0</v>
      </c>
      <c r="Y104" s="15">
        <f>IF(G104="Sell", S104*W104*-H104*O104/N104, S104*W104*H104*O104/N104)</f>
        <v>0</v>
      </c>
      <c r="Z104" s="15" cm="1">
        <f t="array" ref="Z104">_xll.BDP($B104&amp;" Equity","opt_theta")*H104*O104/N104</f>
        <v>0</v>
      </c>
      <c r="AA104" s="18" cm="1">
        <f t="array" ref="AA104">_xll.BDP($B104&amp;" Equity","opt_theta")/I104</f>
        <v>-6.1432941176470593E-3</v>
      </c>
      <c r="AB104" s="35" t="str" cm="1">
        <f t="array" ref="AB104">_xll.BDP($C104&amp;" Equity","EXPECTED_REPORT_DT")</f>
        <v>01/05/2026</v>
      </c>
      <c r="AC104" s="15">
        <f>S104*H104*O104/N104</f>
        <v>0</v>
      </c>
      <c r="AD104" s="18">
        <f>AC104/'Master P&amp;L'!$AE$5</f>
        <v>0</v>
      </c>
      <c r="AE104" t="str">
        <f>B104  &amp; " - Buy to open " &amp;  "-" &amp; H104 &amp;"x"</f>
        <v>AMZN US 07/17/26 C230 - Buy to open -x</v>
      </c>
      <c r="AK104" s="58" t="s">
        <v>481</v>
      </c>
    </row>
    <row r="105" spans="1:37">
      <c r="A105" s="191">
        <v>2</v>
      </c>
      <c r="B105" t="s">
        <v>1074</v>
      </c>
      <c r="C105" t="str" cm="1">
        <f t="array" ref="C105">_xll.BDP(B105&amp;" Equity","OPT_UNDL_TICKER")</f>
        <v>AMZN US</v>
      </c>
      <c r="D105" t="str" cm="1">
        <f t="array" ref="D105">_xll.BDP($B105&amp;" Index","mifid_Maturity_date")</f>
        <v>17/07/2026</v>
      </c>
      <c r="E105" cm="1">
        <f t="array" ref="E105">_xll.BDP($B105&amp;" Index","opt_days_expire")</f>
        <v>154</v>
      </c>
      <c r="F105" t="str" cm="1">
        <f t="array" ref="F105">_xll.BDP(B105&amp;" Equity","QUOTED_CURRENCY_REALTIME")</f>
        <v>USD</v>
      </c>
      <c r="G105" s="103" t="s">
        <v>191</v>
      </c>
      <c r="H105" s="128">
        <v>300</v>
      </c>
      <c r="I105" s="96">
        <f>IF(G105="Buy",L105,K105)</f>
        <v>9.3000000000000007</v>
      </c>
      <c r="J105" s="18">
        <f>I105/S105</f>
        <v>4.6783037376125568E-2</v>
      </c>
      <c r="K105" s="35" cm="1">
        <f t="array" ref="K105">_xll.BDP($B105&amp;" Equity","bid")</f>
        <v>9.3000000000000007</v>
      </c>
      <c r="L105" s="35" cm="1">
        <f t="array" ref="L105">_xll.BDP($B105&amp;" Equity","ask")</f>
        <v>9.4499999999999993</v>
      </c>
      <c r="M105" s="39">
        <f>(L105/K105-1)</f>
        <v>1.612903225806428E-2</v>
      </c>
      <c r="N105" s="35" cm="1">
        <f t="array" ref="N105">_xll.BDP(F105&amp;" Curncy","PX_LAST")</f>
        <v>1</v>
      </c>
      <c r="O105" s="132" cm="1">
        <f t="array" ref="O105">_xll.BDP(B105&amp;" Equity","OPT_MULTIPLIER")</f>
        <v>100</v>
      </c>
      <c r="P105" s="15">
        <f>IF(G105="Buy",((I105/N105)*H105*O105),((I105/N105)*-H105*O105))</f>
        <v>-279000</v>
      </c>
      <c r="Q105" s="57">
        <f>P105/'Master P&amp;L'!$AD$5*10000</f>
        <v>-1.1769368681407986</v>
      </c>
      <c r="R105" s="36" cm="1">
        <f t="array" ref="R105">_xll.BDP($C105&amp;" Equity","EST_PE_NXT_YR")*(T105/S105)</f>
        <v>16.438356164383556</v>
      </c>
      <c r="S105" s="35" cm="1">
        <f t="array" ref="S105">_xll.BDP(C105&amp;" Equity","LAST_PRICE")</f>
        <v>198.79</v>
      </c>
      <c r="T105" s="52" cm="1">
        <f t="array" ref="T105">_xll.BDP(B105&amp;" Equity","OPT_STRIKE_PX")</f>
        <v>180</v>
      </c>
      <c r="U105" s="39">
        <f>T105/S105-1</f>
        <v>-9.4521857236279483E-2</v>
      </c>
      <c r="V105" s="36" cm="1">
        <f t="array" ref="V105">_xll.BDP($B105&amp;" Equity","ivol_mid")</f>
        <v>37.439010000000003</v>
      </c>
      <c r="W105" s="37" cm="1">
        <f t="array" ref="W105">_xll.BDP(B105&amp;" Equity","DELTA_MID_RT")</f>
        <v>-0.27932128310203552</v>
      </c>
      <c r="X105" s="47">
        <f>Y105/'Master P&amp;L'!$AE$5</f>
        <v>7.0269810293878919E-4</v>
      </c>
      <c r="Y105" s="15">
        <f>IF(G105="Sell", S105*W105*-H105*O105/N105, S105*W105*H105*O105/N105)</f>
        <v>1665788.3360356092</v>
      </c>
      <c r="Z105" s="15" cm="1">
        <f t="array" ref="Z105">_xll.BDP($B105&amp;" Equity","opt_theta")*H105*O105/N105</f>
        <v>-1602.48</v>
      </c>
      <c r="AA105" s="18" cm="1">
        <f t="array" ref="AA105">_xll.BDP($B105&amp;" Equity","opt_theta")/I105</f>
        <v>-5.7436559139784939E-3</v>
      </c>
      <c r="AB105" s="35" t="str" cm="1">
        <f t="array" ref="AB105">_xll.BDP($C105&amp;" Equity","EXPECTED_REPORT_DT")</f>
        <v>01/05/2026</v>
      </c>
      <c r="AC105" s="15">
        <f>S105*H105*O105/N105</f>
        <v>5963700</v>
      </c>
      <c r="AD105" s="18">
        <f>AC105/'Master P&amp;L'!$AE$5</f>
        <v>2.5157341937388101E-3</v>
      </c>
      <c r="AE105" t="str">
        <f>B105  &amp; " - Buy to open " &amp;  "-" &amp; H105 &amp;"x"</f>
        <v>AMZN US 07/17/26 P180 - Buy to open -300x</v>
      </c>
      <c r="AK105" s="58" t="s">
        <v>481</v>
      </c>
    </row>
    <row r="106" spans="1:37">
      <c r="H106" s="99" t="s">
        <v>64</v>
      </c>
      <c r="I106" s="101">
        <f>I104-I103-I105</f>
        <v>-7.0000000000000009</v>
      </c>
      <c r="J106" s="99" t="s">
        <v>192</v>
      </c>
      <c r="K106" s="100">
        <f>K105/L104</f>
        <v>1.0941176470588236</v>
      </c>
      <c r="P106" s="127">
        <f>P104+P105+P103</f>
        <v>-465000</v>
      </c>
      <c r="Q106" s="57">
        <f>P106/'Master P&amp;L'!$AD$5*10000</f>
        <v>-1.9615614469013307</v>
      </c>
      <c r="S106" s="99" t="s">
        <v>194</v>
      </c>
      <c r="T106" s="101"/>
      <c r="W106" s="99" t="s">
        <v>195</v>
      </c>
      <c r="X106" s="120">
        <f>X104+X105+X103</f>
        <v>5.5207111341363689E-5</v>
      </c>
      <c r="AC106" s="99" t="s">
        <v>172</v>
      </c>
      <c r="AD106" s="120">
        <f>AD104</f>
        <v>0</v>
      </c>
    </row>
    <row r="107" spans="1:37">
      <c r="H107" s="99" t="s">
        <v>196</v>
      </c>
      <c r="I107" s="101"/>
      <c r="J107" s="99" t="s">
        <v>90</v>
      </c>
      <c r="K107" s="107">
        <f>-AVERAGE(K103:L103)+AVERAGE(K104:L104)-AVERAGE(K105:L105)</f>
        <v>-7.1999999999999993</v>
      </c>
      <c r="P107" s="99"/>
      <c r="Q107" s="106"/>
      <c r="S107" s="99"/>
      <c r="T107" s="101"/>
      <c r="W107" s="99"/>
      <c r="X107" s="120"/>
      <c r="Y107" s="13">
        <f>(Y103+Y104+Y105)/S104</f>
        <v>658.34194421768188</v>
      </c>
      <c r="AC107" s="99"/>
      <c r="AD107" s="102"/>
    </row>
    <row r="108" spans="1:37">
      <c r="D108" s="63"/>
      <c r="H108" s="95">
        <v>186</v>
      </c>
      <c r="I108" s="63">
        <f>(I104*A104)-(I105*A105)-(I103*A103)</f>
        <v>-14.000000000000002</v>
      </c>
      <c r="K108" s="63"/>
      <c r="N108" s="35"/>
      <c r="O108" s="132"/>
      <c r="P108" s="15"/>
      <c r="Q108" s="57"/>
      <c r="X108" s="70">
        <f>AD106+X106</f>
        <v>5.5207111341363689E-5</v>
      </c>
    </row>
    <row r="109" spans="1:37">
      <c r="I109" s="63"/>
      <c r="K109" s="63"/>
    </row>
    <row r="110" spans="1:37">
      <c r="G110" s="63">
        <f>H110/$S$103-1</f>
        <v>0.2852759193118366</v>
      </c>
      <c r="H110" s="205">
        <f>$I$110+T103</f>
        <v>255.5</v>
      </c>
      <c r="I110" s="63">
        <f>I103+I105</f>
        <v>15.5</v>
      </c>
      <c r="K110" s="63"/>
      <c r="Q110" s="126" t="e">
        <f>(#REF!+#REF!)/#REF!</f>
        <v>#REF!</v>
      </c>
    </row>
    <row r="111" spans="1:37">
      <c r="G111" s="63">
        <f>H111/$S$103-1</f>
        <v>-0.17249358619648869</v>
      </c>
      <c r="H111" s="63">
        <f>T105-I110</f>
        <v>164.5</v>
      </c>
    </row>
  </sheetData>
  <phoneticPr fontId="4" type="noConversion"/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C9680-8A17-4F57-93E3-0C8EAAA0B9D1}">
  <sheetPr codeName="Sheet20">
    <tabColor theme="5" tint="0.79998168889431442"/>
  </sheetPr>
  <dimension ref="A1:V400"/>
  <sheetViews>
    <sheetView showGridLines="0" topLeftCell="A51" zoomScale="70" zoomScaleNormal="70" workbookViewId="0">
      <selection activeCell="O93" sqref="O93"/>
    </sheetView>
  </sheetViews>
  <sheetFormatPr defaultRowHeight="15" outlineLevelCol="1"/>
  <cols>
    <col min="2" max="2" width="25" style="138" bestFit="1" customWidth="1"/>
    <col min="3" max="3" width="20.28515625" style="4" bestFit="1" customWidth="1"/>
    <col min="4" max="4" width="17.85546875" style="4" customWidth="1" outlineLevel="1"/>
    <col min="5" max="5" width="12.140625" bestFit="1" customWidth="1"/>
    <col min="6" max="6" width="20" style="4" customWidth="1" outlineLevel="1"/>
    <col min="7" max="7" width="33.140625" style="4" customWidth="1" outlineLevel="1"/>
    <col min="8" max="8" width="14" style="174" customWidth="1" outlineLevel="1"/>
    <col min="9" max="9" width="17.85546875" customWidth="1" outlineLevel="1"/>
    <col min="10" max="10" width="12.140625" customWidth="1" outlineLevel="1"/>
    <col min="11" max="11" width="20" bestFit="1" customWidth="1"/>
    <col min="12" max="12" width="21.5703125" bestFit="1" customWidth="1"/>
    <col min="13" max="13" width="21.5703125" customWidth="1"/>
    <col min="15" max="15" width="40" style="138" bestFit="1" customWidth="1"/>
    <col min="16" max="16" width="17.85546875" bestFit="1" customWidth="1"/>
    <col min="17" max="17" width="15.85546875" bestFit="1" customWidth="1"/>
    <col min="18" max="18" width="15.28515625" bestFit="1" customWidth="1"/>
    <col min="19" max="19" width="12.140625" bestFit="1" customWidth="1"/>
  </cols>
  <sheetData>
    <row r="1" spans="2:22">
      <c r="F1" s="188" t="s">
        <v>208</v>
      </c>
      <c r="G1" s="188" t="s">
        <v>209</v>
      </c>
      <c r="H1" s="7"/>
      <c r="N1">
        <f>2900+860</f>
        <v>3760</v>
      </c>
    </row>
    <row r="2" spans="2:22">
      <c r="H2"/>
      <c r="K2" s="174"/>
    </row>
    <row r="3" spans="2:22">
      <c r="H3"/>
      <c r="K3" s="21" t="s">
        <v>112</v>
      </c>
      <c r="L3" s="21" t="s">
        <v>112</v>
      </c>
      <c r="M3" s="133" t="s">
        <v>420</v>
      </c>
    </row>
    <row r="4" spans="2:22">
      <c r="B4" s="204" t="s">
        <v>210</v>
      </c>
      <c r="C4" s="186" t="s">
        <v>211</v>
      </c>
      <c r="D4" s="186" t="s">
        <v>212</v>
      </c>
      <c r="E4" s="172" t="s">
        <v>213</v>
      </c>
      <c r="F4" s="186" t="s">
        <v>214</v>
      </c>
      <c r="G4" s="186" t="s">
        <v>215</v>
      </c>
      <c r="H4" s="172" t="s">
        <v>216</v>
      </c>
      <c r="I4" s="172" t="s">
        <v>212</v>
      </c>
      <c r="J4" s="172" t="s">
        <v>213</v>
      </c>
      <c r="K4" s="186" t="s">
        <v>214</v>
      </c>
      <c r="L4" s="186" t="s">
        <v>215</v>
      </c>
      <c r="M4" s="186" t="s">
        <v>217</v>
      </c>
      <c r="O4" s="204" t="s">
        <v>218</v>
      </c>
      <c r="P4" s="172" t="s">
        <v>212</v>
      </c>
      <c r="Q4" s="172" t="s">
        <v>219</v>
      </c>
      <c r="R4" s="176" t="s">
        <v>220</v>
      </c>
    </row>
    <row r="5" spans="2:22">
      <c r="B5" s="138" t="s">
        <v>117</v>
      </c>
      <c r="C5" s="187">
        <f>IF(B5="","",IF(LEN(B5)&gt;9,SUMIFS(Options!$H$3:$H$28,Options!$B$3:$B$28,Check!B5),SUMIFS('Master P&amp;L'!$H$11:$H$101,'Master P&amp;L'!$B$11:$B$101,Check!B5)))</f>
        <v>0</v>
      </c>
      <c r="D5" s="187">
        <f>IF(B5="","",SUMIFS(Input_APM!N:N,Input_APM!L:L,Check!B5,Input_APM!M:M,Check!$F$1))</f>
        <v>0</v>
      </c>
      <c r="E5" s="175">
        <f>IF(B5="","",C5-M5)</f>
        <v>0</v>
      </c>
      <c r="F5" s="187">
        <f>IF(B5="","",SUMIFS(Input_APM!N:N,Input_APM!M:M,Check!$F$1,Input_APM!L:L,Check!B5))</f>
        <v>0</v>
      </c>
      <c r="G5" s="187">
        <f>IF(B5="","",SUMIFS(Input_APM!N:N,Input_APM!M:M,Check!$G$1,Input_APM!L:L,Check!B5))</f>
        <v>0</v>
      </c>
      <c r="H5" s="173">
        <f>IF(B5="","",F5-G5)</f>
        <v>0</v>
      </c>
      <c r="I5" s="173">
        <f>SUMIFS(Input_APM!N:N,Input_APM!L:L,Check!B5)</f>
        <v>0</v>
      </c>
      <c r="J5" s="175">
        <f>IF(B5="","",(F5+G5)-I5)</f>
        <v>0</v>
      </c>
      <c r="K5" s="21">
        <f>IF(B5="","",SUMIFS('Input_APM (Zenith)'!N:N,'Input_APM (Zenith)'!L:L,Check!B5,'Input_APM (Zenith)'!M:M,Check!$F$1))</f>
        <v>0</v>
      </c>
      <c r="L5" s="21">
        <f>IF(B5="","",SUMIFS('Input_APM (Zenith)'!N:N,'Input_APM (Zenith)'!L:L,Check!B5,'Input_APM (Zenith)'!M:M,Check!$G$1))</f>
        <v>0</v>
      </c>
      <c r="M5" s="193">
        <f>IF(B5="","",F5+G5+K5+L5)</f>
        <v>0</v>
      </c>
      <c r="O5" s="138" t="s">
        <v>1036</v>
      </c>
      <c r="P5" s="173">
        <f>IF(O5="","",IF(OR(LEFT(O5,4)="Cash",LEFT(O5,4)="Prov"),0,SUMIFS(Input_APM!N:N,Input_APM!L:L,Check!O5)))</f>
        <v>2537</v>
      </c>
      <c r="Q5" s="21">
        <f>IF(O5="","",IF(LEN(O5)&gt;9,SUMIFS(Options!$H$3:$H$28,Options!$B$3:$B$28,Check!O5),SUMIFS('Master P&amp;L'!$H$11:$H$101,'Master P&amp;L'!$B$11:$B$101,Check!O5)))</f>
        <v>3300</v>
      </c>
      <c r="R5" s="173">
        <f>IF(O5="","",P5-Q5)</f>
        <v>-763</v>
      </c>
      <c r="S5" s="288">
        <f>IF(O5="","",IF((P5+Q5)=0,"Ok",IF(OR(P5=0,Q5=0),"Erro",P5/Q5)))</f>
        <v>0.7687878787878788</v>
      </c>
      <c r="V5" s="13"/>
    </row>
    <row r="6" spans="2:22">
      <c r="B6" t="s">
        <v>334</v>
      </c>
      <c r="C6" s="187">
        <f>IF(B6="","",IF(LEN(B6)&gt;9,SUMIFS(Options!$H$3:$H$28,Options!$B$3:$B$28,Check!B6),SUMIFS('Master P&amp;L'!$H$11:$H$101,'Master P&amp;L'!$B$11:$B$101,Check!B6)))</f>
        <v>3678</v>
      </c>
      <c r="D6" s="187">
        <f>IF(B6="","",SUMIFS(Input_APM!N:N,Input_APM!L:L,Check!B6,Input_APM!M:M,Check!$F$1))</f>
        <v>3445</v>
      </c>
      <c r="E6" s="175">
        <f>IF(B6="","",C6-M6)</f>
        <v>0</v>
      </c>
      <c r="F6" s="187">
        <f>IF(B6="","",SUMIFS(Input_APM!N:N,Input_APM!M:M,Check!$F$1,Input_APM!L:L,Check!B6))</f>
        <v>3445</v>
      </c>
      <c r="G6" s="187">
        <f>IF(B6="","",SUMIFS(Input_APM!N:N,Input_APM!M:M,Check!$G$1,Input_APM!L:L,Check!B6))</f>
        <v>0</v>
      </c>
      <c r="H6" s="173">
        <f t="shared" ref="H6:H69" si="0">IF(B6="","",F6-G6)</f>
        <v>3445</v>
      </c>
      <c r="I6" s="173">
        <f>SUMIFS(Input_APM!N:N,Input_APM!L:L,Check!B6)</f>
        <v>3445</v>
      </c>
      <c r="J6" s="175">
        <f>IF(B6="","",(F6+G6)-I6)</f>
        <v>0</v>
      </c>
      <c r="K6" s="21">
        <f>IF(B6="","",SUMIFS('Input_APM (Zenith)'!N:N,'Input_APM (Zenith)'!L:L,Check!B6,'Input_APM (Zenith)'!M:M,Check!$F$1))</f>
        <v>233</v>
      </c>
      <c r="L6" s="21">
        <f>IF(B6="","",SUMIFS('Input_APM (Zenith)'!N:N,'Input_APM (Zenith)'!L:L,Check!B6,'Input_APM (Zenith)'!M:M,Check!$G$1))</f>
        <v>0</v>
      </c>
      <c r="M6" s="193">
        <f>IF(B6="","",F6+G6+K6+L6)</f>
        <v>3678</v>
      </c>
      <c r="O6" t="s">
        <v>1079</v>
      </c>
      <c r="P6" s="173">
        <f>IF(O6="","",IF(OR(LEFT(O6,4)="Cash",LEFT(O6,4)="Prov"),0,SUMIFS(Input_APM!N:N,Input_APM!L:L,Check!O6)))</f>
        <v>12024</v>
      </c>
      <c r="Q6" s="21">
        <f>IF(O6="","",IF(LEN(O6)&gt;9,SUMIFS(Options!$H$3:$H$28,Options!$B$3:$B$28,Check!O6),SUMIFS('Master P&amp;L'!$H$11:$H$101,'Master P&amp;L'!$B$11:$B$101,Check!O6)))</f>
        <v>13268</v>
      </c>
      <c r="R6" s="173">
        <f t="shared" ref="R6:R69" si="1">IF(O6="","",P6-Q6)</f>
        <v>-1244</v>
      </c>
      <c r="S6" s="288">
        <f t="shared" ref="S6:S69" si="2">IF(O6="","",IF((P6+Q6)=0,"Ok",IF(OR(P6=0,Q6=0),"Erro",P6/Q6)))</f>
        <v>0.90624057883629783</v>
      </c>
      <c r="V6" s="13"/>
    </row>
    <row r="7" spans="2:22">
      <c r="B7" t="s">
        <v>800</v>
      </c>
      <c r="C7" s="187">
        <f>IF(B7="","",IF(LEN(B7)&gt;9,SUMIFS(Options!$H$3:$H$28,Options!$B$3:$B$28,Check!B7),SUMIFS('Master P&amp;L'!$H$11:$H$101,'Master P&amp;L'!$B$11:$B$101,Check!B7)))</f>
        <v>4500</v>
      </c>
      <c r="D7" s="187">
        <f>IF(B7="","",SUMIFS(Input_APM!N:N,Input_APM!L:L,Check!B7,Input_APM!M:M,Check!$F$1))</f>
        <v>4215</v>
      </c>
      <c r="E7" s="175">
        <f>IF(B7="","",C7-M7)</f>
        <v>0</v>
      </c>
      <c r="F7" s="187">
        <f>IF(B7="","",SUMIFS(Input_APM!N:N,Input_APM!M:M,Check!$F$1,Input_APM!L:L,Check!B7))</f>
        <v>4215</v>
      </c>
      <c r="G7" s="187">
        <f>IF(B7="","",SUMIFS(Input_APM!N:N,Input_APM!M:M,Check!$G$1,Input_APM!L:L,Check!B7))</f>
        <v>0</v>
      </c>
      <c r="H7" s="173">
        <f>IF(B7="","",F7-G7)</f>
        <v>4215</v>
      </c>
      <c r="I7" s="173">
        <f>SUMIFS(Input_APM!N:N,Input_APM!L:L,Check!B7)</f>
        <v>4215</v>
      </c>
      <c r="J7" s="175">
        <f t="shared" ref="J7:J69" si="3">IF(B7="","",(F7+G7)-I7)</f>
        <v>0</v>
      </c>
      <c r="K7" s="21">
        <f>IF(B7="","",SUMIFS('Input_APM (Zenith)'!N:N,'Input_APM (Zenith)'!L:L,Check!B7,'Input_APM (Zenith)'!M:M,Check!$F$1))</f>
        <v>285</v>
      </c>
      <c r="L7" s="21">
        <f>IF(B7="","",SUMIFS('Input_APM (Zenith)'!N:N,'Input_APM (Zenith)'!L:L,Check!B7,'Input_APM (Zenith)'!M:M,Check!$G$1))</f>
        <v>0</v>
      </c>
      <c r="M7" s="193">
        <f t="shared" ref="M7:M69" si="4">IF(B7="","",F7+G7+K7+L7)</f>
        <v>4500</v>
      </c>
      <c r="O7" t="s">
        <v>1028</v>
      </c>
      <c r="P7" s="173">
        <f>IF(O7="","",IF(OR(LEFT(O7,4)="Cash",LEFT(O7,4)="Prov"),0,SUMIFS(Input_APM!N:N,Input_APM!L:L,Check!O7)))</f>
        <v>-9389000</v>
      </c>
      <c r="Q7" s="21">
        <f>IF(O7="","",IF(LEN(O7)&gt;9,SUMIFS(Options!$H$3:$H$28,Options!$B$3:$B$28,Check!O7),SUMIFS('Master P&amp;L'!$H$11:$H$101,'Master P&amp;L'!$B$11:$B$101,Check!O7)))</f>
        <v>0</v>
      </c>
      <c r="R7" s="173">
        <f t="shared" si="1"/>
        <v>-9389000</v>
      </c>
      <c r="S7" s="288" t="str">
        <f t="shared" si="2"/>
        <v>Erro</v>
      </c>
      <c r="V7" s="13"/>
    </row>
    <row r="8" spans="2:22">
      <c r="B8" t="s">
        <v>7</v>
      </c>
      <c r="C8" s="187">
        <f>IF(B8="","",IF(LEN(B8)&gt;9,SUMIFS(Options!$H$3:$H$28,Options!$B$3:$B$28,Check!B8),SUMIFS('Master P&amp;L'!$H$11:$H$101,'Master P&amp;L'!$B$11:$B$101,Check!B8)))</f>
        <v>10000</v>
      </c>
      <c r="D8" s="187">
        <f>IF(B8="","",SUMIFS(Input_APM!N:N,Input_APM!L:L,Check!B8,Input_APM!M:M,Check!$F$1))</f>
        <v>9393</v>
      </c>
      <c r="E8" s="175">
        <f>IF(B8="","",C8-M8)</f>
        <v>0</v>
      </c>
      <c r="F8" s="187">
        <f>IF(B8="","",SUMIFS(Input_APM!N:N,Input_APM!M:M,Check!$F$1,Input_APM!L:L,Check!B8))</f>
        <v>9393</v>
      </c>
      <c r="G8" s="187">
        <f>IF(B8="","",SUMIFS(Input_APM!N:N,Input_APM!M:M,Check!$G$1,Input_APM!L:L,Check!B8))</f>
        <v>0</v>
      </c>
      <c r="H8" s="173">
        <f t="shared" si="0"/>
        <v>9393</v>
      </c>
      <c r="I8" s="173">
        <f>SUMIFS(Input_APM!N:N,Input_APM!L:L,Check!B8)</f>
        <v>9393</v>
      </c>
      <c r="J8" s="175">
        <f t="shared" si="3"/>
        <v>0</v>
      </c>
      <c r="K8" s="21">
        <f>IF(B8="","",SUMIFS('Input_APM (Zenith)'!N:N,'Input_APM (Zenith)'!L:L,Check!B8,'Input_APM (Zenith)'!M:M,Check!$F$1))</f>
        <v>607</v>
      </c>
      <c r="L8" s="21">
        <f>IF(B8="","",SUMIFS('Input_APM (Zenith)'!N:N,'Input_APM (Zenith)'!L:L,Check!B8,'Input_APM (Zenith)'!M:M,Check!$G$1))</f>
        <v>0</v>
      </c>
      <c r="M8" s="193">
        <f t="shared" si="4"/>
        <v>10000</v>
      </c>
      <c r="O8" t="s">
        <v>1076</v>
      </c>
      <c r="P8" s="173">
        <f>IF(O8="","",IF(OR(LEFT(O8,4)="Cash",LEFT(O8,4)="Prov"),0,SUMIFS(Input_APM!N:N,Input_APM!L:L,Check!O8)))</f>
        <v>-281</v>
      </c>
      <c r="Q8" s="21">
        <f>IF(O8="","",IF(LEN(O8)&gt;9,SUMIFS(Options!$H$3:$H$28,Options!$B$3:$B$28,Check!O8),SUMIFS('Master P&amp;L'!$H$11:$H$101,'Master P&amp;L'!$B$11:$B$101,Check!O8)))</f>
        <v>-300</v>
      </c>
      <c r="R8" s="173">
        <f t="shared" si="1"/>
        <v>19</v>
      </c>
      <c r="S8" s="288">
        <f t="shared" si="2"/>
        <v>0.93666666666666665</v>
      </c>
      <c r="V8" s="13"/>
    </row>
    <row r="9" spans="2:22">
      <c r="B9" t="s">
        <v>82</v>
      </c>
      <c r="C9" s="187">
        <f>IF(B9="","",IF(LEN(B9)&gt;9,SUMIFS(Options!$H$3:$H$28,Options!$B$3:$B$28,Check!B9),SUMIFS('Master P&amp;L'!$H$11:$H$101,'Master P&amp;L'!$B$11:$B$101,Check!B9)))</f>
        <v>0</v>
      </c>
      <c r="D9" s="187">
        <f>IF(B9="","",SUMIFS(Input_APM!N:N,Input_APM!L:L,Check!B9,Input_APM!M:M,Check!$F$1))</f>
        <v>0</v>
      </c>
      <c r="E9" s="175">
        <f>IF(B9="","",C9-M9)</f>
        <v>0</v>
      </c>
      <c r="F9" s="187">
        <f>IF(B9="","",SUMIFS(Input_APM!N:N,Input_APM!M:M,Check!$F$1,Input_APM!L:L,Check!B9))</f>
        <v>0</v>
      </c>
      <c r="G9" s="187">
        <f>IF(B9="","",SUMIFS(Input_APM!N:N,Input_APM!M:M,Check!$G$1,Input_APM!L:L,Check!B9))</f>
        <v>0</v>
      </c>
      <c r="H9" s="173">
        <f t="shared" si="0"/>
        <v>0</v>
      </c>
      <c r="I9" s="173">
        <f>SUMIFS(Input_APM!N:N,Input_APM!L:L,Check!B9)</f>
        <v>0</v>
      </c>
      <c r="J9" s="175">
        <f t="shared" si="3"/>
        <v>0</v>
      </c>
      <c r="K9" s="21">
        <f>IF(B9="","",SUMIFS('Input_APM (Zenith)'!N:N,'Input_APM (Zenith)'!L:L,Check!B9,'Input_APM (Zenith)'!M:M,Check!$F$1))</f>
        <v>0</v>
      </c>
      <c r="L9" s="21">
        <f>IF(B9="","",SUMIFS('Input_APM (Zenith)'!N:N,'Input_APM (Zenith)'!L:L,Check!B9,'Input_APM (Zenith)'!M:M,Check!$G$1))</f>
        <v>0</v>
      </c>
      <c r="M9" s="193">
        <f t="shared" si="4"/>
        <v>0</v>
      </c>
      <c r="O9" t="s">
        <v>1074</v>
      </c>
      <c r="P9" s="173">
        <f>IF(O9="","",IF(OR(LEFT(O9,4)="Cash",LEFT(O9,4)="Prov"),0,SUMIFS(Input_APM!N:N,Input_APM!L:L,Check!O9)))</f>
        <v>-282</v>
      </c>
      <c r="Q9" s="21">
        <f>IF(O9="","",IF(LEN(O9)&gt;9,SUMIFS(Options!$H$3:$H$28,Options!$B$3:$B$28,Check!O9),SUMIFS('Master P&amp;L'!$H$11:$H$101,'Master P&amp;L'!$B$11:$B$101,Check!O9)))</f>
        <v>-300</v>
      </c>
      <c r="R9" s="173">
        <f t="shared" si="1"/>
        <v>18</v>
      </c>
      <c r="S9" s="288">
        <f t="shared" si="2"/>
        <v>0.94</v>
      </c>
      <c r="V9" s="13"/>
    </row>
    <row r="10" spans="2:22">
      <c r="B10" t="s">
        <v>573</v>
      </c>
      <c r="C10" s="187">
        <f>IF(B10="","",IF(LEN(B10)&gt;9,SUMIFS(Options!$H$3:$H$28,Options!$B$3:$B$28,Check!B10),SUMIFS('Master P&amp;L'!$H$11:$H$101,'Master P&amp;L'!$B$11:$B$101,Check!B10)))</f>
        <v>-65</v>
      </c>
      <c r="D10" s="187">
        <f>IF(B10="","",SUMIFS(Input_APM!N:N,Input_APM!L:L,Check!B10,Input_APM!M:M,Check!$F$1))</f>
        <v>0</v>
      </c>
      <c r="E10" s="173">
        <f t="shared" ref="E10:E65" si="5">IF(B10="","",C10-M10)</f>
        <v>-65</v>
      </c>
      <c r="F10" s="187">
        <f>IF(B10="","",SUMIFS(Input_APM!N:N,Input_APM!M:M,Check!$F$1,Input_APM!L:L,Check!B10))</f>
        <v>0</v>
      </c>
      <c r="G10" s="187">
        <f>IF(B10="","",SUMIFS(Input_APM!N:N,Input_APM!M:M,Check!$G$1,Input_APM!L:L,Check!B10))</f>
        <v>0</v>
      </c>
      <c r="H10" s="173">
        <f t="shared" si="0"/>
        <v>0</v>
      </c>
      <c r="I10" s="173">
        <f>SUMIFS(Input_APM!N:N,Input_APM!L:L,Check!B10)</f>
        <v>0</v>
      </c>
      <c r="J10" s="175">
        <f t="shared" si="3"/>
        <v>0</v>
      </c>
      <c r="K10" s="21">
        <f>IF(B10="","",SUMIFS('Input_APM (Zenith)'!N:N,'Input_APM (Zenith)'!L:L,Check!B10,'Input_APM (Zenith)'!M:M,Check!$F$1))</f>
        <v>0</v>
      </c>
      <c r="L10" s="21">
        <f>IF(B10="","",SUMIFS('Input_APM (Zenith)'!N:N,'Input_APM (Zenith)'!L:L,Check!B10,'Input_APM (Zenith)'!M:M,Check!$G$1))</f>
        <v>0</v>
      </c>
      <c r="M10" s="193">
        <f t="shared" si="4"/>
        <v>0</v>
      </c>
      <c r="O10" t="s">
        <v>7</v>
      </c>
      <c r="P10" s="173">
        <f>IF(O10="","",IF(OR(LEFT(O10,4)="Cash",LEFT(O10,4)="Prov"),0,SUMIFS(Input_APM!N:N,Input_APM!L:L,Check!O10)))</f>
        <v>9393</v>
      </c>
      <c r="Q10" s="21">
        <f>IF(O10="","",IF(LEN(O10)&gt;9,SUMIFS(Options!$H$3:$H$28,Options!$B$3:$B$28,Check!O10),SUMIFS('Master P&amp;L'!$H$11:$H$101,'Master P&amp;L'!$B$11:$B$101,Check!O10)))</f>
        <v>10000</v>
      </c>
      <c r="R10" s="173">
        <f t="shared" si="1"/>
        <v>-607</v>
      </c>
      <c r="S10" s="288">
        <f t="shared" si="2"/>
        <v>0.93930000000000002</v>
      </c>
      <c r="V10" s="13"/>
    </row>
    <row r="11" spans="2:22">
      <c r="B11" t="s">
        <v>807</v>
      </c>
      <c r="C11" s="187">
        <f>IF(B11="","",IF(LEN(B11)&gt;9,SUMIFS(Options!$H$3:$H$28,Options!$B$3:$B$28,Check!B11),SUMIFS('Master P&amp;L'!$H$11:$H$101,'Master P&amp;L'!$B$11:$B$101,Check!B11)))</f>
        <v>2000</v>
      </c>
      <c r="D11" s="187">
        <f>IF(B11="","",SUMIFS(Input_APM!N:N,Input_APM!L:L,Check!B11,Input_APM!M:M,Check!$F$1))</f>
        <v>1852</v>
      </c>
      <c r="E11" s="173">
        <f t="shared" si="5"/>
        <v>0</v>
      </c>
      <c r="F11" s="187">
        <f>IF(B11="","",SUMIFS(Input_APM!N:N,Input_APM!M:M,Check!$F$1,Input_APM!L:L,Check!B11))</f>
        <v>1852</v>
      </c>
      <c r="G11" s="187">
        <f>IF(B11="","",SUMIFS(Input_APM!N:N,Input_APM!M:M,Check!$G$1,Input_APM!L:L,Check!B11))</f>
        <v>0</v>
      </c>
      <c r="H11" s="173">
        <f t="shared" si="0"/>
        <v>1852</v>
      </c>
      <c r="I11" s="173">
        <f>SUMIFS(Input_APM!N:N,Input_APM!L:L,Check!B11)</f>
        <v>1852</v>
      </c>
      <c r="J11" s="175">
        <f t="shared" si="3"/>
        <v>0</v>
      </c>
      <c r="K11" s="21">
        <f>IF(B11="","",SUMIFS('Input_APM (Zenith)'!N:N,'Input_APM (Zenith)'!L:L,Check!B11,'Input_APM (Zenith)'!M:M,Check!$F$1))</f>
        <v>148</v>
      </c>
      <c r="L11" s="21">
        <f>IF(B11="","",SUMIFS('Input_APM (Zenith)'!N:N,'Input_APM (Zenith)'!L:L,Check!B11,'Input_APM (Zenith)'!M:M,Check!$G$1))</f>
        <v>0</v>
      </c>
      <c r="M11" s="193">
        <f t="shared" si="4"/>
        <v>2000</v>
      </c>
      <c r="O11" t="s">
        <v>819</v>
      </c>
      <c r="P11" s="173">
        <f>IF(O11="","",IF(OR(LEFT(O11,4)="Cash",LEFT(O11,4)="Prov"),0,SUMIFS(Input_APM!N:N,Input_APM!L:L,Check!O11)))</f>
        <v>1874</v>
      </c>
      <c r="Q11" s="21">
        <f>IF(O11="","",IF(LEN(O11)&gt;9,SUMIFS(Options!$H$3:$H$28,Options!$B$3:$B$28,Check!O11),SUMIFS('Master P&amp;L'!$H$11:$H$101,'Master P&amp;L'!$B$11:$B$101,Check!O11)))</f>
        <v>2000</v>
      </c>
      <c r="R11" s="173">
        <f t="shared" si="1"/>
        <v>-126</v>
      </c>
      <c r="S11" s="288">
        <f t="shared" si="2"/>
        <v>0.93700000000000006</v>
      </c>
      <c r="V11" s="13"/>
    </row>
    <row r="12" spans="2:22">
      <c r="B12" t="s">
        <v>29</v>
      </c>
      <c r="C12" s="187">
        <f>IF(B12="","",IF(LEN(B12)&gt;9,SUMIFS(Options!$H$3:$H$28,Options!$B$3:$B$28,Check!B12),SUMIFS('Master P&amp;L'!$H$11:$H$101,'Master P&amp;L'!$B$11:$B$101,Check!B12)))</f>
        <v>8100</v>
      </c>
      <c r="D12" s="187">
        <f>IF(B12="","",SUMIFS(Input_APM!N:N,Input_APM!L:L,Check!B12,Input_APM!M:M,Check!$F$1))</f>
        <v>7610</v>
      </c>
      <c r="E12" s="173">
        <f t="shared" si="5"/>
        <v>0</v>
      </c>
      <c r="F12" s="187">
        <f>IF(B12="","",SUMIFS(Input_APM!N:N,Input_APM!M:M,Check!$F$1,Input_APM!L:L,Check!B12))</f>
        <v>7610</v>
      </c>
      <c r="G12" s="187">
        <f>IF(B12="","",SUMIFS(Input_APM!N:N,Input_APM!M:M,Check!$G$1,Input_APM!L:L,Check!B12))</f>
        <v>0</v>
      </c>
      <c r="H12" s="173">
        <f t="shared" si="0"/>
        <v>7610</v>
      </c>
      <c r="I12" s="173">
        <f>SUMIFS(Input_APM!N:N,Input_APM!L:L,Check!B12)</f>
        <v>7610</v>
      </c>
      <c r="J12" s="175">
        <f t="shared" si="3"/>
        <v>0</v>
      </c>
      <c r="K12" s="21">
        <f>IF(B12="","",SUMIFS('Input_APM (Zenith)'!N:N,'Input_APM (Zenith)'!L:L,Check!B12,'Input_APM (Zenith)'!M:M,Check!$F$1))</f>
        <v>490</v>
      </c>
      <c r="L12" s="21">
        <f>IF(B12="","",SUMIFS('Input_APM (Zenith)'!N:N,'Input_APM (Zenith)'!L:L,Check!B12,'Input_APM (Zenith)'!M:M,Check!$G$1))</f>
        <v>0</v>
      </c>
      <c r="M12" s="193">
        <f t="shared" si="4"/>
        <v>8100</v>
      </c>
      <c r="O12" t="s">
        <v>1049</v>
      </c>
      <c r="P12" s="173">
        <f>IF(O12="","",IF(OR(LEFT(O12,4)="Cash",LEFT(O12,4)="Prov"),0,SUMIFS(Input_APM!N:N,Input_APM!L:L,Check!O12)))</f>
        <v>469</v>
      </c>
      <c r="Q12" s="21">
        <f>IF(O12="","",IF(LEN(O12)&gt;9,SUMIFS(Options!$H$3:$H$28,Options!$B$3:$B$28,Check!O12),SUMIFS('Master P&amp;L'!$H$11:$H$101,'Master P&amp;L'!$B$11:$B$101,Check!O12)))</f>
        <v>500</v>
      </c>
      <c r="R12" s="173">
        <f t="shared" si="1"/>
        <v>-31</v>
      </c>
      <c r="S12" s="288">
        <f t="shared" si="2"/>
        <v>0.93799999999999994</v>
      </c>
      <c r="V12" s="13"/>
    </row>
    <row r="13" spans="2:22">
      <c r="B13" t="s">
        <v>316</v>
      </c>
      <c r="C13" s="187">
        <f>IF(B13="","",IF(LEN(B13)&gt;9,SUMIFS(Options!$H$3:$H$28,Options!$B$3:$B$28,Check!B13),SUMIFS('Master P&amp;L'!$H$11:$H$101,'Master P&amp;L'!$B$11:$B$101,Check!B13)))</f>
        <v>0</v>
      </c>
      <c r="D13" s="187">
        <f>IF(B13="","",SUMIFS(Input_APM!N:N,Input_APM!L:L,Check!B13,Input_APM!M:M,Check!$F$1))</f>
        <v>0</v>
      </c>
      <c r="E13" s="175">
        <f t="shared" si="5"/>
        <v>0</v>
      </c>
      <c r="F13" s="187">
        <f>IF(B13="","",SUMIFS(Input_APM!N:N,Input_APM!M:M,Check!$F$1,Input_APM!L:L,Check!B13))</f>
        <v>0</v>
      </c>
      <c r="G13" s="187">
        <f>IF(B13="","",SUMIFS(Input_APM!N:N,Input_APM!M:M,Check!$G$1,Input_APM!L:L,Check!B13))</f>
        <v>0</v>
      </c>
      <c r="H13" s="173">
        <f t="shared" si="0"/>
        <v>0</v>
      </c>
      <c r="I13" s="173">
        <f>SUMIFS(Input_APM!N:N,Input_APM!L:L,Check!B13)</f>
        <v>0</v>
      </c>
      <c r="J13" s="175">
        <f t="shared" si="3"/>
        <v>0</v>
      </c>
      <c r="K13" s="21">
        <f>IF(B13="","",SUMIFS('Input_APM (Zenith)'!N:N,'Input_APM (Zenith)'!L:L,Check!B13,'Input_APM (Zenith)'!M:M,Check!$F$1))</f>
        <v>0</v>
      </c>
      <c r="L13" s="21">
        <f>IF(B13="","",SUMIFS('Input_APM (Zenith)'!N:N,'Input_APM (Zenith)'!L:L,Check!B13,'Input_APM (Zenith)'!M:M,Check!$G$1))</f>
        <v>0</v>
      </c>
      <c r="M13" s="193">
        <f t="shared" si="4"/>
        <v>0</v>
      </c>
      <c r="O13" t="s">
        <v>84</v>
      </c>
      <c r="P13" s="173">
        <f>IF(O13="","",IF(OR(LEFT(O13,4)="Cash",LEFT(O13,4)="Prov"),0,SUMIFS(Input_APM!N:N,Input_APM!L:L,Check!O13)))</f>
        <v>15399</v>
      </c>
      <c r="Q13" s="21">
        <f>IF(O13="","",IF(LEN(O13)&gt;9,SUMIFS(Options!$H$3:$H$28,Options!$B$3:$B$28,Check!O13),SUMIFS('Master P&amp;L'!$H$11:$H$101,'Master P&amp;L'!$B$11:$B$101,Check!O13)))</f>
        <v>12750</v>
      </c>
      <c r="R13" s="173">
        <f t="shared" si="1"/>
        <v>2649</v>
      </c>
      <c r="S13" s="288">
        <f t="shared" si="2"/>
        <v>1.2077647058823529</v>
      </c>
      <c r="V13" s="13"/>
    </row>
    <row r="14" spans="2:22">
      <c r="B14" t="s">
        <v>982</v>
      </c>
      <c r="C14" s="187">
        <f>IF(B14="","",IF(LEN(B14)&gt;9,SUMIFS(Options!$H$3:$H$28,Options!$B$3:$B$28,Check!B14),SUMIFS('Master P&amp;L'!$H$11:$H$101,'Master P&amp;L'!$B$11:$B$101,Check!B14)))</f>
        <v>0</v>
      </c>
      <c r="D14" s="187">
        <f>IF(B14="","",SUMIFS(Input_APM!N:N,Input_APM!L:L,Check!B14,Input_APM!M:M,Check!$F$1))</f>
        <v>0</v>
      </c>
      <c r="E14" s="173">
        <f t="shared" si="5"/>
        <v>0</v>
      </c>
      <c r="F14" s="187">
        <f>IF(B14="","",SUMIFS(Input_APM!N:N,Input_APM!M:M,Check!$F$1,Input_APM!L:L,Check!B14))</f>
        <v>0</v>
      </c>
      <c r="G14" s="187">
        <f>IF(B14="","",SUMIFS(Input_APM!N:N,Input_APM!M:M,Check!$G$1,Input_APM!L:L,Check!B14))</f>
        <v>0</v>
      </c>
      <c r="H14" s="173">
        <f t="shared" si="0"/>
        <v>0</v>
      </c>
      <c r="I14" s="173">
        <f>SUMIFS(Input_APM!N:N,Input_APM!L:L,Check!B14)</f>
        <v>0</v>
      </c>
      <c r="J14" s="175">
        <f t="shared" si="3"/>
        <v>0</v>
      </c>
      <c r="K14" s="21">
        <f>IF(B14="","",SUMIFS('Input_APM (Zenith)'!N:N,'Input_APM (Zenith)'!L:L,Check!B14,'Input_APM (Zenith)'!M:M,Check!$F$1))</f>
        <v>0</v>
      </c>
      <c r="L14" s="21">
        <f>IF(B14="","",SUMIFS('Input_APM (Zenith)'!N:N,'Input_APM (Zenith)'!L:L,Check!B14,'Input_APM (Zenith)'!M:M,Check!$G$1))</f>
        <v>0</v>
      </c>
      <c r="M14" s="193">
        <f t="shared" si="4"/>
        <v>0</v>
      </c>
      <c r="O14" t="s">
        <v>765</v>
      </c>
      <c r="P14" s="173">
        <f>IF(O14="","",IF(OR(LEFT(O14,4)="Cash",LEFT(O14,4)="Prov"),0,SUMIFS(Input_APM!N:N,Input_APM!L:L,Check!O14)))</f>
        <v>114</v>
      </c>
      <c r="Q14" s="21">
        <f>IF(O14="","",IF(LEN(O14)&gt;9,SUMIFS(Options!$H$3:$H$28,Options!$B$3:$B$28,Check!O14),SUMIFS('Master P&amp;L'!$H$11:$H$101,'Master P&amp;L'!$B$11:$B$101,Check!O14)))</f>
        <v>120</v>
      </c>
      <c r="R14" s="173">
        <f t="shared" si="1"/>
        <v>-6</v>
      </c>
      <c r="S14" s="288">
        <f t="shared" si="2"/>
        <v>0.95</v>
      </c>
      <c r="V14" s="13"/>
    </row>
    <row r="15" spans="2:22">
      <c r="B15" t="s">
        <v>425</v>
      </c>
      <c r="C15" s="187">
        <f>IF(B15="","",IF(LEN(B15)&gt;9,SUMIFS(Options!$H$3:$H$28,Options!$B$3:$B$28,Check!B15),SUMIFS('Master P&amp;L'!$H$11:$H$101,'Master P&amp;L'!$B$11:$B$101,Check!B15)))</f>
        <v>38496</v>
      </c>
      <c r="D15" s="187">
        <f>IF(B15="","",SUMIFS(Input_APM!N:N,Input_APM!L:L,Check!B15,Input_APM!M:M,Check!$F$1))</f>
        <v>36016</v>
      </c>
      <c r="E15" s="175">
        <f t="shared" si="5"/>
        <v>0</v>
      </c>
      <c r="F15" s="187">
        <f>IF(B15="","",SUMIFS(Input_APM!N:N,Input_APM!M:M,Check!$F$1,Input_APM!L:L,Check!B15))</f>
        <v>36016</v>
      </c>
      <c r="G15" s="187">
        <f>IF(B15="","",SUMIFS(Input_APM!N:N,Input_APM!M:M,Check!$G$1,Input_APM!L:L,Check!B15))</f>
        <v>0</v>
      </c>
      <c r="H15" s="173">
        <f t="shared" si="0"/>
        <v>36016</v>
      </c>
      <c r="I15" s="173">
        <f>SUMIFS(Input_APM!N:N,Input_APM!L:L,Check!B15)</f>
        <v>36016</v>
      </c>
      <c r="J15" s="175">
        <f t="shared" si="3"/>
        <v>0</v>
      </c>
      <c r="K15" s="21">
        <f>IF(B15="","",SUMIFS('Input_APM (Zenith)'!N:N,'Input_APM (Zenith)'!L:L,Check!B15,'Input_APM (Zenith)'!M:M,Check!$F$1))</f>
        <v>2480</v>
      </c>
      <c r="L15" s="21">
        <f>IF(B15="","",SUMIFS('Input_APM (Zenith)'!N:N,'Input_APM (Zenith)'!L:L,Check!B15,'Input_APM (Zenith)'!M:M,Check!$G$1))</f>
        <v>0</v>
      </c>
      <c r="M15" s="193">
        <f t="shared" si="4"/>
        <v>38496</v>
      </c>
      <c r="O15" t="s">
        <v>334</v>
      </c>
      <c r="P15" s="173">
        <f>IF(O15="","",IF(OR(LEFT(O15,4)="Cash",LEFT(O15,4)="Prov"),0,SUMIFS(Input_APM!N:N,Input_APM!L:L,Check!O15)))</f>
        <v>3445</v>
      </c>
      <c r="Q15" s="21">
        <f>IF(O15="","",IF(LEN(O15)&gt;9,SUMIFS(Options!$H$3:$H$28,Options!$B$3:$B$28,Check!O15),SUMIFS('Master P&amp;L'!$H$11:$H$101,'Master P&amp;L'!$B$11:$B$101,Check!O15)))</f>
        <v>3678</v>
      </c>
      <c r="R15" s="173">
        <f t="shared" si="1"/>
        <v>-233</v>
      </c>
      <c r="S15" s="288">
        <f t="shared" si="2"/>
        <v>0.93665035345296355</v>
      </c>
      <c r="V15" s="13"/>
    </row>
    <row r="16" spans="2:22">
      <c r="B16" t="s">
        <v>432</v>
      </c>
      <c r="C16" s="187">
        <f>IF(B16="","",IF(LEN(B16)&gt;9,SUMIFS(Options!$H$3:$H$28,Options!$B$3:$B$28,Check!B16),SUMIFS('Master P&amp;L'!$H$11:$H$101,'Master P&amp;L'!$B$11:$B$101,Check!B16)))</f>
        <v>1563</v>
      </c>
      <c r="D16" s="187">
        <f>IF(B16="","",SUMIFS(Input_APM!N:N,Input_APM!L:L,Check!B16,Input_APM!M:M,Check!$F$1))</f>
        <v>655</v>
      </c>
      <c r="E16" s="173">
        <f t="shared" si="5"/>
        <v>856</v>
      </c>
      <c r="F16" s="187">
        <f>IF(B16="","",SUMIFS(Input_APM!N:N,Input_APM!M:M,Check!$F$1,Input_APM!L:L,Check!B16))</f>
        <v>655</v>
      </c>
      <c r="G16" s="187">
        <f>IF(B16="","",SUMIFS(Input_APM!N:N,Input_APM!M:M,Check!$G$1,Input_APM!L:L,Check!B16))</f>
        <v>0</v>
      </c>
      <c r="H16" s="173">
        <f t="shared" si="0"/>
        <v>655</v>
      </c>
      <c r="I16" s="173">
        <f>SUMIFS(Input_APM!N:N,Input_APM!L:L,Check!B16)</f>
        <v>655</v>
      </c>
      <c r="J16" s="175">
        <f t="shared" si="3"/>
        <v>0</v>
      </c>
      <c r="K16" s="21">
        <f>IF(B16="","",SUMIFS('Input_APM (Zenith)'!N:N,'Input_APM (Zenith)'!L:L,Check!B16,'Input_APM (Zenith)'!M:M,Check!$F$1))</f>
        <v>52</v>
      </c>
      <c r="L16" s="21">
        <f>IF(B16="","",SUMIFS('Input_APM (Zenith)'!N:N,'Input_APM (Zenith)'!L:L,Check!B16,'Input_APM (Zenith)'!M:M,Check!$G$1))</f>
        <v>0</v>
      </c>
      <c r="M16" s="193">
        <f t="shared" si="4"/>
        <v>707</v>
      </c>
      <c r="O16" t="s">
        <v>800</v>
      </c>
      <c r="P16" s="173">
        <f>IF(O16="","",IF(OR(LEFT(O16,4)="Cash",LEFT(O16,4)="Prov"),0,SUMIFS(Input_APM!N:N,Input_APM!L:L,Check!O16)))</f>
        <v>4215</v>
      </c>
      <c r="Q16" s="21">
        <f>IF(O16="","",IF(LEN(O16)&gt;9,SUMIFS(Options!$H$3:$H$28,Options!$B$3:$B$28,Check!O16),SUMIFS('Master P&amp;L'!$H$11:$H$101,'Master P&amp;L'!$B$11:$B$101,Check!O16)))</f>
        <v>4500</v>
      </c>
      <c r="R16" s="173">
        <f t="shared" si="1"/>
        <v>-285</v>
      </c>
      <c r="S16" s="288">
        <f t="shared" si="2"/>
        <v>0.93666666666666665</v>
      </c>
      <c r="V16" s="13"/>
    </row>
    <row r="17" spans="2:22">
      <c r="B17" t="s">
        <v>523</v>
      </c>
      <c r="C17" s="187">
        <f>IF(B17="","",IF(LEN(B17)&gt;9,SUMIFS(Options!$H$3:$H$28,Options!$B$3:$B$28,Check!B17),SUMIFS('Master P&amp;L'!$H$11:$H$101,'Master P&amp;L'!$B$11:$B$101,Check!B17)))</f>
        <v>1468</v>
      </c>
      <c r="D17" s="187">
        <f>IF(B17="","",SUMIFS(Input_APM!N:N,Input_APM!L:L,Check!B17,Input_APM!M:M,Check!$F$1))</f>
        <v>0</v>
      </c>
      <c r="E17" s="175">
        <f t="shared" si="5"/>
        <v>1468</v>
      </c>
      <c r="F17" s="187">
        <f>IF(B17="","",SUMIFS(Input_APM!N:N,Input_APM!M:M,Check!$F$1,Input_APM!L:L,Check!B17))</f>
        <v>0</v>
      </c>
      <c r="G17" s="187">
        <f>IF(B17="","",SUMIFS(Input_APM!N:N,Input_APM!M:M,Check!$G$1,Input_APM!L:L,Check!B17))</f>
        <v>0</v>
      </c>
      <c r="H17" s="173">
        <f t="shared" si="0"/>
        <v>0</v>
      </c>
      <c r="I17" s="173">
        <f>SUMIFS(Input_APM!N:N,Input_APM!L:L,Check!B17)</f>
        <v>0</v>
      </c>
      <c r="J17" s="175">
        <f t="shared" si="3"/>
        <v>0</v>
      </c>
      <c r="K17" s="21">
        <f>IF(B17="","",SUMIFS('Input_APM (Zenith)'!N:N,'Input_APM (Zenith)'!L:L,Check!B17,'Input_APM (Zenith)'!M:M,Check!$F$1))</f>
        <v>0</v>
      </c>
      <c r="L17" s="21">
        <f>IF(B17="","",SUMIFS('Input_APM (Zenith)'!N:N,'Input_APM (Zenith)'!L:L,Check!B17,'Input_APM (Zenith)'!M:M,Check!$G$1))</f>
        <v>0</v>
      </c>
      <c r="M17" s="193">
        <f t="shared" si="4"/>
        <v>0</v>
      </c>
      <c r="O17" t="s">
        <v>221</v>
      </c>
      <c r="P17" s="173">
        <f>IF(O17="","",IF(OR(LEFT(O17,4)="Cash",LEFT(O17,4)="Prov"),0,SUMIFS(Input_APM!N:N,Input_APM!L:L,Check!O17)))</f>
        <v>0</v>
      </c>
      <c r="Q17" s="21">
        <f>IF(O17="","",IF(LEN(O17)&gt;9,SUMIFS(Options!$H$3:$H$28,Options!$B$3:$B$28,Check!O17),SUMIFS('Master P&amp;L'!$H$11:$H$101,'Master P&amp;L'!$B$11:$B$101,Check!O17)))</f>
        <v>0</v>
      </c>
      <c r="R17" s="173">
        <f t="shared" si="1"/>
        <v>0</v>
      </c>
      <c r="S17" s="288" t="str">
        <f t="shared" si="2"/>
        <v>Ok</v>
      </c>
      <c r="V17" s="13"/>
    </row>
    <row r="18" spans="2:22">
      <c r="B18" t="s">
        <v>956</v>
      </c>
      <c r="C18" s="187">
        <f>IF(B18="","",IF(LEN(B18)&gt;9,SUMIFS(Options!$H$3:$H$28,Options!$B$3:$B$28,Check!B18),SUMIFS('Master P&amp;L'!$H$11:$H$101,'Master P&amp;L'!$B$11:$B$101,Check!B18)))</f>
        <v>7080</v>
      </c>
      <c r="D18" s="187">
        <f>IF(B18="","",SUMIFS(Input_APM!N:N,Input_APM!L:L,Check!B18,Input_APM!M:M,Check!$F$1))</f>
        <v>0</v>
      </c>
      <c r="E18" s="175">
        <f t="shared" si="5"/>
        <v>7080</v>
      </c>
      <c r="F18" s="187">
        <f>IF(B18="","",SUMIFS(Input_APM!N:N,Input_APM!M:M,Check!$F$1,Input_APM!L:L,Check!B18))</f>
        <v>0</v>
      </c>
      <c r="G18" s="187">
        <f>IF(B18="","",SUMIFS(Input_APM!N:N,Input_APM!M:M,Check!$G$1,Input_APM!L:L,Check!B18))</f>
        <v>0</v>
      </c>
      <c r="H18" s="173">
        <f t="shared" si="0"/>
        <v>0</v>
      </c>
      <c r="I18" s="173">
        <f>SUMIFS(Input_APM!N:N,Input_APM!L:L,Check!B18)</f>
        <v>0</v>
      </c>
      <c r="J18" s="175">
        <f t="shared" si="3"/>
        <v>0</v>
      </c>
      <c r="K18" s="21">
        <f>IF(B18="","",SUMIFS('Input_APM (Zenith)'!N:N,'Input_APM (Zenith)'!L:L,Check!B18,'Input_APM (Zenith)'!M:M,Check!$F$1))</f>
        <v>0</v>
      </c>
      <c r="L18" s="21">
        <f>IF(B18="","",SUMIFS('Input_APM (Zenith)'!N:N,'Input_APM (Zenith)'!L:L,Check!B18,'Input_APM (Zenith)'!M:M,Check!$G$1))</f>
        <v>0</v>
      </c>
      <c r="M18" s="193">
        <f t="shared" si="4"/>
        <v>0</v>
      </c>
      <c r="O18" t="s">
        <v>222</v>
      </c>
      <c r="P18" s="173">
        <f>IF(O18="","",IF(OR(LEFT(O18,4)="Cash",LEFT(O18,4)="Prov"),0,SUMIFS(Input_APM!N:N,Input_APM!L:L,Check!O18)))</f>
        <v>0</v>
      </c>
      <c r="Q18" s="21">
        <f>IF(O18="","",IF(LEN(O18)&gt;9,SUMIFS(Options!$H$3:$H$28,Options!$B$3:$B$28,Check!O18),SUMIFS('Master P&amp;L'!$H$11:$H$101,'Master P&amp;L'!$B$11:$B$101,Check!O18)))</f>
        <v>0</v>
      </c>
      <c r="R18" s="173">
        <f t="shared" si="1"/>
        <v>0</v>
      </c>
      <c r="S18" s="288" t="str">
        <f t="shared" si="2"/>
        <v>Ok</v>
      </c>
      <c r="V18" s="13"/>
    </row>
    <row r="19" spans="2:22">
      <c r="B19" t="s">
        <v>1041</v>
      </c>
      <c r="C19" s="187">
        <f>IF(B19="","",IF(LEN(B19)&gt;9,SUMIFS(Options!$H$3:$H$28,Options!$B$3:$B$28,Check!B19),SUMIFS('Master P&amp;L'!$H$11:$H$101,'Master P&amp;L'!$B$11:$B$101,Check!B19)))</f>
        <v>4400</v>
      </c>
      <c r="D19" s="187">
        <f>IF(B19="","",SUMIFS(Input_APM!N:N,Input_APM!L:L,Check!B19,Input_APM!M:M,Check!$F$1))</f>
        <v>0</v>
      </c>
      <c r="E19" s="175">
        <f t="shared" si="5"/>
        <v>4400</v>
      </c>
      <c r="F19" s="187">
        <f>IF(B19="","",SUMIFS(Input_APM!N:N,Input_APM!M:M,Check!$F$1,Input_APM!L:L,Check!B19))</f>
        <v>0</v>
      </c>
      <c r="G19" s="187">
        <f>IF(B19="","",SUMIFS(Input_APM!N:N,Input_APM!M:M,Check!$G$1,Input_APM!L:L,Check!B19))</f>
        <v>0</v>
      </c>
      <c r="H19" s="173">
        <f t="shared" si="0"/>
        <v>0</v>
      </c>
      <c r="I19" s="173">
        <f>SUMIFS(Input_APM!N:N,Input_APM!L:L,Check!B19)</f>
        <v>0</v>
      </c>
      <c r="J19" s="175">
        <f t="shared" si="3"/>
        <v>0</v>
      </c>
      <c r="K19" s="21">
        <f>IF(B19="","",SUMIFS('Input_APM (Zenith)'!N:N,'Input_APM (Zenith)'!L:L,Check!B19,'Input_APM (Zenith)'!M:M,Check!$F$1))</f>
        <v>0</v>
      </c>
      <c r="L19" s="21">
        <f>IF(B19="","",SUMIFS('Input_APM (Zenith)'!N:N,'Input_APM (Zenith)'!L:L,Check!B19,'Input_APM (Zenith)'!M:M,Check!$G$1))</f>
        <v>0</v>
      </c>
      <c r="M19" s="193">
        <f t="shared" si="4"/>
        <v>0</v>
      </c>
      <c r="O19" t="s">
        <v>223</v>
      </c>
      <c r="P19" s="173">
        <f>IF(O19="","",IF(OR(LEFT(O19,4)="Cash",LEFT(O19,4)="Prov"),0,SUMIFS(Input_APM!N:N,Input_APM!L:L,Check!O19)))</f>
        <v>0</v>
      </c>
      <c r="Q19" s="21">
        <f>IF(O19="","",IF(LEN(O19)&gt;9,SUMIFS(Options!$H$3:$H$28,Options!$B$3:$B$28,Check!O19),SUMIFS('Master P&amp;L'!$H$11:$H$101,'Master P&amp;L'!$B$11:$B$101,Check!O19)))</f>
        <v>0</v>
      </c>
      <c r="R19" s="173">
        <f t="shared" si="1"/>
        <v>0</v>
      </c>
      <c r="S19" s="288" t="str">
        <f t="shared" si="2"/>
        <v>Ok</v>
      </c>
      <c r="V19" s="13"/>
    </row>
    <row r="20" spans="2:22">
      <c r="B20" t="s">
        <v>433</v>
      </c>
      <c r="C20" s="187">
        <f>IF(B20="","",IF(LEN(B20)&gt;9,SUMIFS(Options!$H$3:$H$28,Options!$B$3:$B$28,Check!B20),SUMIFS('Master P&amp;L'!$H$11:$H$101,'Master P&amp;L'!$B$11:$B$101,Check!B20)))</f>
        <v>17950</v>
      </c>
      <c r="D20" s="187">
        <f>IF(B20="","",SUMIFS(Input_APM!N:N,Input_APM!L:L,Check!B20,Input_APM!M:M,Check!$F$1))</f>
        <v>0</v>
      </c>
      <c r="E20" s="175">
        <f>IF(B20="","",C20-M20)</f>
        <v>17950</v>
      </c>
      <c r="F20" s="187">
        <f>IF(B20="","",SUMIFS(Input_APM!N:N,Input_APM!M:M,Check!$F$1,Input_APM!L:L,Check!B20))</f>
        <v>0</v>
      </c>
      <c r="G20" s="187">
        <f>IF(B20="","",SUMIFS(Input_APM!N:N,Input_APM!M:M,Check!$G$1,Input_APM!L:L,Check!B20))</f>
        <v>0</v>
      </c>
      <c r="H20" s="173">
        <f t="shared" si="0"/>
        <v>0</v>
      </c>
      <c r="I20" s="173">
        <f>SUMIFS(Input_APM!N:N,Input_APM!L:L,Check!B20)</f>
        <v>0</v>
      </c>
      <c r="J20" s="175">
        <f t="shared" si="3"/>
        <v>0</v>
      </c>
      <c r="K20" s="21">
        <f>IF(B20="","",SUMIFS('Input_APM (Zenith)'!N:N,'Input_APM (Zenith)'!L:L,Check!B20,'Input_APM (Zenith)'!M:M,Check!$F$1))</f>
        <v>0</v>
      </c>
      <c r="L20" s="21">
        <f>IF(B20="","",SUMIFS('Input_APM (Zenith)'!N:N,'Input_APM (Zenith)'!L:L,Check!B20,'Input_APM (Zenith)'!M:M,Check!$G$1))</f>
        <v>0</v>
      </c>
      <c r="M20" s="193">
        <f t="shared" si="4"/>
        <v>0</v>
      </c>
      <c r="O20" t="s">
        <v>786</v>
      </c>
      <c r="P20" s="173">
        <f>IF(O20="","",IF(OR(LEFT(O20,4)="Cash",LEFT(O20,4)="Prov"),0,SUMIFS(Input_APM!N:N,Input_APM!L:L,Check!O20)))</f>
        <v>0</v>
      </c>
      <c r="Q20" s="21">
        <f>IF(O20="","",IF(LEN(O20)&gt;9,SUMIFS(Options!$H$3:$H$28,Options!$B$3:$B$28,Check!O20),SUMIFS('Master P&amp;L'!$H$11:$H$101,'Master P&amp;L'!$B$11:$B$101,Check!O20)))</f>
        <v>0</v>
      </c>
      <c r="R20" s="173">
        <f t="shared" si="1"/>
        <v>0</v>
      </c>
      <c r="S20" s="288" t="str">
        <f t="shared" si="2"/>
        <v>Ok</v>
      </c>
      <c r="V20" s="13"/>
    </row>
    <row r="21" spans="2:22">
      <c r="B21" t="s">
        <v>44</v>
      </c>
      <c r="C21" s="187">
        <f>IF(B21="","",IF(LEN(B21)&gt;9,SUMIFS(Options!$H$3:$H$28,Options!$B$3:$B$28,Check!B21),SUMIFS('Master P&amp;L'!$H$11:$H$101,'Master P&amp;L'!$B$11:$B$101,Check!B21)))</f>
        <v>-3360</v>
      </c>
      <c r="D21" s="187">
        <f>IF(B21="","",SUMIFS(Input_APM!N:N,Input_APM!L:L,Check!B21,Input_APM!M:M,Check!$F$1))</f>
        <v>-4697</v>
      </c>
      <c r="E21" s="173">
        <f t="shared" si="5"/>
        <v>1640</v>
      </c>
      <c r="F21" s="187">
        <f>IF(B21="","",SUMIFS(Input_APM!N:N,Input_APM!M:M,Check!$F$1,Input_APM!L:L,Check!B21))</f>
        <v>-4697</v>
      </c>
      <c r="G21" s="187">
        <f>IF(B21="","",SUMIFS(Input_APM!N:N,Input_APM!M:M,Check!$G$1,Input_APM!L:L,Check!B21))</f>
        <v>0</v>
      </c>
      <c r="H21" s="173">
        <f t="shared" si="0"/>
        <v>-4697</v>
      </c>
      <c r="I21" s="173">
        <f>SUMIFS(Input_APM!N:N,Input_APM!L:L,Check!B21)</f>
        <v>-4697</v>
      </c>
      <c r="J21" s="175">
        <f t="shared" si="3"/>
        <v>0</v>
      </c>
      <c r="K21" s="21">
        <f>IF(B21="","",SUMIFS('Input_APM (Zenith)'!N:N,'Input_APM (Zenith)'!L:L,Check!B21,'Input_APM (Zenith)'!M:M,Check!$F$1))</f>
        <v>-303</v>
      </c>
      <c r="L21" s="21">
        <f>IF(B21="","",SUMIFS('Input_APM (Zenith)'!N:N,'Input_APM (Zenith)'!L:L,Check!B21,'Input_APM (Zenith)'!M:M,Check!$G$1))</f>
        <v>0</v>
      </c>
      <c r="M21" s="193">
        <f t="shared" si="4"/>
        <v>-5000</v>
      </c>
      <c r="O21" t="s">
        <v>224</v>
      </c>
      <c r="P21" s="173">
        <f>IF(O21="","",IF(OR(LEFT(O21,4)="Cash",LEFT(O21,4)="Prov"),0,SUMIFS(Input_APM!N:N,Input_APM!L:L,Check!O21)))</f>
        <v>0</v>
      </c>
      <c r="Q21" s="21">
        <f>IF(O21="","",IF(LEN(O21)&gt;9,SUMIFS(Options!$H$3:$H$28,Options!$B$3:$B$28,Check!O21),SUMIFS('Master P&amp;L'!$H$11:$H$101,'Master P&amp;L'!$B$11:$B$101,Check!O21)))</f>
        <v>0</v>
      </c>
      <c r="R21" s="173">
        <f t="shared" si="1"/>
        <v>0</v>
      </c>
      <c r="S21" s="288" t="str">
        <f t="shared" si="2"/>
        <v>Ok</v>
      </c>
      <c r="V21" s="13"/>
    </row>
    <row r="22" spans="2:22">
      <c r="B22" t="s">
        <v>84</v>
      </c>
      <c r="C22" s="187">
        <f>IF(B22="","",IF(LEN(B22)&gt;9,SUMIFS(Options!$H$3:$H$28,Options!$B$3:$B$28,Check!B22),SUMIFS('Master P&amp;L'!$H$11:$H$101,'Master P&amp;L'!$B$11:$B$101,Check!B22)))</f>
        <v>12750</v>
      </c>
      <c r="D22" s="187">
        <f>IF(B22="","",SUMIFS(Input_APM!N:N,Input_APM!L:L,Check!B22,Input_APM!M:M,Check!$F$1))</f>
        <v>15399</v>
      </c>
      <c r="E22" s="173">
        <f t="shared" si="5"/>
        <v>-3650</v>
      </c>
      <c r="F22" s="187">
        <f>IF(B22="","",SUMIFS(Input_APM!N:N,Input_APM!M:M,Check!$F$1,Input_APM!L:L,Check!B22))</f>
        <v>15399</v>
      </c>
      <c r="G22" s="187">
        <f>IF(B22="","",SUMIFS(Input_APM!N:N,Input_APM!M:M,Check!$G$1,Input_APM!L:L,Check!B22))</f>
        <v>0</v>
      </c>
      <c r="H22" s="173">
        <f t="shared" si="0"/>
        <v>15399</v>
      </c>
      <c r="I22" s="173">
        <f>SUMIFS(Input_APM!N:N,Input_APM!L:L,Check!B22)</f>
        <v>15399</v>
      </c>
      <c r="J22" s="175">
        <f t="shared" si="3"/>
        <v>0</v>
      </c>
      <c r="K22" s="21">
        <f>IF(B22="","",SUMIFS('Input_APM (Zenith)'!N:N,'Input_APM (Zenith)'!L:L,Check!B22,'Input_APM (Zenith)'!M:M,Check!$F$1))</f>
        <v>1001</v>
      </c>
      <c r="L22" s="21">
        <f>IF(B22="","",SUMIFS('Input_APM (Zenith)'!N:N,'Input_APM (Zenith)'!L:L,Check!B22,'Input_APM (Zenith)'!M:M,Check!$G$1))</f>
        <v>0</v>
      </c>
      <c r="M22" s="193">
        <f t="shared" si="4"/>
        <v>16400</v>
      </c>
      <c r="O22" t="s">
        <v>225</v>
      </c>
      <c r="P22" s="173">
        <f>IF(O22="","",IF(OR(LEFT(O22,4)="Cash",LEFT(O22,4)="Prov"),0,SUMIFS(Input_APM!N:N,Input_APM!L:L,Check!O22)))</f>
        <v>0</v>
      </c>
      <c r="Q22" s="21">
        <f>IF(O22="","",IF(LEN(O22)&gt;9,SUMIFS(Options!$H$3:$H$28,Options!$B$3:$B$28,Check!O22),SUMIFS('Master P&amp;L'!$H$11:$H$101,'Master P&amp;L'!$B$11:$B$101,Check!O22)))</f>
        <v>0</v>
      </c>
      <c r="R22" s="173">
        <f t="shared" si="1"/>
        <v>0</v>
      </c>
      <c r="S22" s="288" t="str">
        <f t="shared" si="2"/>
        <v>Ok</v>
      </c>
      <c r="V22" s="13"/>
    </row>
    <row r="23" spans="2:22">
      <c r="B23" t="s">
        <v>342</v>
      </c>
      <c r="C23" s="187">
        <f>IF(B23="","",IF(LEN(B23)&gt;9,SUMIFS(Options!$H$3:$H$28,Options!$B$3:$B$28,Check!B23),SUMIFS('Master P&amp;L'!$H$11:$H$101,'Master P&amp;L'!$B$11:$B$101,Check!B23)))</f>
        <v>-1000</v>
      </c>
      <c r="D23" s="187">
        <f>IF(B23="","",SUMIFS(Input_APM!N:N,Input_APM!L:L,Check!B23,Input_APM!M:M,Check!$F$1))</f>
        <v>-939</v>
      </c>
      <c r="E23" s="173">
        <f t="shared" si="5"/>
        <v>0</v>
      </c>
      <c r="F23" s="187">
        <f>IF(B23="","",SUMIFS(Input_APM!N:N,Input_APM!M:M,Check!$F$1,Input_APM!L:L,Check!B23))</f>
        <v>-939</v>
      </c>
      <c r="G23" s="187">
        <f>IF(B23="","",SUMIFS(Input_APM!N:N,Input_APM!M:M,Check!$G$1,Input_APM!L:L,Check!B23))</f>
        <v>0</v>
      </c>
      <c r="H23" s="173">
        <f t="shared" si="0"/>
        <v>-939</v>
      </c>
      <c r="I23" s="173">
        <f>SUMIFS(Input_APM!N:N,Input_APM!L:L,Check!B23)</f>
        <v>-939</v>
      </c>
      <c r="J23" s="175">
        <f t="shared" si="3"/>
        <v>0</v>
      </c>
      <c r="K23" s="21">
        <f>IF(B23="","",SUMIFS('Input_APM (Zenith)'!N:N,'Input_APM (Zenith)'!L:L,Check!B23,'Input_APM (Zenith)'!M:M,Check!$F$1))</f>
        <v>-61</v>
      </c>
      <c r="L23" s="21">
        <f>IF(B23="","",SUMIFS('Input_APM (Zenith)'!N:N,'Input_APM (Zenith)'!L:L,Check!B23,'Input_APM (Zenith)'!M:M,Check!$G$1))</f>
        <v>0</v>
      </c>
      <c r="M23" s="193">
        <f t="shared" si="4"/>
        <v>-1000</v>
      </c>
      <c r="O23" t="s">
        <v>226</v>
      </c>
      <c r="P23" s="173">
        <f>IF(O23="","",IF(OR(LEFT(O23,4)="Cash",LEFT(O23,4)="Prov"),0,SUMIFS(Input_APM!N:N,Input_APM!L:L,Check!O23)))</f>
        <v>0</v>
      </c>
      <c r="Q23" s="21">
        <f>IF(O23="","",IF(LEN(O23)&gt;9,SUMIFS(Options!$H$3:$H$28,Options!$B$3:$B$28,Check!O23),SUMIFS('Master P&amp;L'!$H$11:$H$101,'Master P&amp;L'!$B$11:$B$101,Check!O23)))</f>
        <v>0</v>
      </c>
      <c r="R23" s="173">
        <f t="shared" si="1"/>
        <v>0</v>
      </c>
      <c r="S23" s="288" t="str">
        <f t="shared" si="2"/>
        <v>Ok</v>
      </c>
      <c r="V23" s="13"/>
    </row>
    <row r="24" spans="2:22">
      <c r="B24" t="s">
        <v>42</v>
      </c>
      <c r="C24" s="187">
        <f>IF(B24="","",IF(LEN(B24)&gt;9,SUMIFS(Options!$H$3:$H$28,Options!$B$3:$B$28,Check!B24),SUMIFS('Master P&amp;L'!$H$11:$H$101,'Master P&amp;L'!$B$11:$B$101,Check!B24)))</f>
        <v>55970</v>
      </c>
      <c r="D24" s="187">
        <f>IF(B24="","",SUMIFS(Input_APM!N:N,Input_APM!L:L,Check!B24,Input_APM!M:M,Check!$F$1))</f>
        <v>49407</v>
      </c>
      <c r="E24" s="173">
        <f t="shared" si="5"/>
        <v>3270</v>
      </c>
      <c r="F24" s="187">
        <f>IF(B24="","",SUMIFS(Input_APM!N:N,Input_APM!M:M,Check!$F$1,Input_APM!L:L,Check!B24))</f>
        <v>49407</v>
      </c>
      <c r="G24" s="187">
        <f>IF(B24="","",SUMIFS(Input_APM!N:N,Input_APM!M:M,Check!$G$1,Input_APM!L:L,Check!B24))</f>
        <v>0</v>
      </c>
      <c r="H24" s="173">
        <f t="shared" si="0"/>
        <v>49407</v>
      </c>
      <c r="I24" s="173">
        <f>SUMIFS(Input_APM!N:N,Input_APM!L:L,Check!B24)</f>
        <v>49407</v>
      </c>
      <c r="J24" s="175">
        <f t="shared" si="3"/>
        <v>0</v>
      </c>
      <c r="K24" s="21">
        <f>IF(B24="","",SUMIFS('Input_APM (Zenith)'!N:N,'Input_APM (Zenith)'!L:L,Check!B24,'Input_APM (Zenith)'!M:M,Check!$F$1))</f>
        <v>3293</v>
      </c>
      <c r="L24" s="21">
        <f>IF(B24="","",SUMIFS('Input_APM (Zenith)'!N:N,'Input_APM (Zenith)'!L:L,Check!B24,'Input_APM (Zenith)'!M:M,Check!$G$1))</f>
        <v>0</v>
      </c>
      <c r="M24" s="193">
        <f t="shared" si="4"/>
        <v>52700</v>
      </c>
      <c r="O24" t="s">
        <v>227</v>
      </c>
      <c r="P24" s="173">
        <f>IF(O24="","",IF(OR(LEFT(O24,4)="Cash",LEFT(O24,4)="Prov"),0,SUMIFS(Input_APM!N:N,Input_APM!L:L,Check!O24)))</f>
        <v>0</v>
      </c>
      <c r="Q24" s="21">
        <f>IF(O24="","",IF(LEN(O24)&gt;9,SUMIFS(Options!$H$3:$H$28,Options!$B$3:$B$28,Check!O24),SUMIFS('Master P&amp;L'!$H$11:$H$101,'Master P&amp;L'!$B$11:$B$101,Check!O24)))</f>
        <v>0</v>
      </c>
      <c r="R24" s="173">
        <f t="shared" si="1"/>
        <v>0</v>
      </c>
      <c r="S24" s="288" t="str">
        <f t="shared" si="2"/>
        <v>Ok</v>
      </c>
      <c r="V24" s="13"/>
    </row>
    <row r="25" spans="2:22">
      <c r="B25" t="s">
        <v>85</v>
      </c>
      <c r="C25" s="187">
        <f>IF(B25="","",IF(LEN(B25)&gt;9,SUMIFS(Options!$H$3:$H$28,Options!$B$3:$B$28,Check!B25),SUMIFS('Master P&amp;L'!$H$11:$H$101,'Master P&amp;L'!$B$11:$B$101,Check!B25)))</f>
        <v>-5600</v>
      </c>
      <c r="D25" s="187">
        <f>IF(B25="","",SUMIFS(Input_APM!N:N,Input_APM!L:L,Check!B25,Input_APM!M:M,Check!$F$1))</f>
        <v>-5262</v>
      </c>
      <c r="E25" s="173">
        <f t="shared" si="5"/>
        <v>0</v>
      </c>
      <c r="F25" s="187">
        <f>IF(B25="","",SUMIFS(Input_APM!N:N,Input_APM!M:M,Check!$F$1,Input_APM!L:L,Check!B25))</f>
        <v>-5262</v>
      </c>
      <c r="G25" s="187">
        <f>IF(B25="","",SUMIFS(Input_APM!N:N,Input_APM!M:M,Check!$G$1,Input_APM!L:L,Check!B25))</f>
        <v>0</v>
      </c>
      <c r="H25" s="173">
        <f t="shared" si="0"/>
        <v>-5262</v>
      </c>
      <c r="I25" s="173">
        <f>SUMIFS(Input_APM!N:N,Input_APM!L:L,Check!B25)</f>
        <v>-5262</v>
      </c>
      <c r="J25" s="175">
        <f t="shared" si="3"/>
        <v>0</v>
      </c>
      <c r="K25" s="21">
        <f>IF(B25="","",SUMIFS('Input_APM (Zenith)'!N:N,'Input_APM (Zenith)'!L:L,Check!B25,'Input_APM (Zenith)'!M:M,Check!$F$1))</f>
        <v>-338</v>
      </c>
      <c r="L25" s="21">
        <f>IF(B25="","",SUMIFS('Input_APM (Zenith)'!N:N,'Input_APM (Zenith)'!L:L,Check!B25,'Input_APM (Zenith)'!M:M,Check!$G$1))</f>
        <v>0</v>
      </c>
      <c r="M25" s="193">
        <f t="shared" si="4"/>
        <v>-5600</v>
      </c>
      <c r="O25" t="s">
        <v>228</v>
      </c>
      <c r="P25" s="173">
        <f>IF(O25="","",IF(OR(LEFT(O25,4)="Cash",LEFT(O25,4)="Prov"),0,SUMIFS(Input_APM!N:N,Input_APM!L:L,Check!O25)))</f>
        <v>0</v>
      </c>
      <c r="Q25" s="21">
        <f>IF(O25="","",IF(LEN(O25)&gt;9,SUMIFS(Options!$H$3:$H$28,Options!$B$3:$B$28,Check!O25),SUMIFS('Master P&amp;L'!$H$11:$H$101,'Master P&amp;L'!$B$11:$B$101,Check!O25)))</f>
        <v>0</v>
      </c>
      <c r="R25" s="173">
        <f t="shared" si="1"/>
        <v>0</v>
      </c>
      <c r="S25" s="288" t="str">
        <f t="shared" si="2"/>
        <v>Ok</v>
      </c>
      <c r="V25" s="13"/>
    </row>
    <row r="26" spans="2:22">
      <c r="B26" t="s">
        <v>728</v>
      </c>
      <c r="C26" s="187">
        <f>IF(B26="","",IF(LEN(B26)&gt;9,SUMIFS(Options!$H$3:$H$28,Options!$B$3:$B$28,Check!B26),SUMIFS('Master P&amp;L'!$H$11:$H$101,'Master P&amp;L'!$B$11:$B$101,Check!B26)))</f>
        <v>4400</v>
      </c>
      <c r="D26" s="187">
        <f>IF(B26="","",SUMIFS(Input_APM!N:N,Input_APM!L:L,Check!B26,Input_APM!M:M,Check!$F$1))</f>
        <v>3756</v>
      </c>
      <c r="E26" s="175">
        <f>IF(B26="","",C26-M26)</f>
        <v>400</v>
      </c>
      <c r="F26" s="187">
        <f>IF(B26="","",SUMIFS(Input_APM!N:N,Input_APM!M:M,Check!$F$1,Input_APM!L:L,Check!B26))</f>
        <v>3756</v>
      </c>
      <c r="G26" s="187">
        <f>IF(B26="","",SUMIFS(Input_APM!N:N,Input_APM!M:M,Check!$G$1,Input_APM!L:L,Check!B26))</f>
        <v>0</v>
      </c>
      <c r="H26" s="173">
        <f t="shared" si="0"/>
        <v>3756</v>
      </c>
      <c r="I26" s="173">
        <f>SUMIFS(Input_APM!N:N,Input_APM!L:L,Check!B26)</f>
        <v>3756</v>
      </c>
      <c r="J26" s="175">
        <f t="shared" si="3"/>
        <v>0</v>
      </c>
      <c r="K26" s="21">
        <f>IF(B26="","",SUMIFS('Input_APM (Zenith)'!N:N,'Input_APM (Zenith)'!L:L,Check!B26,'Input_APM (Zenith)'!M:M,Check!$F$1))</f>
        <v>244</v>
      </c>
      <c r="L26" s="21">
        <f>IF(B26="","",SUMIFS('Input_APM (Zenith)'!N:N,'Input_APM (Zenith)'!L:L,Check!B26,'Input_APM (Zenith)'!M:M,Check!$G$1))</f>
        <v>0</v>
      </c>
      <c r="M26" s="193">
        <f t="shared" si="4"/>
        <v>4000</v>
      </c>
      <c r="O26" t="s">
        <v>571</v>
      </c>
      <c r="P26" s="173">
        <f>IF(O26="","",IF(OR(LEFT(O26,4)="Cash",LEFT(O26,4)="Prov"),0,SUMIFS(Input_APM!N:N,Input_APM!L:L,Check!O26)))</f>
        <v>4625000</v>
      </c>
      <c r="Q26" s="21">
        <f>IF(O26="","",IF(LEN(O26)&gt;9,SUMIFS(Options!$H$3:$H$28,Options!$B$3:$B$28,Check!O26),SUMIFS('Master P&amp;L'!$H$11:$H$101,'Master P&amp;L'!$B$11:$B$101,Check!O26)))</f>
        <v>0</v>
      </c>
      <c r="R26" s="173">
        <f t="shared" si="1"/>
        <v>4625000</v>
      </c>
      <c r="S26" s="288" t="str">
        <f t="shared" si="2"/>
        <v>Erro</v>
      </c>
      <c r="V26" s="13"/>
    </row>
    <row r="27" spans="2:22">
      <c r="B27" t="s">
        <v>1052</v>
      </c>
      <c r="C27" s="187">
        <f>IF(B27="","",IF(LEN(B27)&gt;9,SUMIFS(Options!$H$3:$H$28,Options!$B$3:$B$28,Check!B27),SUMIFS('Master P&amp;L'!$H$11:$H$101,'Master P&amp;L'!$B$11:$B$101,Check!B27)))</f>
        <v>2880</v>
      </c>
      <c r="D27" s="187">
        <f>IF(B27="","",SUMIFS(Input_APM!N:N,Input_APM!L:L,Check!B27,Input_APM!M:M,Check!$F$1))</f>
        <v>0</v>
      </c>
      <c r="E27" s="175">
        <f t="shared" si="5"/>
        <v>2880</v>
      </c>
      <c r="F27" s="187">
        <f>IF(B27="","",SUMIFS(Input_APM!N:N,Input_APM!M:M,Check!$F$1,Input_APM!L:L,Check!B27))</f>
        <v>0</v>
      </c>
      <c r="G27" s="187">
        <f>IF(B27="","",SUMIFS(Input_APM!N:N,Input_APM!M:M,Check!$G$1,Input_APM!L:L,Check!B27))</f>
        <v>0</v>
      </c>
      <c r="H27" s="173">
        <f t="shared" si="0"/>
        <v>0</v>
      </c>
      <c r="I27" s="173">
        <f>SUMIFS(Input_APM!N:N,Input_APM!L:L,Check!B27)</f>
        <v>0</v>
      </c>
      <c r="J27" s="175">
        <f t="shared" si="3"/>
        <v>0</v>
      </c>
      <c r="K27" s="21">
        <f>IF(B27="","",SUMIFS('Input_APM (Zenith)'!N:N,'Input_APM (Zenith)'!L:L,Check!B27,'Input_APM (Zenith)'!M:M,Check!$F$1))</f>
        <v>0</v>
      </c>
      <c r="L27" s="21">
        <f>IF(B27="","",SUMIFS('Input_APM (Zenith)'!N:N,'Input_APM (Zenith)'!L:L,Check!B27,'Input_APM (Zenith)'!M:M,Check!$G$1))</f>
        <v>0</v>
      </c>
      <c r="M27" s="193">
        <f t="shared" si="4"/>
        <v>0</v>
      </c>
      <c r="O27" t="s">
        <v>892</v>
      </c>
      <c r="P27" s="173">
        <f>IF(O27="","",IF(OR(LEFT(O27,4)="Cash",LEFT(O27,4)="Prov"),0,SUMIFS(Input_APM!N:N,Input_APM!L:L,Check!O27)))</f>
        <v>28668</v>
      </c>
      <c r="Q27" s="21">
        <f>IF(O27="","",IF(LEN(O27)&gt;9,SUMIFS(Options!$H$3:$H$28,Options!$B$3:$B$28,Check!O27),SUMIFS('Master P&amp;L'!$H$11:$H$101,'Master P&amp;L'!$B$11:$B$101,Check!O27)))</f>
        <v>35110</v>
      </c>
      <c r="R27" s="173">
        <f t="shared" si="1"/>
        <v>-6442</v>
      </c>
      <c r="S27" s="288">
        <f t="shared" si="2"/>
        <v>0.81651951011107948</v>
      </c>
      <c r="V27" s="13"/>
    </row>
    <row r="28" spans="2:22">
      <c r="B28" t="s">
        <v>1079</v>
      </c>
      <c r="C28" s="187">
        <f>IF(B28="","",IF(LEN(B28)&gt;9,SUMIFS(Options!$H$3:$H$28,Options!$B$3:$B$28,Check!B28),SUMIFS('Master P&amp;L'!$H$11:$H$101,'Master P&amp;L'!$B$11:$B$101,Check!B28)))</f>
        <v>13268</v>
      </c>
      <c r="D28" s="187">
        <f>IF(B28="","",SUMIFS(Input_APM!N:N,Input_APM!L:L,Check!B28,Input_APM!M:M,Check!$F$1))</f>
        <v>12024</v>
      </c>
      <c r="E28" s="175">
        <f>IF(B28="","",C28-M28)</f>
        <v>468</v>
      </c>
      <c r="F28" s="187">
        <f>IF(B28="","",SUMIFS(Input_APM!N:N,Input_APM!M:M,Check!$F$1,Input_APM!L:L,Check!B28))</f>
        <v>12024</v>
      </c>
      <c r="G28" s="187">
        <f>IF(B28="","",SUMIFS(Input_APM!N:N,Input_APM!M:M,Check!$G$1,Input_APM!L:L,Check!B28))</f>
        <v>0</v>
      </c>
      <c r="H28" s="173">
        <f t="shared" si="0"/>
        <v>12024</v>
      </c>
      <c r="I28" s="173">
        <f>SUMIFS(Input_APM!N:N,Input_APM!L:L,Check!B28)</f>
        <v>12024</v>
      </c>
      <c r="J28" s="175">
        <f t="shared" si="3"/>
        <v>0</v>
      </c>
      <c r="K28" s="21">
        <f>IF(B28="","",SUMIFS('Input_APM (Zenith)'!N:N,'Input_APM (Zenith)'!L:L,Check!B28,'Input_APM (Zenith)'!M:M,Check!$F$1))</f>
        <v>776</v>
      </c>
      <c r="L28" s="21">
        <f>IF(B28="","",SUMIFS('Input_APM (Zenith)'!N:N,'Input_APM (Zenith)'!L:L,Check!B28,'Input_APM (Zenith)'!M:M,Check!$G$1))</f>
        <v>0</v>
      </c>
      <c r="M28" s="193">
        <f t="shared" si="4"/>
        <v>12800</v>
      </c>
      <c r="O28" t="s">
        <v>1050</v>
      </c>
      <c r="P28" s="173">
        <f>IF(O28="","",IF(OR(LEFT(O28,4)="Cash",LEFT(O28,4)="Prov"),0,SUMIFS(Input_APM!N:N,Input_APM!L:L,Check!O28)))</f>
        <v>-940</v>
      </c>
      <c r="Q28" s="21">
        <f>IF(O28="","",IF(LEN(O28)&gt;9,SUMIFS(Options!$H$3:$H$28,Options!$B$3:$B$28,Check!O28),SUMIFS('Master P&amp;L'!$H$11:$H$101,'Master P&amp;L'!$B$11:$B$101,Check!O28)))</f>
        <v>-1000</v>
      </c>
      <c r="R28" s="173">
        <f t="shared" si="1"/>
        <v>60</v>
      </c>
      <c r="S28" s="288">
        <f t="shared" si="2"/>
        <v>0.94</v>
      </c>
      <c r="V28" s="13"/>
    </row>
    <row r="29" spans="2:22">
      <c r="B29" t="s">
        <v>892</v>
      </c>
      <c r="C29" s="187">
        <f>IF(B29="","",IF(LEN(B29)&gt;9,SUMIFS(Options!$H$3:$H$28,Options!$B$3:$B$28,Check!B29),SUMIFS('Master P&amp;L'!$H$11:$H$101,'Master P&amp;L'!$B$11:$B$101,Check!B29)))</f>
        <v>35110</v>
      </c>
      <c r="D29" s="187">
        <f>IF(B29="","",SUMIFS(Input_APM!N:N,Input_APM!L:L,Check!B29,Input_APM!M:M,Check!$F$1))</f>
        <v>28668</v>
      </c>
      <c r="E29" s="175">
        <f t="shared" si="5"/>
        <v>4550</v>
      </c>
      <c r="F29" s="187">
        <f>IF(B29="","",SUMIFS(Input_APM!N:N,Input_APM!M:M,Check!$F$1,Input_APM!L:L,Check!B29))</f>
        <v>28668</v>
      </c>
      <c r="G29" s="187">
        <f>IF(B29="","",SUMIFS(Input_APM!N:N,Input_APM!M:M,Check!$G$1,Input_APM!L:L,Check!B29))</f>
        <v>0</v>
      </c>
      <c r="H29" s="173">
        <f t="shared" si="0"/>
        <v>28668</v>
      </c>
      <c r="I29" s="173">
        <f>SUMIFS(Input_APM!N:N,Input_APM!L:L,Check!B29)</f>
        <v>28668</v>
      </c>
      <c r="J29" s="175">
        <f t="shared" si="3"/>
        <v>0</v>
      </c>
      <c r="K29" s="21">
        <f>IF(B29="","",SUMIFS('Input_APM (Zenith)'!N:N,'Input_APM (Zenith)'!L:L,Check!B29,'Input_APM (Zenith)'!M:M,Check!$F$1))</f>
        <v>1892</v>
      </c>
      <c r="L29" s="21">
        <f>IF(B29="","",SUMIFS('Input_APM (Zenith)'!N:N,'Input_APM (Zenith)'!L:L,Check!B29,'Input_APM (Zenith)'!M:M,Check!$G$1))</f>
        <v>0</v>
      </c>
      <c r="M29" s="193">
        <f>IF(B29="","",F29+G29+K29+L29)</f>
        <v>30560</v>
      </c>
      <c r="O29" t="s">
        <v>1051</v>
      </c>
      <c r="P29" s="173">
        <f>IF(O29="","",IF(OR(LEFT(O29,4)="Cash",LEFT(O29,4)="Prov"),0,SUMIFS(Input_APM!N:N,Input_APM!L:L,Check!O29)))</f>
        <v>940</v>
      </c>
      <c r="Q29" s="21">
        <f>IF(O29="","",IF(LEN(O29)&gt;9,SUMIFS(Options!$H$3:$H$28,Options!$B$3:$B$28,Check!O29),SUMIFS('Master P&amp;L'!$H$11:$H$101,'Master P&amp;L'!$B$11:$B$101,Check!O29)))</f>
        <v>1000</v>
      </c>
      <c r="R29" s="173">
        <f t="shared" si="1"/>
        <v>-60</v>
      </c>
      <c r="S29" s="288">
        <f t="shared" si="2"/>
        <v>0.94</v>
      </c>
      <c r="V29" s="13"/>
    </row>
    <row r="30" spans="2:22">
      <c r="B30" t="s">
        <v>790</v>
      </c>
      <c r="C30" s="187">
        <f>IF(B30="","",IF(LEN(B30)&gt;9,SUMIFS(Options!$H$3:$H$28,Options!$B$3:$B$28,Check!B30),SUMIFS('Master P&amp;L'!$H$11:$H$101,'Master P&amp;L'!$B$11:$B$101,Check!B30)))</f>
        <v>30000</v>
      </c>
      <c r="D30" s="187">
        <f>IF(B30="","",SUMIFS(Input_APM!N:N,Input_APM!L:L,Check!B30,Input_APM!M:M,Check!$F$1))</f>
        <v>28071</v>
      </c>
      <c r="E30" s="175">
        <f t="shared" si="5"/>
        <v>0</v>
      </c>
      <c r="F30" s="187">
        <f>IF(B30="","",SUMIFS(Input_APM!N:N,Input_APM!M:M,Check!$F$1,Input_APM!L:L,Check!B30))</f>
        <v>28071</v>
      </c>
      <c r="G30" s="187">
        <f>IF(B30="","",SUMIFS(Input_APM!N:N,Input_APM!M:M,Check!$G$1,Input_APM!L:L,Check!B30))</f>
        <v>0</v>
      </c>
      <c r="H30" s="173">
        <f t="shared" si="0"/>
        <v>28071</v>
      </c>
      <c r="I30" s="173">
        <f>SUMIFS(Input_APM!N:N,Input_APM!L:L,Check!B30)</f>
        <v>28071</v>
      </c>
      <c r="J30" s="175">
        <f t="shared" si="3"/>
        <v>0</v>
      </c>
      <c r="K30" s="21">
        <f>IF(B30="","",SUMIFS('Input_APM (Zenith)'!N:N,'Input_APM (Zenith)'!L:L,Check!B30,'Input_APM (Zenith)'!M:M,Check!$F$1))</f>
        <v>1929</v>
      </c>
      <c r="L30" s="21">
        <f>IF(B30="","",SUMIFS('Input_APM (Zenith)'!N:N,'Input_APM (Zenith)'!L:L,Check!B30,'Input_APM (Zenith)'!M:M,Check!$G$1))</f>
        <v>0</v>
      </c>
      <c r="M30" s="193">
        <f>IF(B30="","",F30+G30+K30+L30)</f>
        <v>30000</v>
      </c>
      <c r="O30" t="s">
        <v>1078</v>
      </c>
      <c r="P30" s="173">
        <f>IF(O30="","",IF(OR(LEFT(O30,4)="Cash",LEFT(O30,4)="Prov"),0,SUMIFS(Input_APM!N:N,Input_APM!L:L,Check!O30)))</f>
        <v>-470</v>
      </c>
      <c r="Q30" s="21">
        <f>IF(O30="","",IF(LEN(O30)&gt;9,SUMIFS(Options!$H$3:$H$28,Options!$B$3:$B$28,Check!O30),SUMIFS('Master P&amp;L'!$H$11:$H$101,'Master P&amp;L'!$B$11:$B$101,Check!O30)))</f>
        <v>-500</v>
      </c>
      <c r="R30" s="173">
        <f t="shared" si="1"/>
        <v>30</v>
      </c>
      <c r="S30" s="288">
        <f t="shared" si="2"/>
        <v>0.94</v>
      </c>
      <c r="V30" s="13"/>
    </row>
    <row r="31" spans="2:22">
      <c r="B31" t="s">
        <v>1036</v>
      </c>
      <c r="C31" s="187">
        <f>IF(B31="","",IF(LEN(B31)&gt;9,SUMIFS(Options!$H$3:$H$28,Options!$B$3:$B$28,Check!B31),SUMIFS('Master P&amp;L'!$H$11:$H$101,'Master P&amp;L'!$B$11:$B$101,Check!B31)))</f>
        <v>3300</v>
      </c>
      <c r="D31" s="187">
        <f>IF(B31="","",SUMIFS(Input_APM!N:N,Input_APM!L:L,Check!B31,Input_APM!M:M,Check!$F$1))</f>
        <v>2537</v>
      </c>
      <c r="E31" s="175">
        <f>IF(B31="","",C31-M31)</f>
        <v>600</v>
      </c>
      <c r="F31" s="187">
        <f>IF(B31="","",SUMIFS(Input_APM!N:N,Input_APM!M:M,Check!$F$1,Input_APM!L:L,Check!B31))</f>
        <v>2537</v>
      </c>
      <c r="G31" s="187">
        <f>IF(B31="","",SUMIFS(Input_APM!N:N,Input_APM!M:M,Check!$G$1,Input_APM!L:L,Check!B31))</f>
        <v>0</v>
      </c>
      <c r="H31" s="173">
        <f t="shared" si="0"/>
        <v>2537</v>
      </c>
      <c r="I31" s="173">
        <f>SUMIFS(Input_APM!N:N,Input_APM!L:L,Check!B31)</f>
        <v>2537</v>
      </c>
      <c r="J31" s="175">
        <f t="shared" si="3"/>
        <v>0</v>
      </c>
      <c r="K31" s="21">
        <f>IF(B31="","",SUMIFS('Input_APM (Zenith)'!N:N,'Input_APM (Zenith)'!L:L,Check!B31,'Input_APM (Zenith)'!M:M,Check!$F$1))</f>
        <v>163</v>
      </c>
      <c r="L31" s="21">
        <f>IF(B31="","",SUMIFS('Input_APM (Zenith)'!N:N,'Input_APM (Zenith)'!L:L,Check!B31,'Input_APM (Zenith)'!M:M,Check!$G$1))</f>
        <v>0</v>
      </c>
      <c r="M31" s="193">
        <f t="shared" si="4"/>
        <v>2700</v>
      </c>
      <c r="O31" t="s">
        <v>1077</v>
      </c>
      <c r="P31" s="173">
        <f>IF(O31="","",IF(OR(LEFT(O31,4)="Cash",LEFT(O31,4)="Prov"),0,SUMIFS(Input_APM!N:N,Input_APM!L:L,Check!O31)))</f>
        <v>0</v>
      </c>
      <c r="Q31" s="21">
        <f>IF(O31="","",IF(LEN(O31)&gt;9,SUMIFS(Options!$H$3:$H$28,Options!$B$3:$B$28,Check!O31),SUMIFS('Master P&amp;L'!$H$11:$H$101,'Master P&amp;L'!$B$11:$B$101,Check!O31)))</f>
        <v>0</v>
      </c>
      <c r="R31" s="173">
        <f t="shared" si="1"/>
        <v>0</v>
      </c>
      <c r="S31" s="288" t="str">
        <f t="shared" si="2"/>
        <v>Ok</v>
      </c>
      <c r="V31" s="13"/>
    </row>
    <row r="32" spans="2:22">
      <c r="B32" t="s">
        <v>1037</v>
      </c>
      <c r="C32" s="187">
        <f>IF(B32="","",IF(LEN(B32)&gt;9,SUMIFS(Options!$H$3:$H$28,Options!$B$3:$B$28,Check!B32),SUMIFS('Master P&amp;L'!$H$11:$H$101,'Master P&amp;L'!$B$11:$B$101,Check!B32)))</f>
        <v>965</v>
      </c>
      <c r="D32" s="187">
        <f>IF(B32="","",SUMIFS(Input_APM!N:N,Input_APM!L:L,Check!B32,Input_APM!M:M,Check!$F$1))</f>
        <v>906</v>
      </c>
      <c r="E32" s="175">
        <f t="shared" si="5"/>
        <v>0</v>
      </c>
      <c r="F32" s="187">
        <f>IF(B32="","",SUMIFS(Input_APM!N:N,Input_APM!M:M,Check!$F$1,Input_APM!L:L,Check!B32))</f>
        <v>906</v>
      </c>
      <c r="G32" s="187">
        <f>IF(B32="","",SUMIFS(Input_APM!N:N,Input_APM!M:M,Check!$G$1,Input_APM!L:L,Check!B32))</f>
        <v>0</v>
      </c>
      <c r="H32" s="173">
        <f t="shared" si="0"/>
        <v>906</v>
      </c>
      <c r="I32" s="173">
        <f>SUMIFS(Input_APM!N:N,Input_APM!L:L,Check!B32)</f>
        <v>906</v>
      </c>
      <c r="J32" s="175">
        <f t="shared" si="3"/>
        <v>0</v>
      </c>
      <c r="K32" s="21">
        <f>IF(B32="","",SUMIFS('Input_APM (Zenith)'!N:N,'Input_APM (Zenith)'!L:L,Check!B32,'Input_APM (Zenith)'!M:M,Check!$F$1))</f>
        <v>59</v>
      </c>
      <c r="L32" s="21">
        <f>IF(B32="","",SUMIFS('Input_APM (Zenith)'!N:N,'Input_APM (Zenith)'!L:L,Check!B32,'Input_APM (Zenith)'!M:M,Check!$G$1))</f>
        <v>0</v>
      </c>
      <c r="M32" s="193">
        <f t="shared" si="4"/>
        <v>965</v>
      </c>
      <c r="O32" t="s">
        <v>1047</v>
      </c>
      <c r="P32" s="173">
        <f>IF(O32="","",IF(OR(LEFT(O32,4)="Cash",LEFT(O32,4)="Prov"),0,SUMIFS(Input_APM!N:N,Input_APM!L:L,Check!O32)))</f>
        <v>1878</v>
      </c>
      <c r="Q32" s="21">
        <f>IF(O32="","",IF(LEN(O32)&gt;9,SUMIFS(Options!$H$3:$H$28,Options!$B$3:$B$28,Check!O32),SUMIFS('Master P&amp;L'!$H$11:$H$101,'Master P&amp;L'!$B$11:$B$101,Check!O32)))</f>
        <v>2000</v>
      </c>
      <c r="R32" s="173">
        <f t="shared" si="1"/>
        <v>-122</v>
      </c>
      <c r="S32" s="288">
        <f t="shared" si="2"/>
        <v>0.93899999999999995</v>
      </c>
      <c r="V32" s="13"/>
    </row>
    <row r="33" spans="1:22">
      <c r="B33" t="s">
        <v>1047</v>
      </c>
      <c r="C33" s="187">
        <f>IF(B33="","",IF(LEN(B33)&gt;9,SUMIFS(Options!$H$3:$H$28,Options!$B$3:$B$28,Check!B33),SUMIFS('Master P&amp;L'!$H$11:$H$101,'Master P&amp;L'!$B$11:$B$101,Check!B33)))</f>
        <v>2000</v>
      </c>
      <c r="D33" s="187">
        <f>IF(B33="","",SUMIFS(Input_APM!N:N,Input_APM!L:L,Check!B33,Input_APM!M:M,Check!$F$1))</f>
        <v>1878</v>
      </c>
      <c r="E33" s="173">
        <f t="shared" si="5"/>
        <v>0</v>
      </c>
      <c r="F33" s="187">
        <f>IF(B33="","",SUMIFS(Input_APM!N:N,Input_APM!M:M,Check!$F$1,Input_APM!L:L,Check!B33))</f>
        <v>1878</v>
      </c>
      <c r="G33" s="187">
        <f>IF(B33="","",SUMIFS(Input_APM!N:N,Input_APM!M:M,Check!$G$1,Input_APM!L:L,Check!B33))</f>
        <v>0</v>
      </c>
      <c r="H33" s="173">
        <f t="shared" si="0"/>
        <v>1878</v>
      </c>
      <c r="I33" s="173">
        <f>SUMIFS(Input_APM!N:N,Input_APM!L:L,Check!B33)</f>
        <v>1878</v>
      </c>
      <c r="J33" s="175">
        <f t="shared" si="3"/>
        <v>0</v>
      </c>
      <c r="K33" s="21">
        <f>IF(B33="","",SUMIFS('Input_APM (Zenith)'!N:N,'Input_APM (Zenith)'!L:L,Check!B33,'Input_APM (Zenith)'!M:M,Check!$F$1))</f>
        <v>122</v>
      </c>
      <c r="L33" s="21">
        <f>IF(B33="","",SUMIFS('Input_APM (Zenith)'!N:N,'Input_APM (Zenith)'!L:L,Check!B33,'Input_APM (Zenith)'!M:M,Check!$G$1))</f>
        <v>0</v>
      </c>
      <c r="M33" s="193">
        <f t="shared" si="4"/>
        <v>2000</v>
      </c>
      <c r="O33" t="s">
        <v>425</v>
      </c>
      <c r="P33" s="173">
        <f>IF(O33="","",IF(OR(LEFT(O33,4)="Cash",LEFT(O33,4)="Prov"),0,SUMIFS(Input_APM!N:N,Input_APM!L:L,Check!O33)))</f>
        <v>36016</v>
      </c>
      <c r="Q33" s="21">
        <f>IF(O33="","",IF(LEN(O33)&gt;9,SUMIFS(Options!$H$3:$H$28,Options!$B$3:$B$28,Check!O33),SUMIFS('Master P&amp;L'!$H$11:$H$101,'Master P&amp;L'!$B$11:$B$101,Check!O33)))</f>
        <v>38496</v>
      </c>
      <c r="R33" s="173">
        <f t="shared" si="1"/>
        <v>-2480</v>
      </c>
      <c r="S33" s="288">
        <f t="shared" si="2"/>
        <v>0.93557772236076475</v>
      </c>
      <c r="V33" s="13"/>
    </row>
    <row r="34" spans="1:22">
      <c r="B34" t="s">
        <v>974</v>
      </c>
      <c r="C34" s="187">
        <f>IF(B34="","",IF(LEN(B34)&gt;9,SUMIFS(Options!$H$3:$H$28,Options!$B$3:$B$28,Check!B34),SUMIFS('Master P&amp;L'!$H$11:$H$101,'Master P&amp;L'!$B$11:$B$101,Check!B34)))</f>
        <v>53300</v>
      </c>
      <c r="D34" s="187">
        <f>IF(B34="","",SUMIFS(Input_APM!N:N,Input_APM!L:L,Check!B34,Input_APM!M:M,Check!$F$1))</f>
        <v>50069</v>
      </c>
      <c r="E34" s="173">
        <f t="shared" si="5"/>
        <v>0</v>
      </c>
      <c r="F34" s="187">
        <f>IF(B34="","",SUMIFS(Input_APM!N:N,Input_APM!M:M,Check!$F$1,Input_APM!L:L,Check!B34))</f>
        <v>50069</v>
      </c>
      <c r="G34" s="187">
        <f>IF(B34="","",SUMIFS(Input_APM!N:N,Input_APM!M:M,Check!$G$1,Input_APM!L:L,Check!B34))</f>
        <v>0</v>
      </c>
      <c r="H34" s="173">
        <f t="shared" si="0"/>
        <v>50069</v>
      </c>
      <c r="I34" s="173">
        <f>SUMIFS(Input_APM!N:N,Input_APM!L:L,Check!B34)</f>
        <v>50069</v>
      </c>
      <c r="J34" s="175">
        <f t="shared" si="3"/>
        <v>0</v>
      </c>
      <c r="K34" s="21">
        <f>IF(B34="","",SUMIFS('Input_APM (Zenith)'!N:N,'Input_APM (Zenith)'!L:L,Check!B34,'Input_APM (Zenith)'!M:M,Check!$F$1))</f>
        <v>3231</v>
      </c>
      <c r="L34" s="21">
        <f>IF(B34="","",SUMIFS('Input_APM (Zenith)'!N:N,'Input_APM (Zenith)'!L:L,Check!B34,'Input_APM (Zenith)'!M:M,Check!$G$1))</f>
        <v>0</v>
      </c>
      <c r="M34" s="193">
        <f t="shared" si="4"/>
        <v>53300</v>
      </c>
      <c r="O34" t="s">
        <v>798</v>
      </c>
      <c r="P34" s="173">
        <f>IF(O34="","",IF(OR(LEFT(O34,4)="Cash",LEFT(O34,4)="Prov"),0,SUMIFS(Input_APM!N:N,Input_APM!L:L,Check!O34)))</f>
        <v>31688</v>
      </c>
      <c r="Q34" s="21">
        <f>IF(O34="","",IF(LEN(O34)&gt;9,SUMIFS(Options!$H$3:$H$28,Options!$B$3:$B$28,Check!O34),SUMIFS('Master P&amp;L'!$H$11:$H$101,'Master P&amp;L'!$B$11:$B$101,Check!O34)))</f>
        <v>0</v>
      </c>
      <c r="R34" s="173">
        <f t="shared" si="1"/>
        <v>31688</v>
      </c>
      <c r="S34" s="288" t="str">
        <f t="shared" si="2"/>
        <v>Erro</v>
      </c>
      <c r="V34" s="13"/>
    </row>
    <row r="35" spans="1:22">
      <c r="B35" t="s">
        <v>78</v>
      </c>
      <c r="C35" s="187">
        <f>IF(B35="","",IF(LEN(B35)&gt;9,SUMIFS(Options!$H$3:$H$28,Options!$B$3:$B$28,Check!B35),SUMIFS('Master P&amp;L'!$H$11:$H$101,'Master P&amp;L'!$B$11:$B$101,Check!B35)))</f>
        <v>14909</v>
      </c>
      <c r="D35" s="187">
        <f>IF(B35="","",SUMIFS(Input_APM!N:N,Input_APM!L:L,Check!B35,Input_APM!M:M,Check!$F$1))</f>
        <v>0</v>
      </c>
      <c r="E35" s="175">
        <f t="shared" si="5"/>
        <v>14909</v>
      </c>
      <c r="F35" s="187">
        <f>IF(B35="","",SUMIFS(Input_APM!N:N,Input_APM!M:M,Check!$F$1,Input_APM!L:L,Check!B35))</f>
        <v>0</v>
      </c>
      <c r="G35" s="187">
        <f>IF(B35="","",SUMIFS(Input_APM!N:N,Input_APM!M:M,Check!$G$1,Input_APM!L:L,Check!B35))</f>
        <v>0</v>
      </c>
      <c r="H35" s="173">
        <f t="shared" si="0"/>
        <v>0</v>
      </c>
      <c r="I35" s="173">
        <f>SUMIFS(Input_APM!N:N,Input_APM!L:L,Check!B35)</f>
        <v>0</v>
      </c>
      <c r="J35" s="175">
        <f t="shared" si="3"/>
        <v>0</v>
      </c>
      <c r="K35" s="21">
        <f>IF(B35="","",SUMIFS('Input_APM (Zenith)'!N:N,'Input_APM (Zenith)'!L:L,Check!B35,'Input_APM (Zenith)'!M:M,Check!$F$1))</f>
        <v>0</v>
      </c>
      <c r="L35" s="21">
        <f>IF(B35="","",SUMIFS('Input_APM (Zenith)'!N:N,'Input_APM (Zenith)'!L:L,Check!B35,'Input_APM (Zenith)'!M:M,Check!$G$1))</f>
        <v>0</v>
      </c>
      <c r="M35" s="193">
        <f t="shared" si="4"/>
        <v>0</v>
      </c>
      <c r="O35" t="s">
        <v>837</v>
      </c>
      <c r="P35" s="173">
        <f>IF(O35="","",IF(OR(LEFT(O35,4)="Cash",LEFT(O35,4)="Prov"),0,SUMIFS(Input_APM!N:N,Input_APM!L:L,Check!O35)))</f>
        <v>797</v>
      </c>
      <c r="Q35" s="21">
        <f>IF(O35="","",IF(LEN(O35)&gt;9,SUMIFS(Options!$H$3:$H$28,Options!$B$3:$B$28,Check!O35),SUMIFS('Master P&amp;L'!$H$11:$H$101,'Master P&amp;L'!$B$11:$B$101,Check!O35)))</f>
        <v>0</v>
      </c>
      <c r="R35" s="173">
        <f t="shared" si="1"/>
        <v>797</v>
      </c>
      <c r="S35" s="288" t="str">
        <f t="shared" si="2"/>
        <v>Erro</v>
      </c>
      <c r="V35" s="13"/>
    </row>
    <row r="36" spans="1:22">
      <c r="B36" t="s">
        <v>36</v>
      </c>
      <c r="C36" s="187">
        <f>IF(B36="","",IF(LEN(B36)&gt;9,SUMIFS(Options!$H$3:$H$28,Options!$B$3:$B$28,Check!B36),SUMIFS('Master P&amp;L'!$H$11:$H$101,'Master P&amp;L'!$B$11:$B$101,Check!B36)))</f>
        <v>177</v>
      </c>
      <c r="D36" s="187">
        <f>IF(B36="","",SUMIFS(Input_APM!N:N,Input_APM!L:L,Check!B36,Input_APM!M:M,Check!$F$1))</f>
        <v>21977</v>
      </c>
      <c r="E36" s="175">
        <f>IF(B36="","",C36-M36)</f>
        <v>-23323</v>
      </c>
      <c r="F36" s="187">
        <f>IF(B36="","",SUMIFS(Input_APM!N:N,Input_APM!M:M,Check!$F$1,Input_APM!L:L,Check!B36))</f>
        <v>21977</v>
      </c>
      <c r="G36" s="187">
        <f>IF(B36="","",SUMIFS(Input_APM!N:N,Input_APM!M:M,Check!$G$1,Input_APM!L:L,Check!B36))</f>
        <v>0</v>
      </c>
      <c r="H36" s="173">
        <f t="shared" si="0"/>
        <v>21977</v>
      </c>
      <c r="I36" s="173">
        <f>SUMIFS(Input_APM!N:N,Input_APM!L:L,Check!B36)</f>
        <v>21977</v>
      </c>
      <c r="J36" s="175">
        <f t="shared" si="3"/>
        <v>0</v>
      </c>
      <c r="K36" s="21">
        <f>IF(B36="","",SUMIFS('Input_APM (Zenith)'!N:N,'Input_APM (Zenith)'!L:L,Check!B36,'Input_APM (Zenith)'!M:M,Check!$F$1))</f>
        <v>1523</v>
      </c>
      <c r="L36" s="21">
        <f>IF(B36="","",SUMIFS('Input_APM (Zenith)'!N:N,'Input_APM (Zenith)'!L:L,Check!B36,'Input_APM (Zenith)'!M:M,Check!$G$1))</f>
        <v>0</v>
      </c>
      <c r="M36" s="193">
        <f>IF(B36="","",F36+G36+K36+L36)</f>
        <v>23500</v>
      </c>
      <c r="O36" t="s">
        <v>838</v>
      </c>
      <c r="P36" s="173">
        <f>IF(O36="","",IF(OR(LEFT(O36,4)="Cash",LEFT(O36,4)="Prov"),0,SUMIFS(Input_APM!N:N,Input_APM!L:L,Check!O36)))</f>
        <v>-797</v>
      </c>
      <c r="Q36" s="21">
        <f>IF(O36="","",IF(LEN(O36)&gt;9,SUMIFS(Options!$H$3:$H$28,Options!$B$3:$B$28,Check!O36),SUMIFS('Master P&amp;L'!$H$11:$H$101,'Master P&amp;L'!$B$11:$B$101,Check!O36)))</f>
        <v>0</v>
      </c>
      <c r="R36" s="173">
        <f t="shared" si="1"/>
        <v>-797</v>
      </c>
      <c r="S36" s="288" t="str">
        <f t="shared" si="2"/>
        <v>Erro</v>
      </c>
      <c r="V36" s="13"/>
    </row>
    <row r="37" spans="1:22">
      <c r="B37" t="s">
        <v>6</v>
      </c>
      <c r="C37" s="187">
        <f>IF(B37="","",IF(LEN(B37)&gt;9,SUMIFS(Options!$H$3:$H$28,Options!$B$3:$B$28,Check!B37),SUMIFS('Master P&amp;L'!$H$11:$H$101,'Master P&amp;L'!$B$11:$B$101,Check!B37)))</f>
        <v>15000</v>
      </c>
      <c r="D37" s="187">
        <f>IF(B37="","",SUMIFS(Input_APM!N:N,Input_APM!L:L,Check!B37,Input_APM!M:M,Check!$F$1))</f>
        <v>14082</v>
      </c>
      <c r="E37" s="175">
        <f>IF(B37="","",C37-M37)</f>
        <v>0</v>
      </c>
      <c r="F37" s="187">
        <f>IF(B37="","",SUMIFS(Input_APM!N:N,Input_APM!M:M,Check!$F$1,Input_APM!L:L,Check!B37))</f>
        <v>14082</v>
      </c>
      <c r="G37" s="187">
        <f>IF(B37="","",SUMIFS(Input_APM!N:N,Input_APM!M:M,Check!$G$1,Input_APM!L:L,Check!B37))</f>
        <v>0</v>
      </c>
      <c r="H37" s="173">
        <f t="shared" si="0"/>
        <v>14082</v>
      </c>
      <c r="I37" s="173">
        <f>SUMIFS(Input_APM!N:N,Input_APM!L:L,Check!B37)</f>
        <v>14082</v>
      </c>
      <c r="J37" s="175">
        <f t="shared" si="3"/>
        <v>0</v>
      </c>
      <c r="K37" s="21">
        <f>IF(B37="","",SUMIFS('Input_APM (Zenith)'!N:N,'Input_APM (Zenith)'!L:L,Check!B37,'Input_APM (Zenith)'!M:M,Check!$F$1))</f>
        <v>918</v>
      </c>
      <c r="L37" s="21">
        <f>IF(B37="","",SUMIFS('Input_APM (Zenith)'!N:N,'Input_APM (Zenith)'!L:L,Check!B37,'Input_APM (Zenith)'!M:M,Check!$G$1))</f>
        <v>0</v>
      </c>
      <c r="M37" s="193">
        <f t="shared" si="4"/>
        <v>15000</v>
      </c>
      <c r="O37" t="s">
        <v>1037</v>
      </c>
      <c r="P37" s="173">
        <f>IF(O37="","",IF(OR(LEFT(O37,4)="Cash",LEFT(O37,4)="Prov"),0,SUMIFS(Input_APM!N:N,Input_APM!L:L,Check!O37)))</f>
        <v>906</v>
      </c>
      <c r="Q37" s="21">
        <f>IF(O37="","",IF(LEN(O37)&gt;9,SUMIFS(Options!$H$3:$H$28,Options!$B$3:$B$28,Check!O37),SUMIFS('Master P&amp;L'!$H$11:$H$101,'Master P&amp;L'!$B$11:$B$101,Check!O37)))</f>
        <v>965</v>
      </c>
      <c r="R37" s="173">
        <f t="shared" si="1"/>
        <v>-59</v>
      </c>
      <c r="S37" s="288">
        <f t="shared" si="2"/>
        <v>0.93886010362694305</v>
      </c>
      <c r="V37" s="13"/>
    </row>
    <row r="38" spans="1:22">
      <c r="B38" t="s">
        <v>839</v>
      </c>
      <c r="C38" s="187">
        <f>IF(B38="","",IF(LEN(B38)&gt;9,SUMIFS(Options!$H$3:$H$28,Options!$B$3:$B$28,Check!B38),SUMIFS('Master P&amp;L'!$H$11:$H$101,'Master P&amp;L'!$B$11:$B$101,Check!B38)))</f>
        <v>-10500</v>
      </c>
      <c r="D38" s="187">
        <f>IF(B38="","",SUMIFS(Input_APM!N:N,Input_APM!L:L,Check!B38,Input_APM!M:M,Check!$F$1))</f>
        <v>-9842</v>
      </c>
      <c r="E38" s="173">
        <f t="shared" si="5"/>
        <v>0</v>
      </c>
      <c r="F38" s="187">
        <f>IF(B38="","",SUMIFS(Input_APM!N:N,Input_APM!M:M,Check!$F$1,Input_APM!L:L,Check!B38))</f>
        <v>-9842</v>
      </c>
      <c r="G38" s="187">
        <f>IF(B38="","",SUMIFS(Input_APM!N:N,Input_APM!M:M,Check!$G$1,Input_APM!L:L,Check!B38))</f>
        <v>0</v>
      </c>
      <c r="H38" s="173">
        <f t="shared" si="0"/>
        <v>-9842</v>
      </c>
      <c r="I38" s="173">
        <f>SUMIFS(Input_APM!N:N,Input_APM!L:L,Check!B38)</f>
        <v>-9842</v>
      </c>
      <c r="J38" s="175">
        <f t="shared" si="3"/>
        <v>0</v>
      </c>
      <c r="K38" s="21">
        <f>IF(B38="","",SUMIFS('Input_APM (Zenith)'!N:N,'Input_APM (Zenith)'!L:L,Check!B38,'Input_APM (Zenith)'!M:M,Check!$F$1))</f>
        <v>-658</v>
      </c>
      <c r="L38" s="21">
        <f>IF(B38="","",SUMIFS('Input_APM (Zenith)'!N:N,'Input_APM (Zenith)'!L:L,Check!B38,'Input_APM (Zenith)'!M:M,Check!$G$1))</f>
        <v>0</v>
      </c>
      <c r="M38" s="193">
        <f t="shared" si="4"/>
        <v>-10500</v>
      </c>
      <c r="O38" t="s">
        <v>807</v>
      </c>
      <c r="P38" s="173">
        <f>IF(O38="","",IF(OR(LEFT(O38,4)="Cash",LEFT(O38,4)="Prov"),0,SUMIFS(Input_APM!N:N,Input_APM!L:L,Check!O38)))</f>
        <v>1852</v>
      </c>
      <c r="Q38" s="21">
        <f>IF(O38="","",IF(LEN(O38)&gt;9,SUMIFS(Options!$H$3:$H$28,Options!$B$3:$B$28,Check!O38),SUMIFS('Master P&amp;L'!$H$11:$H$101,'Master P&amp;L'!$B$11:$B$101,Check!O38)))</f>
        <v>2000</v>
      </c>
      <c r="R38" s="173">
        <f t="shared" si="1"/>
        <v>-148</v>
      </c>
      <c r="S38" s="288">
        <f t="shared" si="2"/>
        <v>0.92600000000000005</v>
      </c>
      <c r="V38" s="13"/>
    </row>
    <row r="39" spans="1:22">
      <c r="B39" t="s">
        <v>4</v>
      </c>
      <c r="C39" s="187">
        <f>IF(B39="","",IF(LEN(B39)&gt;9,SUMIFS(Options!$H$3:$H$28,Options!$B$3:$B$28,Check!B39),SUMIFS('Master P&amp;L'!$H$11:$H$101,'Master P&amp;L'!$B$11:$B$101,Check!B39)))</f>
        <v>-9022</v>
      </c>
      <c r="D39" s="187">
        <f>IF(B39="","",SUMIFS(Input_APM!N:N,Input_APM!L:L,Check!B39,Input_APM!M:M,Check!$F$1))</f>
        <v>-25765</v>
      </c>
      <c r="E39" s="173">
        <f t="shared" si="5"/>
        <v>18478</v>
      </c>
      <c r="F39" s="187">
        <f>IF(B39="","",SUMIFS(Input_APM!N:N,Input_APM!M:M,Check!$F$1,Input_APM!L:L,Check!B39))</f>
        <v>-25765</v>
      </c>
      <c r="G39" s="187">
        <f>IF(B39="","",SUMIFS(Input_APM!N:N,Input_APM!M:M,Check!$G$1,Input_APM!L:L,Check!B39))</f>
        <v>0</v>
      </c>
      <c r="H39" s="173">
        <f t="shared" si="0"/>
        <v>-25765</v>
      </c>
      <c r="I39" s="173">
        <f>SUMIFS(Input_APM!N:N,Input_APM!L:L,Check!B39)</f>
        <v>-25765</v>
      </c>
      <c r="J39" s="175">
        <f t="shared" si="3"/>
        <v>0</v>
      </c>
      <c r="K39" s="21">
        <f>IF(B39="","",SUMIFS('Input_APM (Zenith)'!N:N,'Input_APM (Zenith)'!L:L,Check!B39,'Input_APM (Zenith)'!M:M,Check!$F$1))</f>
        <v>-1735</v>
      </c>
      <c r="L39" s="21">
        <f>IF(B39="","",SUMIFS('Input_APM (Zenith)'!N:N,'Input_APM (Zenith)'!L:L,Check!B39,'Input_APM (Zenith)'!M:M,Check!$G$1))</f>
        <v>0</v>
      </c>
      <c r="M39" s="193">
        <f t="shared" si="4"/>
        <v>-27500</v>
      </c>
      <c r="O39" t="s">
        <v>561</v>
      </c>
      <c r="P39" s="173">
        <f>IF(O39="","",IF(OR(LEFT(O39,4)="Cash",LEFT(O39,4)="Prov"),0,SUMIFS(Input_APM!N:N,Input_APM!L:L,Check!O39)))</f>
        <v>276451</v>
      </c>
      <c r="Q39" s="21">
        <f>IF(O39="","",IF(LEN(O39)&gt;9,SUMIFS(Options!$H$3:$H$28,Options!$B$3:$B$28,Check!O39),SUMIFS('Master P&amp;L'!$H$11:$H$101,'Master P&amp;L'!$B$11:$B$101,Check!O39)))</f>
        <v>0</v>
      </c>
      <c r="R39" s="173">
        <f t="shared" si="1"/>
        <v>276451</v>
      </c>
      <c r="S39" s="288" t="str">
        <f t="shared" si="2"/>
        <v>Erro</v>
      </c>
      <c r="V39" s="13"/>
    </row>
    <row r="40" spans="1:22">
      <c r="B40" t="s">
        <v>1076</v>
      </c>
      <c r="C40" s="187">
        <f>IF(B40="","",IF(LEN(B40)&gt;9,SUMIFS(Options!$H$3:$H$28,Options!$B$3:$B$28,Check!B40),SUMIFS('Master P&amp;L'!$H$11:$H$101,'Master P&amp;L'!$B$11:$B$101,Check!B40)))</f>
        <v>-300</v>
      </c>
      <c r="D40" s="187">
        <f>IF(B40="","",SUMIFS(Input_APM!N:N,Input_APM!L:L,Check!B40,Input_APM!M:M,Check!$F$1))</f>
        <v>-281</v>
      </c>
      <c r="E40" s="175">
        <f t="shared" si="5"/>
        <v>0</v>
      </c>
      <c r="F40" s="187">
        <f>IF(B40="","",SUMIFS(Input_APM!N:N,Input_APM!M:M,Check!$F$1,Input_APM!L:L,Check!B40))</f>
        <v>-281</v>
      </c>
      <c r="G40" s="187">
        <f>IF(B40="","",SUMIFS(Input_APM!N:N,Input_APM!M:M,Check!$G$1,Input_APM!L:L,Check!B40))</f>
        <v>0</v>
      </c>
      <c r="H40" s="173">
        <f t="shared" si="0"/>
        <v>-281</v>
      </c>
      <c r="I40" s="173">
        <f>SUMIFS(Input_APM!N:N,Input_APM!L:L,Check!B40)</f>
        <v>-281</v>
      </c>
      <c r="J40" s="175">
        <f t="shared" si="3"/>
        <v>0</v>
      </c>
      <c r="K40" s="21">
        <f>IF(B40="","",SUMIFS('Input_APM (Zenith)'!N:N,'Input_APM (Zenith)'!L:L,Check!B40,'Input_APM (Zenith)'!M:M,Check!$F$1))</f>
        <v>-19</v>
      </c>
      <c r="L40" s="21">
        <f>IF(B40="","",SUMIFS('Input_APM (Zenith)'!N:N,'Input_APM (Zenith)'!L:L,Check!B40,'Input_APM (Zenith)'!M:M,Check!$G$1))</f>
        <v>0</v>
      </c>
      <c r="M40" s="193">
        <f t="shared" si="4"/>
        <v>-300</v>
      </c>
      <c r="O40" t="s">
        <v>562</v>
      </c>
      <c r="P40" s="173">
        <f>IF(O40="","",IF(OR(LEFT(O40,4)="Cash",LEFT(O40,4)="Prov"),0,SUMIFS(Input_APM!N:N,Input_APM!L:L,Check!O40)))</f>
        <v>-276451</v>
      </c>
      <c r="Q40" s="21">
        <f>IF(O40="","",IF(LEN(O40)&gt;9,SUMIFS(Options!$H$3:$H$28,Options!$B$3:$B$28,Check!O40),SUMIFS('Master P&amp;L'!$H$11:$H$101,'Master P&amp;L'!$B$11:$B$101,Check!O40)))</f>
        <v>0</v>
      </c>
      <c r="R40" s="173">
        <f t="shared" si="1"/>
        <v>-276451</v>
      </c>
      <c r="S40" s="288" t="str">
        <f t="shared" si="2"/>
        <v>Erro</v>
      </c>
      <c r="V40" s="13"/>
    </row>
    <row r="41" spans="1:22">
      <c r="B41" t="s">
        <v>1074</v>
      </c>
      <c r="C41" s="187">
        <f>IF(B41="","",IF(LEN(B41)&gt;9,SUMIFS(Options!$H$3:$H$28,Options!$B$3:$B$28,Check!B41),SUMIFS('Master P&amp;L'!$H$11:$H$101,'Master P&amp;L'!$B$11:$B$101,Check!B41)))</f>
        <v>-300</v>
      </c>
      <c r="D41" s="187">
        <f>IF(B41="","",SUMIFS(Input_APM!N:N,Input_APM!L:L,Check!B41,Input_APM!M:M,Check!$F$1))</f>
        <v>-282</v>
      </c>
      <c r="E41" s="173">
        <f t="shared" si="5"/>
        <v>0</v>
      </c>
      <c r="F41" s="187">
        <f>IF(B41="","",SUMIFS(Input_APM!N:N,Input_APM!M:M,Check!$F$1,Input_APM!L:L,Check!B41))</f>
        <v>-282</v>
      </c>
      <c r="G41" s="187">
        <f>IF(B41="","",SUMIFS(Input_APM!N:N,Input_APM!M:M,Check!$G$1,Input_APM!L:L,Check!B41))</f>
        <v>0</v>
      </c>
      <c r="H41" s="173">
        <f t="shared" si="0"/>
        <v>-282</v>
      </c>
      <c r="I41" s="173">
        <f>SUMIFS(Input_APM!N:N,Input_APM!L:L,Check!B41)</f>
        <v>-282</v>
      </c>
      <c r="J41" s="175">
        <f t="shared" si="3"/>
        <v>0</v>
      </c>
      <c r="K41" s="21">
        <f>IF(B41="","",SUMIFS('Input_APM (Zenith)'!N:N,'Input_APM (Zenith)'!L:L,Check!B41,'Input_APM (Zenith)'!M:M,Check!$F$1))</f>
        <v>-18</v>
      </c>
      <c r="L41" s="21">
        <f>IF(B41="","",SUMIFS('Input_APM (Zenith)'!N:N,'Input_APM (Zenith)'!L:L,Check!B41,'Input_APM (Zenith)'!M:M,Check!$G$1))</f>
        <v>0</v>
      </c>
      <c r="M41" s="193">
        <f t="shared" si="4"/>
        <v>-300</v>
      </c>
      <c r="O41" t="s">
        <v>342</v>
      </c>
      <c r="P41" s="173">
        <f>IF(O41="","",IF(OR(LEFT(O41,4)="Cash",LEFT(O41,4)="Prov"),0,SUMIFS(Input_APM!N:N,Input_APM!L:L,Check!O41)))</f>
        <v>-939</v>
      </c>
      <c r="Q41" s="21">
        <f>IF(O41="","",IF(LEN(O41)&gt;9,SUMIFS(Options!$H$3:$H$28,Options!$B$3:$B$28,Check!O41),SUMIFS('Master P&amp;L'!$H$11:$H$101,'Master P&amp;L'!$B$11:$B$101,Check!O41)))</f>
        <v>-1000</v>
      </c>
      <c r="R41" s="173">
        <f t="shared" si="1"/>
        <v>61</v>
      </c>
      <c r="S41" s="288">
        <f t="shared" si="2"/>
        <v>0.93899999999999995</v>
      </c>
      <c r="V41" s="13"/>
    </row>
    <row r="42" spans="1:22">
      <c r="B42" t="s">
        <v>819</v>
      </c>
      <c r="C42" s="187">
        <f>IF(B42="","",IF(LEN(B42)&gt;9,SUMIFS(Options!$H$3:$H$28,Options!$B$3:$B$28,Check!B42),SUMIFS('Master P&amp;L'!$H$11:$H$101,'Master P&amp;L'!$B$11:$B$101,Check!B42)))</f>
        <v>2000</v>
      </c>
      <c r="D42" s="187">
        <f>IF(B42="","",SUMIFS(Input_APM!N:N,Input_APM!L:L,Check!B42,Input_APM!M:M,Check!$F$1))</f>
        <v>1874</v>
      </c>
      <c r="E42" s="175">
        <f t="shared" si="5"/>
        <v>0</v>
      </c>
      <c r="F42" s="187">
        <f>IF(B42="","",SUMIFS(Input_APM!N:N,Input_APM!M:M,Check!$F$1,Input_APM!L:L,Check!B42))</f>
        <v>1874</v>
      </c>
      <c r="G42" s="187">
        <f>IF(B42="","",SUMIFS(Input_APM!N:N,Input_APM!M:M,Check!$G$1,Input_APM!L:L,Check!B42))</f>
        <v>0</v>
      </c>
      <c r="H42" s="173">
        <f t="shared" si="0"/>
        <v>1874</v>
      </c>
      <c r="I42" s="173">
        <f>SUMIFS(Input_APM!N:N,Input_APM!L:L,Check!B42)</f>
        <v>1874</v>
      </c>
      <c r="J42" s="175">
        <f t="shared" si="3"/>
        <v>0</v>
      </c>
      <c r="K42" s="21">
        <f>IF(B42="","",SUMIFS('Input_APM (Zenith)'!N:N,'Input_APM (Zenith)'!L:L,Check!B42,'Input_APM (Zenith)'!M:M,Check!$F$1))</f>
        <v>126</v>
      </c>
      <c r="L42" s="21">
        <f>IF(B42="","",SUMIFS('Input_APM (Zenith)'!N:N,'Input_APM (Zenith)'!L:L,Check!B42,'Input_APM (Zenith)'!M:M,Check!$G$1))</f>
        <v>0</v>
      </c>
      <c r="M42" s="193">
        <f t="shared" si="4"/>
        <v>2000</v>
      </c>
      <c r="O42" t="s">
        <v>879</v>
      </c>
      <c r="P42" s="173">
        <f>IF(O42="","",IF(OR(LEFT(O42,4)="Cash",LEFT(O42,4)="Prov"),0,SUMIFS(Input_APM!N:N,Input_APM!L:L,Check!O42)))</f>
        <v>284</v>
      </c>
      <c r="Q42" s="21">
        <f>IF(O42="","",IF(LEN(O42)&gt;9,SUMIFS(Options!$H$3:$H$28,Options!$B$3:$B$28,Check!O42),SUMIFS('Master P&amp;L'!$H$11:$H$101,'Master P&amp;L'!$B$11:$B$101,Check!O42)))</f>
        <v>300</v>
      </c>
      <c r="R42" s="173">
        <f t="shared" si="1"/>
        <v>-16</v>
      </c>
      <c r="S42" s="288">
        <f t="shared" si="2"/>
        <v>0.94666666666666666</v>
      </c>
      <c r="V42" s="13"/>
    </row>
    <row r="43" spans="1:22">
      <c r="A43" t="s">
        <v>441</v>
      </c>
      <c r="B43" t="s">
        <v>1049</v>
      </c>
      <c r="C43" s="187">
        <f>IF(B43="","",IF(LEN(B43)&gt;9,SUMIFS(Options!$H$3:$H$28,Options!$B$3:$B$28,Check!B43),SUMIFS('Master P&amp;L'!$H$11:$H$101,'Master P&amp;L'!$B$11:$B$101,Check!B43)))</f>
        <v>500</v>
      </c>
      <c r="D43" s="187">
        <f>IF(B43="","",SUMIFS(Input_APM!N:N,Input_APM!L:L,Check!B43,Input_APM!M:M,Check!$F$1))</f>
        <v>469</v>
      </c>
      <c r="E43" s="173">
        <f t="shared" si="5"/>
        <v>0</v>
      </c>
      <c r="F43" s="187">
        <f>IF(B43="","",SUMIFS(Input_APM!N:N,Input_APM!M:M,Check!$F$1,Input_APM!L:L,Check!B43))</f>
        <v>469</v>
      </c>
      <c r="G43" s="187">
        <f>IF(B43="","",SUMIFS(Input_APM!N:N,Input_APM!M:M,Check!$G$1,Input_APM!L:L,Check!B43))</f>
        <v>0</v>
      </c>
      <c r="H43" s="173">
        <f t="shared" si="0"/>
        <v>469</v>
      </c>
      <c r="I43" s="173">
        <f>SUMIFS(Input_APM!N:N,Input_APM!L:L,Check!B43)</f>
        <v>469</v>
      </c>
      <c r="J43" s="175">
        <f t="shared" si="3"/>
        <v>0</v>
      </c>
      <c r="K43" s="21">
        <f>IF(B43="","",SUMIFS('Input_APM (Zenith)'!N:N,'Input_APM (Zenith)'!L:L,Check!B43,'Input_APM (Zenith)'!M:M,Check!$F$1))</f>
        <v>31</v>
      </c>
      <c r="L43" s="21">
        <f>IF(B43="","",SUMIFS('Input_APM (Zenith)'!N:N,'Input_APM (Zenith)'!L:L,Check!B43,'Input_APM (Zenith)'!M:M,Check!$G$1))</f>
        <v>0</v>
      </c>
      <c r="M43" s="173">
        <f t="shared" si="4"/>
        <v>500</v>
      </c>
      <c r="O43" t="s">
        <v>6</v>
      </c>
      <c r="P43" s="173">
        <f>IF(O43="","",IF(OR(LEFT(O43,4)="Cash",LEFT(O43,4)="Prov"),0,SUMIFS(Input_APM!N:N,Input_APM!L:L,Check!O43)))</f>
        <v>14082</v>
      </c>
      <c r="Q43" s="21">
        <f>IF(O43="","",IF(LEN(O43)&gt;9,SUMIFS(Options!$H$3:$H$28,Options!$B$3:$B$28,Check!O43),SUMIFS('Master P&amp;L'!$H$11:$H$101,'Master P&amp;L'!$B$11:$B$101,Check!O43)))</f>
        <v>15000</v>
      </c>
      <c r="R43" s="173">
        <f t="shared" si="1"/>
        <v>-918</v>
      </c>
      <c r="S43" s="288">
        <f t="shared" si="2"/>
        <v>0.93879999999999997</v>
      </c>
      <c r="V43" s="13"/>
    </row>
    <row r="44" spans="1:22">
      <c r="B44" t="s">
        <v>765</v>
      </c>
      <c r="C44" s="187">
        <f>IF(B44="","",IF(LEN(B44)&gt;9,SUMIFS(Options!$H$3:$H$28,Options!$B$3:$B$28,Check!B44),SUMIFS('Master P&amp;L'!$H$11:$H$101,'Master P&amp;L'!$B$11:$B$101,Check!B44)))</f>
        <v>120</v>
      </c>
      <c r="D44" s="187">
        <f>IF(B44="","",SUMIFS(Input_APM!N:N,Input_APM!L:L,Check!B44,Input_APM!M:M,Check!$F$1))</f>
        <v>114</v>
      </c>
      <c r="E44" s="173">
        <f>IF(B44="","",C44-M44)</f>
        <v>0</v>
      </c>
      <c r="F44" s="187">
        <f>IF(B44="","",SUMIFS(Input_APM!N:N,Input_APM!M:M,Check!$F$1,Input_APM!L:L,Check!B44))</f>
        <v>114</v>
      </c>
      <c r="G44" s="187">
        <f>IF(B44="","",SUMIFS(Input_APM!N:N,Input_APM!M:M,Check!$G$1,Input_APM!L:L,Check!B44))</f>
        <v>0</v>
      </c>
      <c r="H44" s="173">
        <f t="shared" si="0"/>
        <v>114</v>
      </c>
      <c r="I44" s="173">
        <f>SUMIFS(Input_APM!N:N,Input_APM!L:L,Check!B44)</f>
        <v>114</v>
      </c>
      <c r="J44" s="175">
        <f t="shared" si="3"/>
        <v>0</v>
      </c>
      <c r="K44" s="21">
        <f>IF(B44="","",SUMIFS('Input_APM (Zenith)'!N:N,'Input_APM (Zenith)'!L:L,Check!B44,'Input_APM (Zenith)'!M:M,Check!$F$1))</f>
        <v>6</v>
      </c>
      <c r="L44" s="21">
        <f>IF(B44="","",SUMIFS('Input_APM (Zenith)'!N:N,'Input_APM (Zenith)'!L:L,Check!B44,'Input_APM (Zenith)'!M:M,Check!$G$1))</f>
        <v>0</v>
      </c>
      <c r="M44" s="173">
        <f t="shared" si="4"/>
        <v>120</v>
      </c>
      <c r="O44" t="s">
        <v>839</v>
      </c>
      <c r="P44" s="173">
        <f>IF(O44="","",IF(OR(LEFT(O44,4)="Cash",LEFT(O44,4)="Prov"),0,SUMIFS(Input_APM!N:N,Input_APM!L:L,Check!O44)))</f>
        <v>-9842</v>
      </c>
      <c r="Q44" s="21">
        <f>IF(O44="","",IF(LEN(O44)&gt;9,SUMIFS(Options!$H$3:$H$28,Options!$B$3:$B$28,Check!O44),SUMIFS('Master P&amp;L'!$H$11:$H$101,'Master P&amp;L'!$B$11:$B$101,Check!O44)))</f>
        <v>-10500</v>
      </c>
      <c r="R44" s="173">
        <f t="shared" si="1"/>
        <v>658</v>
      </c>
      <c r="S44" s="288">
        <f t="shared" si="2"/>
        <v>0.93733333333333335</v>
      </c>
      <c r="V44" s="13"/>
    </row>
    <row r="45" spans="1:22">
      <c r="B45" t="s">
        <v>1051</v>
      </c>
      <c r="C45" s="187">
        <f>IF(B45="","",IF(LEN(B45)&gt;9,SUMIFS(Options!$H$3:$H$28,Options!$B$3:$B$28,Check!B45),SUMIFS('Master P&amp;L'!$H$11:$H$101,'Master P&amp;L'!$B$11:$B$101,Check!B45)))</f>
        <v>1000</v>
      </c>
      <c r="D45" s="187">
        <f>IF(B45="","",SUMIFS(Input_APM!N:N,Input_APM!L:L,Check!B45,Input_APM!M:M,Check!$F$1))</f>
        <v>940</v>
      </c>
      <c r="E45" s="173">
        <f t="shared" si="5"/>
        <v>0</v>
      </c>
      <c r="F45" s="187">
        <f>IF(B45="","",SUMIFS(Input_APM!N:N,Input_APM!M:M,Check!$F$1,Input_APM!L:L,Check!B45))</f>
        <v>940</v>
      </c>
      <c r="G45" s="187">
        <f>IF(B45="","",SUMIFS(Input_APM!N:N,Input_APM!M:M,Check!$G$1,Input_APM!L:L,Check!B45))</f>
        <v>0</v>
      </c>
      <c r="H45" s="173">
        <f t="shared" si="0"/>
        <v>940</v>
      </c>
      <c r="I45" s="173">
        <f>SUMIFS(Input_APM!N:N,Input_APM!L:L,Check!B45)</f>
        <v>940</v>
      </c>
      <c r="J45" s="175">
        <f t="shared" si="3"/>
        <v>0</v>
      </c>
      <c r="K45" s="21">
        <f>IF(B45="","",SUMIFS('Input_APM (Zenith)'!N:N,'Input_APM (Zenith)'!L:L,Check!B45,'Input_APM (Zenith)'!M:M,Check!$F$1))</f>
        <v>60</v>
      </c>
      <c r="L45" s="21">
        <f>IF(B45="","",SUMIFS('Input_APM (Zenith)'!N:N,'Input_APM (Zenith)'!L:L,Check!B45,'Input_APM (Zenith)'!M:M,Check!$G$1))</f>
        <v>0</v>
      </c>
      <c r="M45" s="173">
        <f t="shared" si="4"/>
        <v>1000</v>
      </c>
      <c r="O45" t="s">
        <v>862</v>
      </c>
      <c r="P45" s="173">
        <f>IF(O45="","",IF(OR(LEFT(O45,4)="Cash",LEFT(O45,4)="Prov"),0,SUMIFS(Input_APM!N:N,Input_APM!L:L,Check!O45)))</f>
        <v>10349446</v>
      </c>
      <c r="Q45" s="21">
        <f>IF(O45="","",IF(LEN(O45)&gt;9,SUMIFS(Options!$H$3:$H$28,Options!$B$3:$B$28,Check!O45),SUMIFS('Master P&amp;L'!$H$11:$H$101,'Master P&amp;L'!$B$11:$B$101,Check!O45)))</f>
        <v>0</v>
      </c>
      <c r="R45" s="173">
        <f t="shared" si="1"/>
        <v>10349446</v>
      </c>
      <c r="S45" s="288" t="str">
        <f t="shared" si="2"/>
        <v>Erro</v>
      </c>
      <c r="V45" s="13"/>
    </row>
    <row r="46" spans="1:22">
      <c r="B46" t="s">
        <v>1050</v>
      </c>
      <c r="C46" s="187">
        <f>IF(B46="","",IF(LEN(B46)&gt;9,SUMIFS(Options!$H$3:$H$28,Options!$B$3:$B$28,Check!B46),SUMIFS('Master P&amp;L'!$H$11:$H$101,'Master P&amp;L'!$B$11:$B$101,Check!B46)))</f>
        <v>-1000</v>
      </c>
      <c r="D46" s="187">
        <f>IF(B46="","",SUMIFS(Input_APM!N:N,Input_APM!L:L,Check!B46,Input_APM!M:M,Check!$F$1))</f>
        <v>-940</v>
      </c>
      <c r="E46" s="175">
        <f t="shared" si="5"/>
        <v>0</v>
      </c>
      <c r="F46" s="187">
        <f>IF(B46="","",SUMIFS(Input_APM!N:N,Input_APM!M:M,Check!$F$1,Input_APM!L:L,Check!B46))</f>
        <v>-940</v>
      </c>
      <c r="G46" s="187">
        <f>IF(B46="","",SUMIFS(Input_APM!N:N,Input_APM!M:M,Check!$G$1,Input_APM!L:L,Check!B46))</f>
        <v>0</v>
      </c>
      <c r="H46" s="173">
        <f t="shared" si="0"/>
        <v>-940</v>
      </c>
      <c r="I46" s="173">
        <f>SUMIFS(Input_APM!N:N,Input_APM!L:L,Check!B46)</f>
        <v>-940</v>
      </c>
      <c r="J46" s="175">
        <f t="shared" si="3"/>
        <v>0</v>
      </c>
      <c r="K46" s="21">
        <f>IF(B46="","",SUMIFS('Input_APM (Zenith)'!N:N,'Input_APM (Zenith)'!L:L,Check!B46,'Input_APM (Zenith)'!M:M,Check!$F$1))</f>
        <v>-60</v>
      </c>
      <c r="L46" s="21">
        <f>IF(B46="","",SUMIFS('Input_APM (Zenith)'!N:N,'Input_APM (Zenith)'!L:L,Check!B46,'Input_APM (Zenith)'!M:M,Check!$G$1))</f>
        <v>0</v>
      </c>
      <c r="M46" s="173">
        <f t="shared" si="4"/>
        <v>-1000</v>
      </c>
      <c r="O46" t="s">
        <v>728</v>
      </c>
      <c r="P46" s="173">
        <f>IF(O46="","",IF(OR(LEFT(O46,4)="Cash",LEFT(O46,4)="Prov"),0,SUMIFS(Input_APM!N:N,Input_APM!L:L,Check!O46)))</f>
        <v>3756</v>
      </c>
      <c r="Q46" s="21">
        <f>IF(O46="","",IF(LEN(O46)&gt;9,SUMIFS(Options!$H$3:$H$28,Options!$B$3:$B$28,Check!O46),SUMIFS('Master P&amp;L'!$H$11:$H$101,'Master P&amp;L'!$B$11:$B$101,Check!O46)))</f>
        <v>4400</v>
      </c>
      <c r="R46" s="173">
        <f t="shared" si="1"/>
        <v>-644</v>
      </c>
      <c r="S46" s="288">
        <f t="shared" si="2"/>
        <v>0.85363636363636364</v>
      </c>
      <c r="V46" s="13"/>
    </row>
    <row r="47" spans="1:22">
      <c r="B47" t="s">
        <v>1078</v>
      </c>
      <c r="C47" s="187">
        <f>IF(B47="","",IF(LEN(B47)&gt;9,SUMIFS(Options!$H$3:$H$28,Options!$B$3:$B$28,Check!B47),SUMIFS('Master P&amp;L'!$H$11:$H$101,'Master P&amp;L'!$B$11:$B$101,Check!B47)))</f>
        <v>-500</v>
      </c>
      <c r="D47" s="187">
        <f>IF(B47="","",SUMIFS(Input_APM!N:N,Input_APM!L:L,Check!B47,Input_APM!M:M,Check!$F$1))</f>
        <v>-470</v>
      </c>
      <c r="E47" s="175">
        <f t="shared" si="5"/>
        <v>0</v>
      </c>
      <c r="F47" s="187">
        <f>IF(B47="","",SUMIFS(Input_APM!N:N,Input_APM!M:M,Check!$F$1,Input_APM!L:L,Check!B47))</f>
        <v>-470</v>
      </c>
      <c r="G47" s="187">
        <f>IF(B47="","",SUMIFS(Input_APM!N:N,Input_APM!M:M,Check!$G$1,Input_APM!L:L,Check!B47))</f>
        <v>0</v>
      </c>
      <c r="H47" s="173">
        <f t="shared" si="0"/>
        <v>-470</v>
      </c>
      <c r="I47" s="173">
        <f>SUMIFS(Input_APM!N:N,Input_APM!L:L,Check!B47)</f>
        <v>-470</v>
      </c>
      <c r="J47" s="175">
        <f t="shared" si="3"/>
        <v>0</v>
      </c>
      <c r="K47" s="21">
        <f>IF(B47="","",SUMIFS('Input_APM (Zenith)'!N:N,'Input_APM (Zenith)'!L:L,Check!B47,'Input_APM (Zenith)'!M:M,Check!$F$1))</f>
        <v>-30</v>
      </c>
      <c r="L47" s="21">
        <f>IF(B47="","",SUMIFS('Input_APM (Zenith)'!N:N,'Input_APM (Zenith)'!L:L,Check!B47,'Input_APM (Zenith)'!M:M,Check!$G$1))</f>
        <v>0</v>
      </c>
      <c r="M47" s="173">
        <f t="shared" si="4"/>
        <v>-500</v>
      </c>
      <c r="O47" t="s">
        <v>1045</v>
      </c>
      <c r="P47" s="173">
        <f>IF(O47="","",IF(OR(LEFT(O47,4)="Cash",LEFT(O47,4)="Prov"),0,SUMIFS(Input_APM!N:N,Input_APM!L:L,Check!O47)))</f>
        <v>142</v>
      </c>
      <c r="Q47" s="21">
        <f>IF(O47="","",IF(LEN(O47)&gt;9,SUMIFS(Options!$H$3:$H$28,Options!$B$3:$B$28,Check!O47),SUMIFS('Master P&amp;L'!$H$11:$H$101,'Master P&amp;L'!$B$11:$B$101,Check!O47)))</f>
        <v>150</v>
      </c>
      <c r="R47" s="173">
        <f t="shared" si="1"/>
        <v>-8</v>
      </c>
      <c r="S47" s="288">
        <f t="shared" si="2"/>
        <v>0.94666666666666666</v>
      </c>
    </row>
    <row r="48" spans="1:22">
      <c r="B48" t="s">
        <v>879</v>
      </c>
      <c r="C48" s="187">
        <f>IF(B48="","",IF(LEN(B48)&gt;9,SUMIFS(Options!$H$3:$H$28,Options!$B$3:$B$28,Check!B48),SUMIFS('Master P&amp;L'!$H$11:$H$101,'Master P&amp;L'!$B$11:$B$101,Check!B48)))</f>
        <v>300</v>
      </c>
      <c r="D48" s="187">
        <f>IF(B48="","",SUMIFS(Input_APM!N:N,Input_APM!L:L,Check!B48,Input_APM!M:M,Check!$F$1))</f>
        <v>284</v>
      </c>
      <c r="E48" s="175">
        <f t="shared" si="5"/>
        <v>0</v>
      </c>
      <c r="F48" s="187">
        <f>IF(B48="","",SUMIFS(Input_APM!N:N,Input_APM!M:M,Check!$F$1,Input_APM!L:L,Check!B48))</f>
        <v>284</v>
      </c>
      <c r="G48" s="187">
        <f>IF(B48="","",SUMIFS(Input_APM!N:N,Input_APM!M:M,Check!$G$1,Input_APM!L:L,Check!B48))</f>
        <v>0</v>
      </c>
      <c r="H48" s="173">
        <f t="shared" si="0"/>
        <v>284</v>
      </c>
      <c r="I48" s="173">
        <f>SUMIFS(Input_APM!N:N,Input_APM!L:L,Check!B48)</f>
        <v>284</v>
      </c>
      <c r="J48" s="175">
        <f t="shared" si="3"/>
        <v>0</v>
      </c>
      <c r="K48" s="21">
        <f>IF(B48="","",SUMIFS('Input_APM (Zenith)'!N:N,'Input_APM (Zenith)'!L:L,Check!B48,'Input_APM (Zenith)'!M:M,Check!$F$1))</f>
        <v>16</v>
      </c>
      <c r="L48" s="21">
        <f>IF(B48="","",SUMIFS('Input_APM (Zenith)'!N:N,'Input_APM (Zenith)'!L:L,Check!B48,'Input_APM (Zenith)'!M:M,Check!$G$1))</f>
        <v>0</v>
      </c>
      <c r="M48" s="173">
        <f t="shared" si="4"/>
        <v>300</v>
      </c>
      <c r="O48" t="s">
        <v>1046</v>
      </c>
      <c r="P48" s="173">
        <f>IF(O48="","",IF(OR(LEFT(O48,4)="Cash",LEFT(O48,4)="Prov"),0,SUMIFS(Input_APM!N:N,Input_APM!L:L,Check!O48)))</f>
        <v>-143</v>
      </c>
      <c r="Q48" s="21">
        <f>IF(O48="","",IF(LEN(O48)&gt;9,SUMIFS(Options!$H$3:$H$28,Options!$B$3:$B$28,Check!O48),SUMIFS('Master P&amp;L'!$H$11:$H$101,'Master P&amp;L'!$B$11:$B$101,Check!O48)))</f>
        <v>-150</v>
      </c>
      <c r="R48" s="173">
        <f t="shared" si="1"/>
        <v>7</v>
      </c>
      <c r="S48" s="288">
        <f t="shared" si="2"/>
        <v>0.95333333333333337</v>
      </c>
    </row>
    <row r="49" spans="1:19">
      <c r="B49" t="s">
        <v>1045</v>
      </c>
      <c r="C49" s="187">
        <f>IF(B49="","",IF(LEN(B49)&gt;9,SUMIFS(Options!$H$3:$H$28,Options!$B$3:$B$28,Check!B49),SUMIFS('Master P&amp;L'!$H$11:$H$101,'Master P&amp;L'!$B$11:$B$101,Check!B49)))</f>
        <v>150</v>
      </c>
      <c r="D49" s="187">
        <f>IF(B49="","",SUMIFS(Input_APM!N:N,Input_APM!L:L,Check!B49,Input_APM!M:M,Check!$F$1))</f>
        <v>142</v>
      </c>
      <c r="E49" s="175">
        <f t="shared" si="5"/>
        <v>0</v>
      </c>
      <c r="F49" s="187">
        <f>IF(B49="","",SUMIFS(Input_APM!N:N,Input_APM!M:M,Check!$F$1,Input_APM!L:L,Check!B49))</f>
        <v>142</v>
      </c>
      <c r="G49" s="187">
        <f>IF(B49="","",SUMIFS(Input_APM!N:N,Input_APM!M:M,Check!$G$1,Input_APM!L:L,Check!B49))</f>
        <v>0</v>
      </c>
      <c r="H49" s="173">
        <f t="shared" si="0"/>
        <v>142</v>
      </c>
      <c r="I49" s="173">
        <f>SUMIFS(Input_APM!N:N,Input_APM!L:L,Check!B49)</f>
        <v>142</v>
      </c>
      <c r="J49" s="175">
        <f t="shared" si="3"/>
        <v>0</v>
      </c>
      <c r="K49" s="21">
        <f>IF(B49="","",SUMIFS('Input_APM (Zenith)'!N:N,'Input_APM (Zenith)'!L:L,Check!B49,'Input_APM (Zenith)'!M:M,Check!$F$1))</f>
        <v>8</v>
      </c>
      <c r="L49" s="21">
        <f>IF(B49="","",SUMIFS('Input_APM (Zenith)'!N:N,'Input_APM (Zenith)'!L:L,Check!B49,'Input_APM (Zenith)'!M:M,Check!$G$1))</f>
        <v>0</v>
      </c>
      <c r="M49" s="173">
        <f t="shared" si="4"/>
        <v>150</v>
      </c>
      <c r="O49" t="s">
        <v>937</v>
      </c>
      <c r="P49" s="173">
        <f>IF(O49="","",IF(OR(LEFT(O49,4)="Cash",LEFT(O49,4)="Prov"),0,SUMIFS(Input_APM!N:N,Input_APM!L:L,Check!O49)))</f>
        <v>-9372000</v>
      </c>
      <c r="Q49" s="21">
        <f>IF(O49="","",IF(LEN(O49)&gt;9,SUMIFS(Options!$H$3:$H$28,Options!$B$3:$B$28,Check!O49),SUMIFS('Master P&amp;L'!$H$11:$H$101,'Master P&amp;L'!$B$11:$B$101,Check!O49)))</f>
        <v>0</v>
      </c>
      <c r="R49" s="173">
        <f t="shared" si="1"/>
        <v>-9372000</v>
      </c>
      <c r="S49" s="288" t="str">
        <f t="shared" si="2"/>
        <v>Erro</v>
      </c>
    </row>
    <row r="50" spans="1:19">
      <c r="A50" t="s">
        <v>441</v>
      </c>
      <c r="B50" t="s">
        <v>1046</v>
      </c>
      <c r="C50" s="187">
        <f>IF(B50="","",IF(LEN(B50)&gt;9,SUMIFS(Options!$H$3:$H$28,Options!$B$3:$B$28,Check!B50),SUMIFS('Master P&amp;L'!$H$11:$H$101,'Master P&amp;L'!$B$11:$B$101,Check!B50)))</f>
        <v>-150</v>
      </c>
      <c r="D50" s="187">
        <f>IF(B50="","",SUMIFS(Input_APM!N:N,Input_APM!L:L,Check!B50,Input_APM!M:M,Check!$F$1))</f>
        <v>-143</v>
      </c>
      <c r="E50" s="175">
        <f t="shared" si="5"/>
        <v>0</v>
      </c>
      <c r="F50" s="187">
        <f>IF(B50="","",SUMIFS(Input_APM!N:N,Input_APM!M:M,Check!$F$1,Input_APM!L:L,Check!B50))</f>
        <v>-143</v>
      </c>
      <c r="G50" s="187">
        <f>IF(B50="","",SUMIFS(Input_APM!N:N,Input_APM!M:M,Check!$G$1,Input_APM!L:L,Check!B50))</f>
        <v>0</v>
      </c>
      <c r="H50" s="173">
        <f t="shared" si="0"/>
        <v>-143</v>
      </c>
      <c r="I50" s="173">
        <f>SUMIFS(Input_APM!N:N,Input_APM!L:L,Check!B50)</f>
        <v>-143</v>
      </c>
      <c r="J50" s="175">
        <f t="shared" si="3"/>
        <v>0</v>
      </c>
      <c r="K50" s="21">
        <f>IF(B50="","",SUMIFS('Input_APM (Zenith)'!N:N,'Input_APM (Zenith)'!L:L,Check!B50,'Input_APM (Zenith)'!M:M,Check!$F$1))</f>
        <v>-7</v>
      </c>
      <c r="L50" s="21">
        <f>IF(B50="","",SUMIFS('Input_APM (Zenith)'!N:N,'Input_APM (Zenith)'!L:L,Check!B50,'Input_APM (Zenith)'!M:M,Check!$G$1))</f>
        <v>0</v>
      </c>
      <c r="M50" s="173">
        <f t="shared" si="4"/>
        <v>-150</v>
      </c>
      <c r="O50" t="s">
        <v>29</v>
      </c>
      <c r="P50" s="173">
        <f>IF(O50="","",IF(OR(LEFT(O50,4)="Cash",LEFT(O50,4)="Prov"),0,SUMIFS(Input_APM!N:N,Input_APM!L:L,Check!O50)))</f>
        <v>7610</v>
      </c>
      <c r="Q50" s="21">
        <f>IF(O50="","",IF(LEN(O50)&gt;9,SUMIFS(Options!$H$3:$H$28,Options!$B$3:$B$28,Check!O50),SUMIFS('Master P&amp;L'!$H$11:$H$101,'Master P&amp;L'!$B$11:$B$101,Check!O50)))</f>
        <v>8100</v>
      </c>
      <c r="R50" s="173">
        <f t="shared" si="1"/>
        <v>-490</v>
      </c>
      <c r="S50" s="288">
        <f t="shared" si="2"/>
        <v>0.93950617283950622</v>
      </c>
    </row>
    <row r="51" spans="1:19">
      <c r="B51" t="s">
        <v>957</v>
      </c>
      <c r="C51" s="187">
        <f>IF(B51="","",IF(LEN(B51)&gt;9,SUMIFS(Options!$H$3:$H$28,Options!$B$3:$B$28,Check!B51),SUMIFS('Master P&amp;L'!$H$11:$H$101,'Master P&amp;L'!$B$11:$B$101,Check!B51)))</f>
        <v>170</v>
      </c>
      <c r="D51" s="187">
        <f>IF(B51="","",SUMIFS(Input_APM!N:N,Input_APM!L:L,Check!B51,Input_APM!M:M,Check!$F$1))</f>
        <v>161</v>
      </c>
      <c r="E51" s="175">
        <f t="shared" si="5"/>
        <v>0</v>
      </c>
      <c r="F51" s="187">
        <f>IF(B51="","",SUMIFS(Input_APM!N:N,Input_APM!M:M,Check!$F$1,Input_APM!L:L,Check!B51))</f>
        <v>161</v>
      </c>
      <c r="G51" s="187">
        <f>IF(B51="","",SUMIFS(Input_APM!N:N,Input_APM!M:M,Check!$G$1,Input_APM!L:L,Check!B51))</f>
        <v>0</v>
      </c>
      <c r="H51" s="173">
        <f t="shared" si="0"/>
        <v>161</v>
      </c>
      <c r="I51" s="173">
        <f>SUMIFS(Input_APM!N:N,Input_APM!L:L,Check!B51)</f>
        <v>161</v>
      </c>
      <c r="J51" s="175">
        <f t="shared" si="3"/>
        <v>0</v>
      </c>
      <c r="K51" s="21">
        <f>IF(B51="","",SUMIFS('Input_APM (Zenith)'!N:N,'Input_APM (Zenith)'!L:L,Check!B51,'Input_APM (Zenith)'!M:M,Check!$F$1))</f>
        <v>9</v>
      </c>
      <c r="L51" s="21">
        <f>IF(B51="","",SUMIFS('Input_APM (Zenith)'!N:N,'Input_APM (Zenith)'!L:L,Check!B51,'Input_APM (Zenith)'!M:M,Check!$G$1))</f>
        <v>0</v>
      </c>
      <c r="M51" s="173">
        <f t="shared" si="4"/>
        <v>170</v>
      </c>
      <c r="O51" t="s">
        <v>957</v>
      </c>
      <c r="P51" s="173">
        <f>IF(O51="","",IF(OR(LEFT(O51,4)="Cash",LEFT(O51,4)="Prov"),0,SUMIFS(Input_APM!N:N,Input_APM!L:L,Check!O51)))</f>
        <v>161</v>
      </c>
      <c r="Q51" s="21">
        <f>IF(O51="","",IF(LEN(O51)&gt;9,SUMIFS(Options!$H$3:$H$28,Options!$B$3:$B$28,Check!O51),SUMIFS('Master P&amp;L'!$H$11:$H$101,'Master P&amp;L'!$B$11:$B$101,Check!O51)))</f>
        <v>170</v>
      </c>
      <c r="R51" s="173">
        <f t="shared" si="1"/>
        <v>-9</v>
      </c>
      <c r="S51" s="288">
        <f t="shared" si="2"/>
        <v>0.94705882352941173</v>
      </c>
    </row>
    <row r="52" spans="1:19">
      <c r="B52" t="s">
        <v>845</v>
      </c>
      <c r="C52" s="187">
        <f>IF(B52="","",IF(LEN(B52)&gt;9,SUMIFS(Options!$H$3:$H$28,Options!$B$3:$B$28,Check!B52),SUMIFS('Master P&amp;L'!$H$11:$H$101,'Master P&amp;L'!$B$11:$B$101,Check!B52)))</f>
        <v>450</v>
      </c>
      <c r="D52" s="187">
        <f>IF(B52="","",SUMIFS(Input_APM!N:N,Input_APM!L:L,Check!B52,Input_APM!M:M,Check!$F$1))</f>
        <v>422</v>
      </c>
      <c r="E52" s="173">
        <f>IF(B52="","",C52-M52)</f>
        <v>0</v>
      </c>
      <c r="F52" s="187">
        <f>IF(B52="","",SUMIFS(Input_APM!N:N,Input_APM!M:M,Check!$F$1,Input_APM!L:L,Check!B52))</f>
        <v>422</v>
      </c>
      <c r="G52" s="187">
        <f>IF(B52="","",SUMIFS(Input_APM!N:N,Input_APM!M:M,Check!$G$1,Input_APM!L:L,Check!B52))</f>
        <v>0</v>
      </c>
      <c r="H52" s="173">
        <f t="shared" si="0"/>
        <v>422</v>
      </c>
      <c r="I52" s="173">
        <f>SUMIFS(Input_APM!N:N,Input_APM!L:L,Check!B52)</f>
        <v>422</v>
      </c>
      <c r="J52" s="175">
        <f t="shared" si="3"/>
        <v>0</v>
      </c>
      <c r="K52" s="21">
        <f>IF(B52="","",SUMIFS('Input_APM (Zenith)'!N:N,'Input_APM (Zenith)'!L:L,Check!B52,'Input_APM (Zenith)'!M:M,Check!$F$1))</f>
        <v>28</v>
      </c>
      <c r="L52" s="21">
        <f>IF(B52="","",SUMIFS('Input_APM (Zenith)'!N:N,'Input_APM (Zenith)'!L:L,Check!B52,'Input_APM (Zenith)'!M:M,Check!$G$1))</f>
        <v>0</v>
      </c>
      <c r="M52" s="173">
        <f t="shared" si="4"/>
        <v>450</v>
      </c>
      <c r="O52" t="s">
        <v>85</v>
      </c>
      <c r="P52" s="173">
        <f>IF(O52="","",IF(OR(LEFT(O52,4)="Cash",LEFT(O52,4)="Prov"),0,SUMIFS(Input_APM!N:N,Input_APM!L:L,Check!O52)))</f>
        <v>-5262</v>
      </c>
      <c r="Q52" s="21">
        <f>IF(O52="","",IF(LEN(O52)&gt;9,SUMIFS(Options!$H$3:$H$28,Options!$B$3:$B$28,Check!O52),SUMIFS('Master P&amp;L'!$H$11:$H$101,'Master P&amp;L'!$B$11:$B$101,Check!O52)))</f>
        <v>-5600</v>
      </c>
      <c r="R52" s="173">
        <f t="shared" si="1"/>
        <v>338</v>
      </c>
      <c r="S52" s="288">
        <f t="shared" si="2"/>
        <v>0.93964285714285711</v>
      </c>
    </row>
    <row r="53" spans="1:19">
      <c r="B53" t="s">
        <v>979</v>
      </c>
      <c r="C53" s="187">
        <f>IF(B53="","",IF(LEN(B53)&gt;9,SUMIFS(Options!$H$3:$H$28,Options!$B$3:$B$28,Check!B53),SUMIFS('Master P&amp;L'!$H$11:$H$101,'Master P&amp;L'!$B$11:$B$101,Check!B53)))</f>
        <v>-450</v>
      </c>
      <c r="D53" s="187">
        <f>IF(B53="","",SUMIFS(Input_APM!N:N,Input_APM!L:L,Check!B53,Input_APM!M:M,Check!$F$1))</f>
        <v>-422</v>
      </c>
      <c r="E53" s="173">
        <f>IF(B53="","",C53-M53)</f>
        <v>0</v>
      </c>
      <c r="F53" s="187">
        <f>IF(B53="","",SUMIFS(Input_APM!N:N,Input_APM!M:M,Check!$F$1,Input_APM!L:L,Check!B53))</f>
        <v>-422</v>
      </c>
      <c r="G53" s="187">
        <f>IF(B53="","",SUMIFS(Input_APM!N:N,Input_APM!M:M,Check!$G$1,Input_APM!L:L,Check!B53))</f>
        <v>0</v>
      </c>
      <c r="H53" s="173">
        <f t="shared" si="0"/>
        <v>-422</v>
      </c>
      <c r="I53" s="173">
        <f>SUMIFS(Input_APM!N:N,Input_APM!L:L,Check!B53)</f>
        <v>-422</v>
      </c>
      <c r="J53" s="175">
        <f t="shared" si="3"/>
        <v>0</v>
      </c>
      <c r="K53" s="21">
        <f>IF(B53="","",SUMIFS('Input_APM (Zenith)'!N:N,'Input_APM (Zenith)'!L:L,Check!B53,'Input_APM (Zenith)'!M:M,Check!$F$1))</f>
        <v>-28</v>
      </c>
      <c r="L53" s="21">
        <f>IF(B53="","",SUMIFS('Input_APM (Zenith)'!N:N,'Input_APM (Zenith)'!L:L,Check!B53,'Input_APM (Zenith)'!M:M,Check!$G$1))</f>
        <v>0</v>
      </c>
      <c r="M53" s="173">
        <f>IF(B53="","",F53+G53+K53+L53)</f>
        <v>-450</v>
      </c>
      <c r="O53" t="s">
        <v>979</v>
      </c>
      <c r="P53" s="173">
        <f>IF(O53="","",IF(OR(LEFT(O53,4)="Cash",LEFT(O53,4)="Prov"),0,SUMIFS(Input_APM!N:N,Input_APM!L:L,Check!O53)))</f>
        <v>-422</v>
      </c>
      <c r="Q53" s="21">
        <f>IF(O53="","",IF(LEN(O53)&gt;9,SUMIFS(Options!$H$3:$H$28,Options!$B$3:$B$28,Check!O53),SUMIFS('Master P&amp;L'!$H$11:$H$101,'Master P&amp;L'!$B$11:$B$101,Check!O53)))</f>
        <v>-450</v>
      </c>
      <c r="R53" s="173">
        <f t="shared" si="1"/>
        <v>28</v>
      </c>
      <c r="S53" s="288">
        <f t="shared" si="2"/>
        <v>0.93777777777777782</v>
      </c>
    </row>
    <row r="54" spans="1:19">
      <c r="B54" t="s">
        <v>980</v>
      </c>
      <c r="C54" s="187">
        <f>IF(B54="","",IF(LEN(B54)&gt;9,SUMIFS(Options!$H$3:$H$28,Options!$B$3:$B$28,Check!B54),SUMIFS('Master P&amp;L'!$H$11:$H$101,'Master P&amp;L'!$B$11:$B$101,Check!B54)))</f>
        <v>-300</v>
      </c>
      <c r="D54" s="187">
        <f>IF(B54="","",SUMIFS(Input_APM!N:N,Input_APM!L:L,Check!B54,Input_APM!M:M,Check!$F$1))</f>
        <v>-282</v>
      </c>
      <c r="E54" s="175">
        <f t="shared" si="5"/>
        <v>0</v>
      </c>
      <c r="F54" s="187">
        <f>IF(B54="","",SUMIFS(Input_APM!N:N,Input_APM!M:M,Check!$F$1,Input_APM!L:L,Check!B54))</f>
        <v>-282</v>
      </c>
      <c r="G54" s="187">
        <f>IF(B54="","",SUMIFS(Input_APM!N:N,Input_APM!M:M,Check!$G$1,Input_APM!L:L,Check!B54))</f>
        <v>0</v>
      </c>
      <c r="H54" s="173">
        <f t="shared" si="0"/>
        <v>-282</v>
      </c>
      <c r="I54" s="173">
        <f>SUMIFS(Input_APM!N:N,Input_APM!L:L,Check!B54)</f>
        <v>-282</v>
      </c>
      <c r="J54" s="175">
        <f t="shared" si="3"/>
        <v>0</v>
      </c>
      <c r="K54" s="21">
        <f>IF(B54="","",SUMIFS('Input_APM (Zenith)'!N:N,'Input_APM (Zenith)'!L:L,Check!B54,'Input_APM (Zenith)'!M:M,Check!$F$1))</f>
        <v>-18</v>
      </c>
      <c r="L54" s="21">
        <f>IF(B54="","",SUMIFS('Input_APM (Zenith)'!N:N,'Input_APM (Zenith)'!L:L,Check!B54,'Input_APM (Zenith)'!M:M,Check!$G$1))</f>
        <v>0</v>
      </c>
      <c r="M54" s="173">
        <f t="shared" si="4"/>
        <v>-300</v>
      </c>
      <c r="O54" t="s">
        <v>845</v>
      </c>
      <c r="P54" s="173">
        <f>IF(O54="","",IF(OR(LEFT(O54,4)="Cash",LEFT(O54,4)="Prov"),0,SUMIFS(Input_APM!N:N,Input_APM!L:L,Check!O54)))</f>
        <v>422</v>
      </c>
      <c r="Q54" s="21">
        <f>IF(O54="","",IF(LEN(O54)&gt;9,SUMIFS(Options!$H$3:$H$28,Options!$B$3:$B$28,Check!O54),SUMIFS('Master P&amp;L'!$H$11:$H$101,'Master P&amp;L'!$B$11:$B$101,Check!O54)))</f>
        <v>450</v>
      </c>
      <c r="R54" s="173">
        <f t="shared" si="1"/>
        <v>-28</v>
      </c>
      <c r="S54" s="288">
        <f t="shared" si="2"/>
        <v>0.93777777777777782</v>
      </c>
    </row>
    <row r="55" spans="1:19">
      <c r="B55" t="s">
        <v>981</v>
      </c>
      <c r="C55" s="187">
        <f>IF(B55="","",IF(LEN(B55)&gt;9,SUMIFS(Options!$H$3:$H$28,Options!$B$3:$B$28,Check!B55),SUMIFS('Master P&amp;L'!$H$11:$H$101,'Master P&amp;L'!$B$11:$B$101,Check!B55)))</f>
        <v>-100</v>
      </c>
      <c r="D55" s="187">
        <f>IF(B55="","",SUMIFS(Input_APM!N:N,Input_APM!L:L,Check!B55,Input_APM!M:M,Check!$F$1))</f>
        <v>-94</v>
      </c>
      <c r="E55" s="175">
        <f t="shared" si="5"/>
        <v>0</v>
      </c>
      <c r="F55" s="187">
        <f>IF(B55="","",SUMIFS(Input_APM!N:N,Input_APM!M:M,Check!$F$1,Input_APM!L:L,Check!B55))</f>
        <v>-94</v>
      </c>
      <c r="G55" s="187">
        <f>IF(B55="","",SUMIFS(Input_APM!N:N,Input_APM!M:M,Check!$G$1,Input_APM!L:L,Check!B55))</f>
        <v>0</v>
      </c>
      <c r="H55" s="173">
        <f t="shared" si="0"/>
        <v>-94</v>
      </c>
      <c r="I55" s="173">
        <f>SUMIFS(Input_APM!N:N,Input_APM!L:L,Check!B55)</f>
        <v>-94</v>
      </c>
      <c r="J55" s="175">
        <f t="shared" si="3"/>
        <v>0</v>
      </c>
      <c r="K55" s="21">
        <f>IF(B55="","",SUMIFS('Input_APM (Zenith)'!N:N,'Input_APM (Zenith)'!L:L,Check!B55,'Input_APM (Zenith)'!M:M,Check!$F$1))</f>
        <v>-6</v>
      </c>
      <c r="L55" s="21">
        <f>IF(B55="","",SUMIFS('Input_APM (Zenith)'!N:N,'Input_APM (Zenith)'!L:L,Check!B55,'Input_APM (Zenith)'!M:M,Check!$G$1))</f>
        <v>0</v>
      </c>
      <c r="M55" s="173">
        <f t="shared" si="4"/>
        <v>-100</v>
      </c>
      <c r="O55" t="s">
        <v>1123</v>
      </c>
      <c r="P55" s="173">
        <f>IF(O55="","",IF(OR(LEFT(O55,4)="Cash",LEFT(O55,4)="Prov"),0,SUMIFS(Input_APM!N:N,Input_APM!L:L,Check!O55)))</f>
        <v>-4694500</v>
      </c>
      <c r="Q55" s="21">
        <f>IF(O55="","",IF(LEN(O55)&gt;9,SUMIFS(Options!$H$3:$H$28,Options!$B$3:$B$28,Check!O55),SUMIFS('Master P&amp;L'!$H$11:$H$101,'Master P&amp;L'!$B$11:$B$101,Check!O55)))</f>
        <v>0</v>
      </c>
      <c r="R55" s="173">
        <f t="shared" si="1"/>
        <v>-4694500</v>
      </c>
      <c r="S55" s="288" t="str">
        <f t="shared" si="2"/>
        <v>Erro</v>
      </c>
    </row>
    <row r="56" spans="1:19">
      <c r="B56" t="s">
        <v>923</v>
      </c>
      <c r="C56" s="187">
        <f>IF(B56="","",IF(LEN(B56)&gt;9,SUMIFS(Options!$H$3:$H$28,Options!$B$3:$B$28,Check!B56),SUMIFS('Master P&amp;L'!$H$11:$H$101,'Master P&amp;L'!$B$11:$B$101,Check!B56)))</f>
        <v>150</v>
      </c>
      <c r="D56" s="187">
        <f>IF(B56="","",SUMIFS(Input_APM!N:N,Input_APM!L:L,Check!B56,Input_APM!M:M,Check!$F$1))</f>
        <v>142</v>
      </c>
      <c r="E56" s="175">
        <f t="shared" si="5"/>
        <v>0</v>
      </c>
      <c r="F56" s="187">
        <f>IF(B56="","",SUMIFS(Input_APM!N:N,Input_APM!M:M,Check!$F$1,Input_APM!L:L,Check!B56))</f>
        <v>142</v>
      </c>
      <c r="G56" s="187">
        <f>IF(B56="","",SUMIFS(Input_APM!N:N,Input_APM!M:M,Check!$G$1,Input_APM!L:L,Check!B56))</f>
        <v>0</v>
      </c>
      <c r="H56" s="173">
        <f t="shared" si="0"/>
        <v>142</v>
      </c>
      <c r="I56" s="173">
        <f>SUMIFS(Input_APM!N:N,Input_APM!L:L,Check!B56)</f>
        <v>142</v>
      </c>
      <c r="J56" s="175">
        <f t="shared" si="3"/>
        <v>0</v>
      </c>
      <c r="K56" s="21">
        <f>IF(B56="","",SUMIFS('Input_APM (Zenith)'!N:N,'Input_APM (Zenith)'!L:L,Check!B56,'Input_APM (Zenith)'!M:M,Check!$F$1))</f>
        <v>8</v>
      </c>
      <c r="L56" s="21">
        <f>IF(B56="","",SUMIFS('Input_APM (Zenith)'!N:N,'Input_APM (Zenith)'!L:L,Check!B56,'Input_APM (Zenith)'!M:M,Check!$G$1))</f>
        <v>0</v>
      </c>
      <c r="M56" s="173">
        <f t="shared" si="4"/>
        <v>150</v>
      </c>
      <c r="O56" t="s">
        <v>980</v>
      </c>
      <c r="P56" s="173">
        <f>IF(O56="","",IF(OR(LEFT(O56,4)="Cash",LEFT(O56,4)="Prov"),0,SUMIFS(Input_APM!N:N,Input_APM!L:L,Check!O56)))</f>
        <v>-282</v>
      </c>
      <c r="Q56" s="21">
        <f>IF(O56="","",IF(LEN(O56)&gt;9,SUMIFS(Options!$H$3:$H$28,Options!$B$3:$B$28,Check!O56),SUMIFS('Master P&amp;L'!$H$11:$H$101,'Master P&amp;L'!$B$11:$B$101,Check!O56)))</f>
        <v>-300</v>
      </c>
      <c r="R56" s="173">
        <f t="shared" si="1"/>
        <v>18</v>
      </c>
      <c r="S56" s="288">
        <f t="shared" si="2"/>
        <v>0.94</v>
      </c>
    </row>
    <row r="57" spans="1:19">
      <c r="B57" t="s">
        <v>1069</v>
      </c>
      <c r="C57" s="187">
        <f>IF(B57="","",IF(LEN(B57)&gt;9,SUMIFS(Options!$H$3:$H$28,Options!$B$3:$B$28,Check!B57),SUMIFS('Master P&amp;L'!$H$11:$H$101,'Master P&amp;L'!$B$11:$B$101,Check!B57)))</f>
        <v>725</v>
      </c>
      <c r="D57" s="187">
        <f>IF(B57="","",SUMIFS(Input_APM!N:N,Input_APM!L:L,Check!B57,Input_APM!M:M,Check!$F$1))</f>
        <v>681</v>
      </c>
      <c r="E57" s="175">
        <f>IF(B57="","",C57-M57)</f>
        <v>0</v>
      </c>
      <c r="F57" s="187">
        <f>IF(B57="","",SUMIFS(Input_APM!N:N,Input_APM!M:M,Check!$F$1,Input_APM!L:L,Check!B57))</f>
        <v>681</v>
      </c>
      <c r="G57" s="187">
        <f>IF(B57="","",SUMIFS(Input_APM!N:N,Input_APM!M:M,Check!$G$1,Input_APM!L:L,Check!B57))</f>
        <v>0</v>
      </c>
      <c r="H57" s="173">
        <f t="shared" si="0"/>
        <v>681</v>
      </c>
      <c r="I57" s="173">
        <f>SUMIFS(Input_APM!N:N,Input_APM!L:L,Check!B57)</f>
        <v>681</v>
      </c>
      <c r="J57" s="175">
        <f t="shared" si="3"/>
        <v>0</v>
      </c>
      <c r="K57" s="21">
        <f>IF(B57="","",SUMIFS('Input_APM (Zenith)'!N:N,'Input_APM (Zenith)'!L:L,Check!B57,'Input_APM (Zenith)'!M:M,Check!$F$1))</f>
        <v>44</v>
      </c>
      <c r="L57" s="21">
        <f>IF(B57="","",SUMIFS('Input_APM (Zenith)'!N:N,'Input_APM (Zenith)'!L:L,Check!B57,'Input_APM (Zenith)'!M:M,Check!$G$1))</f>
        <v>0</v>
      </c>
      <c r="M57" s="173">
        <f t="shared" si="4"/>
        <v>725</v>
      </c>
      <c r="O57" t="s">
        <v>981</v>
      </c>
      <c r="P57" s="173">
        <f>IF(O57="","",IF(OR(LEFT(O57,4)="Cash",LEFT(O57,4)="Prov"),0,SUMIFS(Input_APM!N:N,Input_APM!L:L,Check!O57)))</f>
        <v>-94</v>
      </c>
      <c r="Q57" s="21">
        <f>IF(O57="","",IF(LEN(O57)&gt;9,SUMIFS(Options!$H$3:$H$28,Options!$B$3:$B$28,Check!O57),SUMIFS('Master P&amp;L'!$H$11:$H$101,'Master P&amp;L'!$B$11:$B$101,Check!O57)))</f>
        <v>-100</v>
      </c>
      <c r="R57" s="173">
        <f t="shared" si="1"/>
        <v>6</v>
      </c>
      <c r="S57" s="288">
        <f t="shared" si="2"/>
        <v>0.94</v>
      </c>
    </row>
    <row r="58" spans="1:19">
      <c r="B58" t="s">
        <v>1070</v>
      </c>
      <c r="C58" s="187">
        <f>IF(B58="","",IF(LEN(B58)&gt;9,SUMIFS(Options!$H$3:$H$28,Options!$B$3:$B$28,Check!B58),SUMIFS('Master P&amp;L'!$H$11:$H$101,'Master P&amp;L'!$B$11:$B$101,Check!B58)))</f>
        <v>-725</v>
      </c>
      <c r="D58" s="187">
        <f>IF(B58="","",SUMIFS(Input_APM!N:N,Input_APM!L:L,Check!B58,Input_APM!M:M,Check!$F$1))</f>
        <v>-680</v>
      </c>
      <c r="E58" s="173">
        <f t="shared" si="5"/>
        <v>0</v>
      </c>
      <c r="F58" s="187">
        <f>IF(B58="","",SUMIFS(Input_APM!N:N,Input_APM!M:M,Check!$F$1,Input_APM!L:L,Check!B58))</f>
        <v>-680</v>
      </c>
      <c r="G58" s="187">
        <f>IF(B58="","",SUMIFS(Input_APM!N:N,Input_APM!M:M,Check!$G$1,Input_APM!L:L,Check!B58))</f>
        <v>0</v>
      </c>
      <c r="H58" s="173">
        <f t="shared" si="0"/>
        <v>-680</v>
      </c>
      <c r="I58" s="173">
        <f>SUMIFS(Input_APM!N:N,Input_APM!L:L,Check!B58)</f>
        <v>-680</v>
      </c>
      <c r="J58" s="175">
        <f t="shared" si="3"/>
        <v>0</v>
      </c>
      <c r="K58" s="21">
        <f>IF(B58="","",SUMIFS('Input_APM (Zenith)'!N:N,'Input_APM (Zenith)'!L:L,Check!B58,'Input_APM (Zenith)'!M:M,Check!$F$1))</f>
        <v>-45</v>
      </c>
      <c r="L58" s="21">
        <f>IF(B58="","",SUMIFS('Input_APM (Zenith)'!N:N,'Input_APM (Zenith)'!L:L,Check!B58,'Input_APM (Zenith)'!M:M,Check!$G$1))</f>
        <v>0</v>
      </c>
      <c r="M58" s="173">
        <f t="shared" si="4"/>
        <v>-725</v>
      </c>
      <c r="O58" t="s">
        <v>963</v>
      </c>
      <c r="P58" s="173">
        <f>IF(O58="","",IF(OR(LEFT(O58,4)="Cash",LEFT(O58,4)="Prov"),0,SUMIFS(Input_APM!N:N,Input_APM!L:L,Check!O58)))</f>
        <v>-14</v>
      </c>
      <c r="Q58" s="21">
        <f>IF(O58="","",IF(LEN(O58)&gt;9,SUMIFS(Options!$H$3:$H$28,Options!$B$3:$B$28,Check!O58),SUMIFS('Master P&amp;L'!$H$11:$H$101,'Master P&amp;L'!$B$11:$B$101,Check!O58)))</f>
        <v>0</v>
      </c>
      <c r="R58" s="173">
        <f t="shared" si="1"/>
        <v>-14</v>
      </c>
      <c r="S58" s="288" t="str">
        <f t="shared" si="2"/>
        <v>Erro</v>
      </c>
    </row>
    <row r="59" spans="1:19">
      <c r="B59" t="s">
        <v>1096</v>
      </c>
      <c r="C59" s="187">
        <f>IF(B59="","",IF(LEN(B59)&gt;9,SUMIFS(Options!$H$3:$H$28,Options!$B$3:$B$28,Check!B59),SUMIFS('Master P&amp;L'!$H$11:$H$101,'Master P&amp;L'!$B$11:$B$101,Check!B59)))</f>
        <v>900</v>
      </c>
      <c r="D59" s="187">
        <f>IF(B59="","",SUMIFS(Input_APM!N:N,Input_APM!L:L,Check!B59,Input_APM!M:M,Check!$F$1))</f>
        <v>846</v>
      </c>
      <c r="E59" s="173">
        <f t="shared" si="5"/>
        <v>0</v>
      </c>
      <c r="F59" s="187">
        <f>IF(B59="","",SUMIFS(Input_APM!N:N,Input_APM!M:M,Check!$F$1,Input_APM!L:L,Check!B59))</f>
        <v>846</v>
      </c>
      <c r="G59" s="187">
        <f>IF(B59="","",SUMIFS(Input_APM!N:N,Input_APM!M:M,Check!$G$1,Input_APM!L:L,Check!B59))</f>
        <v>0</v>
      </c>
      <c r="H59" s="173">
        <f t="shared" si="0"/>
        <v>846</v>
      </c>
      <c r="I59" s="173">
        <f>SUMIFS(Input_APM!N:N,Input_APM!L:L,Check!B59)</f>
        <v>846</v>
      </c>
      <c r="J59" s="175">
        <f t="shared" si="3"/>
        <v>0</v>
      </c>
      <c r="K59" s="21">
        <f>IF(B59="","",SUMIFS('Input_APM (Zenith)'!N:N,'Input_APM (Zenith)'!L:L,Check!B59,'Input_APM (Zenith)'!M:M,Check!$F$1))</f>
        <v>54</v>
      </c>
      <c r="L59" s="21">
        <f>IF(B59="","",SUMIFS('Input_APM (Zenith)'!N:N,'Input_APM (Zenith)'!L:L,Check!B59,'Input_APM (Zenith)'!M:M,Check!$G$1))</f>
        <v>0</v>
      </c>
      <c r="M59" s="173">
        <f t="shared" si="4"/>
        <v>900</v>
      </c>
      <c r="O59" t="s">
        <v>42</v>
      </c>
      <c r="P59" s="173">
        <f>IF(O59="","",IF(OR(LEFT(O59,4)="Cash",LEFT(O59,4)="Prov"),0,SUMIFS(Input_APM!N:N,Input_APM!L:L,Check!O59)))</f>
        <v>49407</v>
      </c>
      <c r="Q59" s="21">
        <f>IF(O59="","",IF(LEN(O59)&gt;9,SUMIFS(Options!$H$3:$H$28,Options!$B$3:$B$28,Check!O59),SUMIFS('Master P&amp;L'!$H$11:$H$101,'Master P&amp;L'!$B$11:$B$101,Check!O59)))</f>
        <v>55970</v>
      </c>
      <c r="R59" s="173">
        <f t="shared" si="1"/>
        <v>-6563</v>
      </c>
      <c r="S59" s="288">
        <f t="shared" si="2"/>
        <v>0.88274075397534391</v>
      </c>
    </row>
    <row r="60" spans="1:19">
      <c r="B60" t="s">
        <v>1068</v>
      </c>
      <c r="C60" s="187">
        <f>IF(B60="","",IF(LEN(B60)&gt;9,SUMIFS(Options!$H$3:$H$28,Options!$B$3:$B$28,Check!B60),SUMIFS('Master P&amp;L'!$H$11:$H$101,'Master P&amp;L'!$B$11:$B$101,Check!B60)))</f>
        <v>-900</v>
      </c>
      <c r="D60" s="187">
        <f>IF(B60="","",SUMIFS(Input_APM!N:N,Input_APM!L:L,Check!B60,Input_APM!M:M,Check!$F$1))</f>
        <v>-846</v>
      </c>
      <c r="E60" s="175">
        <f t="shared" si="5"/>
        <v>0</v>
      </c>
      <c r="F60" s="187">
        <f>IF(B60="","",SUMIFS(Input_APM!N:N,Input_APM!M:M,Check!$F$1,Input_APM!L:L,Check!B60))</f>
        <v>-846</v>
      </c>
      <c r="G60" s="187">
        <f>IF(B60="","",SUMIFS(Input_APM!N:N,Input_APM!M:M,Check!$G$1,Input_APM!L:L,Check!B60))</f>
        <v>0</v>
      </c>
      <c r="H60" s="173">
        <f t="shared" si="0"/>
        <v>-846</v>
      </c>
      <c r="I60" s="173">
        <f>SUMIFS(Input_APM!N:N,Input_APM!L:L,Check!B60)</f>
        <v>-846</v>
      </c>
      <c r="J60" s="175">
        <f t="shared" si="3"/>
        <v>0</v>
      </c>
      <c r="K60" s="21">
        <f>IF(B60="","",SUMIFS('Input_APM (Zenith)'!N:N,'Input_APM (Zenith)'!L:L,Check!B60,'Input_APM (Zenith)'!M:M,Check!$F$1))</f>
        <v>-54</v>
      </c>
      <c r="L60" s="21">
        <f>IF(B60="","",SUMIFS('Input_APM (Zenith)'!N:N,'Input_APM (Zenith)'!L:L,Check!B60,'Input_APM (Zenith)'!M:M,Check!$G$1))</f>
        <v>0</v>
      </c>
      <c r="M60" s="173">
        <f t="shared" si="4"/>
        <v>-900</v>
      </c>
      <c r="O60" t="s">
        <v>1069</v>
      </c>
      <c r="P60" s="173">
        <f>IF(O60="","",IF(OR(LEFT(O60,4)="Cash",LEFT(O60,4)="Prov"),0,SUMIFS(Input_APM!N:N,Input_APM!L:L,Check!O60)))</f>
        <v>681</v>
      </c>
      <c r="Q60" s="21">
        <f>IF(O60="","",IF(LEN(O60)&gt;9,SUMIFS(Options!$H$3:$H$28,Options!$B$3:$B$28,Check!O60),SUMIFS('Master P&amp;L'!$H$11:$H$101,'Master P&amp;L'!$B$11:$B$101,Check!O60)))</f>
        <v>725</v>
      </c>
      <c r="R60" s="173">
        <f t="shared" si="1"/>
        <v>-44</v>
      </c>
      <c r="S60" s="288">
        <f t="shared" si="2"/>
        <v>0.93931034482758624</v>
      </c>
    </row>
    <row r="61" spans="1:19">
      <c r="B61" t="s">
        <v>1095</v>
      </c>
      <c r="C61" s="187">
        <f>IF(B61="","",IF(LEN(B61)&gt;9,SUMIFS(Options!$H$3:$H$28,Options!$B$3:$B$28,Check!B61),SUMIFS('Master P&amp;L'!$H$11:$H$101,'Master P&amp;L'!$B$11:$B$101,Check!B61)))</f>
        <v>200</v>
      </c>
      <c r="D61" s="187">
        <f>IF(B61="","",SUMIFS(Input_APM!N:N,Input_APM!L:L,Check!B61,Input_APM!M:M,Check!$F$1))</f>
        <v>188</v>
      </c>
      <c r="E61" s="173">
        <f t="shared" si="5"/>
        <v>0</v>
      </c>
      <c r="F61" s="187">
        <f>IF(B61="","",SUMIFS(Input_APM!N:N,Input_APM!M:M,Check!$F$1,Input_APM!L:L,Check!B61))</f>
        <v>188</v>
      </c>
      <c r="G61" s="187">
        <f>IF(B61="","",SUMIFS(Input_APM!N:N,Input_APM!M:M,Check!$G$1,Input_APM!L:L,Check!B61))</f>
        <v>0</v>
      </c>
      <c r="H61" s="173">
        <f t="shared" si="0"/>
        <v>188</v>
      </c>
      <c r="I61" s="173">
        <f>SUMIFS(Input_APM!N:N,Input_APM!L:L,Check!B61)</f>
        <v>188</v>
      </c>
      <c r="J61" s="175">
        <f t="shared" si="3"/>
        <v>0</v>
      </c>
      <c r="K61" s="21">
        <f>IF(B61="","",SUMIFS('Input_APM (Zenith)'!N:N,'Input_APM (Zenith)'!L:L,Check!B61,'Input_APM (Zenith)'!M:M,Check!$F$1))</f>
        <v>12</v>
      </c>
      <c r="L61" s="21">
        <f>IF(B61="","",SUMIFS('Input_APM (Zenith)'!N:N,'Input_APM (Zenith)'!L:L,Check!B61,'Input_APM (Zenith)'!M:M,Check!$G$1))</f>
        <v>0</v>
      </c>
      <c r="M61" s="173">
        <f t="shared" si="4"/>
        <v>200</v>
      </c>
      <c r="O61" t="s">
        <v>1070</v>
      </c>
      <c r="P61" s="173">
        <f>IF(O61="","",IF(OR(LEFT(O61,4)="Cash",LEFT(O61,4)="Prov"),0,SUMIFS(Input_APM!N:N,Input_APM!L:L,Check!O61)))</f>
        <v>-680</v>
      </c>
      <c r="Q61" s="21">
        <f>IF(O61="","",IF(LEN(O61)&gt;9,SUMIFS(Options!$H$3:$H$28,Options!$B$3:$B$28,Check!O61),SUMIFS('Master P&amp;L'!$H$11:$H$101,'Master P&amp;L'!$B$11:$B$101,Check!O61)))</f>
        <v>-725</v>
      </c>
      <c r="R61" s="173">
        <f t="shared" si="1"/>
        <v>45</v>
      </c>
      <c r="S61" s="288">
        <f t="shared" si="2"/>
        <v>0.93793103448275861</v>
      </c>
    </row>
    <row r="62" spans="1:19">
      <c r="B62" t="s">
        <v>1097</v>
      </c>
      <c r="C62" s="187">
        <f>IF(B62="","",IF(LEN(B62)&gt;9,SUMIFS(Options!$H$3:$H$28,Options!$B$3:$B$28,Check!B62),SUMIFS('Master P&amp;L'!$H$11:$H$101,'Master P&amp;L'!$B$11:$B$101,Check!B62)))</f>
        <v>-200</v>
      </c>
      <c r="D62" s="187">
        <f>IF(B62="","",SUMIFS(Input_APM!N:N,Input_APM!L:L,Check!B62,Input_APM!M:M,Check!$F$1))</f>
        <v>-188</v>
      </c>
      <c r="E62" s="175">
        <f t="shared" si="5"/>
        <v>0</v>
      </c>
      <c r="F62" s="187">
        <f>IF(B62="","",SUMIFS(Input_APM!N:N,Input_APM!M:M,Check!$F$1,Input_APM!L:L,Check!B62))</f>
        <v>-188</v>
      </c>
      <c r="G62" s="187">
        <f>IF(B62="","",SUMIFS(Input_APM!N:N,Input_APM!M:M,Check!$G$1,Input_APM!L:L,Check!B62))</f>
        <v>0</v>
      </c>
      <c r="H62" s="173">
        <f t="shared" si="0"/>
        <v>-188</v>
      </c>
      <c r="I62" s="173">
        <f>SUMIFS(Input_APM!N:N,Input_APM!L:L,Check!B62)</f>
        <v>-188</v>
      </c>
      <c r="J62" s="175">
        <f t="shared" si="3"/>
        <v>0</v>
      </c>
      <c r="K62" s="21">
        <f>IF(B62="","",SUMIFS('Input_APM (Zenith)'!N:N,'Input_APM (Zenith)'!L:L,Check!B62,'Input_APM (Zenith)'!M:M,Check!$F$1))</f>
        <v>-12</v>
      </c>
      <c r="L62" s="21">
        <f>IF(B62="","",SUMIFS('Input_APM (Zenith)'!N:N,'Input_APM (Zenith)'!L:L,Check!B62,'Input_APM (Zenith)'!M:M,Check!$G$1))</f>
        <v>0</v>
      </c>
      <c r="M62" s="173">
        <f t="shared" si="4"/>
        <v>-200</v>
      </c>
      <c r="O62" t="s">
        <v>923</v>
      </c>
      <c r="P62" s="173">
        <f>IF(O62="","",IF(OR(LEFT(O62,4)="Cash",LEFT(O62,4)="Prov"),0,SUMIFS(Input_APM!N:N,Input_APM!L:L,Check!O62)))</f>
        <v>142</v>
      </c>
      <c r="Q62" s="21">
        <f>IF(O62="","",IF(LEN(O62)&gt;9,SUMIFS(Options!$H$3:$H$28,Options!$B$3:$B$28,Check!O62),SUMIFS('Master P&amp;L'!$H$11:$H$101,'Master P&amp;L'!$B$11:$B$101,Check!O62)))</f>
        <v>150</v>
      </c>
      <c r="R62" s="173">
        <f t="shared" si="1"/>
        <v>-8</v>
      </c>
      <c r="S62" s="288">
        <f t="shared" si="2"/>
        <v>0.94666666666666666</v>
      </c>
    </row>
    <row r="63" spans="1:19">
      <c r="B63" t="s">
        <v>820</v>
      </c>
      <c r="C63" s="187">
        <f>IF(B63="","",IF(LEN(B63)&gt;9,SUMIFS(Options!$H$3:$H$28,Options!$B$3:$B$28,Check!B63),SUMIFS('Master P&amp;L'!$H$11:$H$101,'Master P&amp;L'!$B$11:$B$101,Check!B63)))</f>
        <v>1550</v>
      </c>
      <c r="D63" s="187">
        <f>IF(B63="","",SUMIFS(Input_APM!N:N,Input_APM!L:L,Check!B63,Input_APM!M:M,Check!$F$1))</f>
        <v>1453</v>
      </c>
      <c r="E63" s="175">
        <f t="shared" si="5"/>
        <v>0</v>
      </c>
      <c r="F63" s="187">
        <f>IF(B63="","",SUMIFS(Input_APM!N:N,Input_APM!M:M,Check!$F$1,Input_APM!L:L,Check!B63))</f>
        <v>1453</v>
      </c>
      <c r="G63" s="187">
        <f>IF(B63="","",SUMIFS(Input_APM!N:N,Input_APM!M:M,Check!$G$1,Input_APM!L:L,Check!B63))</f>
        <v>0</v>
      </c>
      <c r="H63" s="173">
        <f t="shared" si="0"/>
        <v>1453</v>
      </c>
      <c r="I63" s="173">
        <f>SUMIFS(Input_APM!N:N,Input_APM!L:L,Check!B63)</f>
        <v>1453</v>
      </c>
      <c r="J63" s="175">
        <f t="shared" si="3"/>
        <v>0</v>
      </c>
      <c r="K63" s="21">
        <f>IF(B63="","",SUMIFS('Input_APM (Zenith)'!N:N,'Input_APM (Zenith)'!L:L,Check!B63,'Input_APM (Zenith)'!M:M,Check!$F$1))</f>
        <v>97</v>
      </c>
      <c r="L63" s="21">
        <f>IF(B63="","",SUMIFS('Input_APM (Zenith)'!N:N,'Input_APM (Zenith)'!L:L,Check!B63,'Input_APM (Zenith)'!M:M,Check!$G$1))</f>
        <v>0</v>
      </c>
      <c r="M63" s="173">
        <f t="shared" si="4"/>
        <v>1550</v>
      </c>
      <c r="O63" t="s">
        <v>260</v>
      </c>
      <c r="P63" s="173">
        <f>IF(O63="","",IF(OR(LEFT(O63,4)="Cash",LEFT(O63,4)="Prov"),0,SUMIFS(Input_APM!N:N,Input_APM!L:L,Check!O63)))</f>
        <v>0</v>
      </c>
      <c r="Q63" s="21">
        <f>IF(O63="","",IF(LEN(O63)&gt;9,SUMIFS(Options!$H$3:$H$28,Options!$B$3:$B$28,Check!O63),SUMIFS('Master P&amp;L'!$H$11:$H$101,'Master P&amp;L'!$B$11:$B$101,Check!O63)))</f>
        <v>0</v>
      </c>
      <c r="R63" s="173">
        <f t="shared" si="1"/>
        <v>0</v>
      </c>
      <c r="S63" s="288" t="str">
        <f t="shared" si="2"/>
        <v>Ok</v>
      </c>
    </row>
    <row r="64" spans="1:19">
      <c r="B64" t="s">
        <v>821</v>
      </c>
      <c r="C64" s="187">
        <f>IF(B64="","",IF(LEN(B64)&gt;9,SUMIFS(Options!$H$3:$H$28,Options!$B$3:$B$28,Check!B64),SUMIFS('Master P&amp;L'!$H$11:$H$101,'Master P&amp;L'!$B$11:$B$101,Check!B64)))</f>
        <v>-1275</v>
      </c>
      <c r="D64" s="187">
        <f>IF(B64="","",SUMIFS(Input_APM!N:N,Input_APM!L:L,Check!B64,Input_APM!M:M,Check!$F$1))</f>
        <v>-1195</v>
      </c>
      <c r="E64" s="175">
        <f t="shared" si="5"/>
        <v>0</v>
      </c>
      <c r="F64" s="187">
        <f>IF(B64="","",SUMIFS(Input_APM!N:N,Input_APM!M:M,Check!$F$1,Input_APM!L:L,Check!B64))</f>
        <v>-1195</v>
      </c>
      <c r="G64" s="187">
        <f>IF(B64="","",SUMIFS(Input_APM!N:N,Input_APM!M:M,Check!$G$1,Input_APM!L:L,Check!B64))</f>
        <v>0</v>
      </c>
      <c r="H64" s="173">
        <f t="shared" si="0"/>
        <v>-1195</v>
      </c>
      <c r="I64" s="173">
        <f>SUMIFS(Input_APM!N:N,Input_APM!L:L,Check!B64)</f>
        <v>-1195</v>
      </c>
      <c r="J64" s="175">
        <f t="shared" si="3"/>
        <v>0</v>
      </c>
      <c r="K64" s="21">
        <f>IF(B64="","",SUMIFS('Input_APM (Zenith)'!N:N,'Input_APM (Zenith)'!L:L,Check!B64,'Input_APM (Zenith)'!M:M,Check!$F$1))</f>
        <v>-80</v>
      </c>
      <c r="L64" s="21">
        <f>IF(B64="","",SUMIFS('Input_APM (Zenith)'!N:N,'Input_APM (Zenith)'!L:L,Check!B64,'Input_APM (Zenith)'!M:M,Check!$G$1))</f>
        <v>0</v>
      </c>
      <c r="M64" s="173">
        <f t="shared" si="4"/>
        <v>-1275</v>
      </c>
      <c r="O64" t="s">
        <v>232</v>
      </c>
      <c r="P64" s="173">
        <f>IF(O64="","",IF(OR(LEFT(O64,4)="Cash",LEFT(O64,4)="Prov"),0,SUMIFS(Input_APM!N:N,Input_APM!L:L,Check!O64)))</f>
        <v>0</v>
      </c>
      <c r="Q64" s="21">
        <f>IF(O64="","",IF(LEN(O64)&gt;9,SUMIFS(Options!$H$3:$H$28,Options!$B$3:$B$28,Check!O64),SUMIFS('Master P&amp;L'!$H$11:$H$101,'Master P&amp;L'!$B$11:$B$101,Check!O64)))</f>
        <v>0</v>
      </c>
      <c r="R64" s="173">
        <f t="shared" si="1"/>
        <v>0</v>
      </c>
      <c r="S64" s="288" t="str">
        <f t="shared" si="2"/>
        <v>Ok</v>
      </c>
    </row>
    <row r="65" spans="2:19">
      <c r="B65"/>
      <c r="C65" s="187" t="str">
        <f>IF(B65="","",IF(LEN(B65)&gt;9,SUMIFS(Options!$H$3:$H$28,Options!$B$3:$B$28,Check!B65),SUMIFS('Master P&amp;L'!$H$11:$H$101,'Master P&amp;L'!$B$11:$B$101,Check!B65)))</f>
        <v/>
      </c>
      <c r="D65" s="187" t="str">
        <f>IF(B65="","",SUMIFS(Input_APM!N:N,Input_APM!L:L,Check!B65,Input_APM!M:M,Check!$F$1))</f>
        <v/>
      </c>
      <c r="E65" s="175" t="str">
        <f t="shared" si="5"/>
        <v/>
      </c>
      <c r="F65" s="187" t="str">
        <f>IF(B65="","",SUMIFS(Input_APM!N:N,Input_APM!M:M,Check!$F$1,Input_APM!L:L,Check!B65))</f>
        <v/>
      </c>
      <c r="G65" s="187" t="str">
        <f>IF(B65="","",SUMIFS(Input_APM!N:N,Input_APM!M:M,Check!$G$1,Input_APM!L:L,Check!B65))</f>
        <v/>
      </c>
      <c r="H65" s="173" t="str">
        <f t="shared" si="0"/>
        <v/>
      </c>
      <c r="I65" s="173">
        <f>SUMIFS(Input_APM!N:N,Input_APM!L:L,Check!B65)</f>
        <v>0</v>
      </c>
      <c r="J65" s="175" t="str">
        <f t="shared" si="3"/>
        <v/>
      </c>
      <c r="K65" s="21" t="str">
        <f>IF(B65="","",SUMIFS('Input_APM (Zenith)'!N:N,'Input_APM (Zenith)'!L:L,Check!B65,'Input_APM (Zenith)'!M:M,Check!$F$1))</f>
        <v/>
      </c>
      <c r="L65" s="21" t="str">
        <f>IF(B65="","",SUMIFS('Input_APM (Zenith)'!N:N,'Input_APM (Zenith)'!L:L,Check!B65,'Input_APM (Zenith)'!M:M,Check!$G$1))</f>
        <v/>
      </c>
      <c r="M65" s="173" t="str">
        <f t="shared" si="4"/>
        <v/>
      </c>
      <c r="O65" t="s">
        <v>1054</v>
      </c>
      <c r="P65" s="173">
        <f>IF(O65="","",IF(OR(LEFT(O65,4)="Cash",LEFT(O65,4)="Prov"),0,SUMIFS(Input_APM!N:N,Input_APM!L:L,Check!O65)))</f>
        <v>0</v>
      </c>
      <c r="Q65" s="21">
        <f>IF(O65="","",IF(LEN(O65)&gt;9,SUMIFS(Options!$H$3:$H$28,Options!$B$3:$B$28,Check!O65),SUMIFS('Master P&amp;L'!$H$11:$H$101,'Master P&amp;L'!$B$11:$B$101,Check!O65)))</f>
        <v>0</v>
      </c>
      <c r="R65" s="173">
        <f t="shared" si="1"/>
        <v>0</v>
      </c>
      <c r="S65" s="288" t="str">
        <f t="shared" si="2"/>
        <v>Ok</v>
      </c>
    </row>
    <row r="66" spans="2:19">
      <c r="B66"/>
      <c r="C66" s="187" t="str">
        <f>IF(B66="","",IF(LEN(B66)&gt;9,SUMIFS(Options!$H$3:$H$28,Options!$B$3:$B$28,Check!B66),SUMIFS('Master P&amp;L'!$H$11:$H$101,'Master P&amp;L'!$B$11:$B$101,Check!B66)))</f>
        <v/>
      </c>
      <c r="D66" s="187" t="str">
        <f>IF(B66="","",SUMIFS(Input_APM!N:N,Input_APM!L:L,Check!B66,Input_APM!M:M,Check!$F$1))</f>
        <v/>
      </c>
      <c r="E66" s="175" t="str">
        <f t="shared" ref="E66:E72" si="6">IF(B66="","",C66-M66)</f>
        <v/>
      </c>
      <c r="F66" s="187" t="str">
        <f>IF(B66="","",SUMIFS(Input_APM!N:N,Input_APM!M:M,Check!$F$1,Input_APM!L:L,Check!B66))</f>
        <v/>
      </c>
      <c r="G66" s="187" t="str">
        <f>IF(B66="","",SUMIFS(Input_APM!N:N,Input_APM!M:M,Check!$G$1,Input_APM!L:L,Check!B66))</f>
        <v/>
      </c>
      <c r="H66" s="173" t="str">
        <f t="shared" si="0"/>
        <v/>
      </c>
      <c r="I66" s="173">
        <f>SUMIFS(Input_APM!N:N,Input_APM!L:L,Check!B66)</f>
        <v>0</v>
      </c>
      <c r="J66" s="175" t="str">
        <f t="shared" si="3"/>
        <v/>
      </c>
      <c r="K66" s="21" t="str">
        <f>IF(B66="","",SUMIFS('Input_APM (Zenith)'!N:N,'Input_APM (Zenith)'!L:L,Check!B66,'Input_APM (Zenith)'!M:M,Check!$F$1))</f>
        <v/>
      </c>
      <c r="L66" s="21" t="str">
        <f>IF(B66="","",SUMIFS('Input_APM (Zenith)'!N:N,'Input_APM (Zenith)'!L:L,Check!B66,'Input_APM (Zenith)'!M:M,Check!$G$1))</f>
        <v/>
      </c>
      <c r="M66" s="173" t="str">
        <f t="shared" si="4"/>
        <v/>
      </c>
      <c r="O66" t="s">
        <v>1124</v>
      </c>
      <c r="P66" s="173">
        <f>IF(O66="","",IF(OR(LEFT(O66,4)="Cash",LEFT(O66,4)="Prov"),0,SUMIFS(Input_APM!N:N,Input_APM!L:L,Check!O66)))</f>
        <v>0</v>
      </c>
      <c r="Q66" s="21">
        <f>IF(O66="","",IF(LEN(O66)&gt;9,SUMIFS(Options!$H$3:$H$28,Options!$B$3:$B$28,Check!O66),SUMIFS('Master P&amp;L'!$H$11:$H$101,'Master P&amp;L'!$B$11:$B$101,Check!O66)))</f>
        <v>0</v>
      </c>
      <c r="R66" s="173">
        <f t="shared" si="1"/>
        <v>0</v>
      </c>
      <c r="S66" s="288" t="str">
        <f t="shared" si="2"/>
        <v>Ok</v>
      </c>
    </row>
    <row r="67" spans="2:19">
      <c r="B67"/>
      <c r="C67" s="187" t="str">
        <f>IF(B67="","",IF(LEN(B67)&gt;9,SUMIFS(Options!$H$3:$H$28,Options!$B$3:$B$28,Check!B67),SUMIFS('Master P&amp;L'!$H$11:$H$101,'Master P&amp;L'!$B$11:$B$101,Check!B67)))</f>
        <v/>
      </c>
      <c r="D67" s="187" t="str">
        <f>IF(B67="","",SUMIFS(Input_APM!N:N,Input_APM!L:L,Check!B67,Input_APM!M:M,Check!$F$1))</f>
        <v/>
      </c>
      <c r="E67" s="175" t="str">
        <f t="shared" si="6"/>
        <v/>
      </c>
      <c r="F67" s="187" t="str">
        <f>IF(B67="","",SUMIFS(Input_APM!N:N,Input_APM!M:M,Check!$F$1,Input_APM!L:L,Check!B67))</f>
        <v/>
      </c>
      <c r="G67" s="187" t="str">
        <f>IF(B67="","",SUMIFS(Input_APM!N:N,Input_APM!M:M,Check!$G$1,Input_APM!L:L,Check!B67))</f>
        <v/>
      </c>
      <c r="H67" s="173" t="str">
        <f t="shared" si="0"/>
        <v/>
      </c>
      <c r="I67" s="173">
        <f>SUMIFS(Input_APM!N:N,Input_APM!L:L,Check!B67)</f>
        <v>0</v>
      </c>
      <c r="J67" s="175" t="str">
        <f t="shared" si="3"/>
        <v/>
      </c>
      <c r="K67" s="21" t="str">
        <f>IF(B67="","",SUMIFS('Input_APM (Zenith)'!N:N,'Input_APM (Zenith)'!L:L,Check!B67,'Input_APM (Zenith)'!M:M,Check!$F$1))</f>
        <v/>
      </c>
      <c r="L67" s="21" t="str">
        <f>IF(B67="","",SUMIFS('Input_APM (Zenith)'!N:N,'Input_APM (Zenith)'!L:L,Check!B67,'Input_APM (Zenith)'!M:M,Check!$G$1))</f>
        <v/>
      </c>
      <c r="M67" s="173" t="str">
        <f t="shared" si="4"/>
        <v/>
      </c>
      <c r="O67" t="s">
        <v>345</v>
      </c>
      <c r="P67" s="173">
        <f>IF(O67="","",IF(OR(LEFT(O67,4)="Cash",LEFT(O67,4)="Prov"),0,SUMIFS(Input_APM!N:N,Input_APM!L:L,Check!O67)))</f>
        <v>0</v>
      </c>
      <c r="Q67" s="21">
        <f>IF(O67="","",IF(LEN(O67)&gt;9,SUMIFS(Options!$H$3:$H$28,Options!$B$3:$B$28,Check!O67),SUMIFS('Master P&amp;L'!$H$11:$H$101,'Master P&amp;L'!$B$11:$B$101,Check!O67)))</f>
        <v>0</v>
      </c>
      <c r="R67" s="173">
        <f t="shared" si="1"/>
        <v>0</v>
      </c>
      <c r="S67" s="288" t="str">
        <f t="shared" si="2"/>
        <v>Ok</v>
      </c>
    </row>
    <row r="68" spans="2:19">
      <c r="B68"/>
      <c r="C68" s="187" t="str">
        <f>IF(B68="","",IF(LEN(B68)&gt;9,SUMIFS(Options!$H$3:$H$28,Options!$B$3:$B$28,Check!B68),SUMIFS('Master P&amp;L'!$H$11:$H$101,'Master P&amp;L'!$B$11:$B$101,Check!B68)))</f>
        <v/>
      </c>
      <c r="D68" s="187" t="str">
        <f>IF(B68="","",SUMIFS(Input_APM!N:N,Input_APM!L:L,Check!B68,Input_APM!M:M,Check!$F$1))</f>
        <v/>
      </c>
      <c r="E68" s="175" t="str">
        <f t="shared" si="6"/>
        <v/>
      </c>
      <c r="F68" s="187" t="str">
        <f>IF(B68="","",SUMIFS(Input_APM!N:N,Input_APM!M:M,Check!$F$1,Input_APM!L:L,Check!B68))</f>
        <v/>
      </c>
      <c r="G68" s="187" t="str">
        <f>IF(B68="","",SUMIFS(Input_APM!N:N,Input_APM!M:M,Check!$G$1,Input_APM!L:L,Check!B68))</f>
        <v/>
      </c>
      <c r="H68" s="173" t="str">
        <f t="shared" si="0"/>
        <v/>
      </c>
      <c r="I68" s="173">
        <f>SUMIFS(Input_APM!N:N,Input_APM!L:L,Check!B68)</f>
        <v>0</v>
      </c>
      <c r="J68" s="175" t="str">
        <f t="shared" si="3"/>
        <v/>
      </c>
      <c r="K68" s="21" t="str">
        <f>IF(B68="","",SUMIFS('Input_APM (Zenith)'!N:N,'Input_APM (Zenith)'!L:L,Check!B68,'Input_APM (Zenith)'!M:M,Check!$F$1))</f>
        <v/>
      </c>
      <c r="L68" s="21" t="str">
        <f>IF(B68="","",SUMIFS('Input_APM (Zenith)'!N:N,'Input_APM (Zenith)'!L:L,Check!B68,'Input_APM (Zenith)'!M:M,Check!$G$1))</f>
        <v/>
      </c>
      <c r="M68" s="173" t="str">
        <f t="shared" si="4"/>
        <v/>
      </c>
      <c r="O68" t="s">
        <v>1125</v>
      </c>
      <c r="P68" s="173">
        <f>IF(O68="","",IF(OR(LEFT(O68,4)="Cash",LEFT(O68,4)="Prov"),0,SUMIFS(Input_APM!N:N,Input_APM!L:L,Check!O68)))</f>
        <v>0</v>
      </c>
      <c r="Q68" s="21">
        <f>IF(O68="","",IF(LEN(O68)&gt;9,SUMIFS(Options!$H$3:$H$28,Options!$B$3:$B$28,Check!O68),SUMIFS('Master P&amp;L'!$H$11:$H$101,'Master P&amp;L'!$B$11:$B$101,Check!O68)))</f>
        <v>0</v>
      </c>
      <c r="R68" s="173">
        <f t="shared" si="1"/>
        <v>0</v>
      </c>
      <c r="S68" s="288" t="str">
        <f t="shared" si="2"/>
        <v>Ok</v>
      </c>
    </row>
    <row r="69" spans="2:19">
      <c r="B69"/>
      <c r="C69" s="187" t="str">
        <f>IF(B69="","",IF(LEN(B69)&gt;9,SUMIFS(Options!$H$3:$H$28,Options!$B$3:$B$28,Check!B69),SUMIFS('Master P&amp;L'!$H$11:$H$101,'Master P&amp;L'!$B$11:$B$101,Check!B69)))</f>
        <v/>
      </c>
      <c r="D69" s="187" t="str">
        <f>IF(B69="","",SUMIFS(Input_APM!N:N,Input_APM!L:L,Check!B69,Input_APM!M:M,Check!$F$1))</f>
        <v/>
      </c>
      <c r="E69" s="173" t="str">
        <f t="shared" si="6"/>
        <v/>
      </c>
      <c r="F69" s="187" t="str">
        <f>IF(B69="","",SUMIFS(Input_APM!N:N,Input_APM!M:M,Check!$F$1,Input_APM!L:L,Check!B69))</f>
        <v/>
      </c>
      <c r="G69" s="187" t="str">
        <f>IF(B69="","",SUMIFS(Input_APM!N:N,Input_APM!M:M,Check!$G$1,Input_APM!L:L,Check!B69))</f>
        <v/>
      </c>
      <c r="H69" s="173" t="str">
        <f t="shared" si="0"/>
        <v/>
      </c>
      <c r="I69" s="173">
        <f>SUMIFS(Input_APM!N:N,Input_APM!L:L,Check!B69)</f>
        <v>0</v>
      </c>
      <c r="J69" s="175" t="str">
        <f t="shared" si="3"/>
        <v/>
      </c>
      <c r="K69" s="21" t="str">
        <f>IF(B69="","",SUMIFS('Input_APM (Zenith)'!N:N,'Input_APM (Zenith)'!L:L,Check!B69,'Input_APM (Zenith)'!M:M,Check!$F$1))</f>
        <v/>
      </c>
      <c r="L69" s="21" t="str">
        <f>IF(B69="","",SUMIFS('Input_APM (Zenith)'!N:N,'Input_APM (Zenith)'!L:L,Check!B69,'Input_APM (Zenith)'!M:M,Check!$G$1))</f>
        <v/>
      </c>
      <c r="M69" s="173" t="str">
        <f t="shared" si="4"/>
        <v/>
      </c>
      <c r="O69" t="s">
        <v>261</v>
      </c>
      <c r="P69" s="173">
        <f>IF(O69="","",IF(OR(LEFT(O69,4)="Cash",LEFT(O69,4)="Prov"),0,SUMIFS(Input_APM!N:N,Input_APM!L:L,Check!O69)))</f>
        <v>0</v>
      </c>
      <c r="Q69" s="21">
        <f>IF(O69="","",IF(LEN(O69)&gt;9,SUMIFS(Options!$H$3:$H$28,Options!$B$3:$B$28,Check!O69),SUMIFS('Master P&amp;L'!$H$11:$H$101,'Master P&amp;L'!$B$11:$B$101,Check!O69)))</f>
        <v>0</v>
      </c>
      <c r="R69" s="173">
        <f t="shared" si="1"/>
        <v>0</v>
      </c>
      <c r="S69" s="288" t="str">
        <f t="shared" si="2"/>
        <v>Ok</v>
      </c>
    </row>
    <row r="70" spans="2:19">
      <c r="B70"/>
      <c r="C70" s="187" t="str">
        <f>IF(B70="","",IF(LEN(B70)&gt;9,SUMIFS(Options!$H$3:$H$28,Options!$B$3:$B$28,Check!B70),SUMIFS('Master P&amp;L'!$H$11:$H$101,'Master P&amp;L'!$B$11:$B$101,Check!B70)))</f>
        <v/>
      </c>
      <c r="D70" s="187" t="str">
        <f>IF(B70="","",SUMIFS(Input_APM!N:N,Input_APM!L:L,Check!B70,Input_APM!M:M,Check!$F$1))</f>
        <v/>
      </c>
      <c r="E70" s="173" t="str">
        <f t="shared" si="6"/>
        <v/>
      </c>
      <c r="F70" s="187" t="str">
        <f>IF(B70="","",SUMIFS(Input_APM!N:N,Input_APM!M:M,Check!$F$1,Input_APM!L:L,Check!B70))</f>
        <v/>
      </c>
      <c r="G70" s="187" t="str">
        <f>IF(B70="","",SUMIFS(Input_APM!N:N,Input_APM!M:M,Check!$G$1,Input_APM!L:L,Check!B70))</f>
        <v/>
      </c>
      <c r="H70" s="173" t="str">
        <f t="shared" ref="H70:H77" si="7">IF(B70="","",F70-G70)</f>
        <v/>
      </c>
      <c r="I70" s="173">
        <f>SUMIFS(Input_APM!N:N,Input_APM!L:L,Check!B70)</f>
        <v>0</v>
      </c>
      <c r="J70" s="175" t="str">
        <f t="shared" ref="J70:J77" si="8">IF(B70="","",(F70+G70)-I70)</f>
        <v/>
      </c>
      <c r="K70" s="21" t="str">
        <f>IF(B70="","",SUMIFS('Input_APM (Zenith)'!N:N,'Input_APM (Zenith)'!L:L,Check!B70,'Input_APM (Zenith)'!M:M,Check!$F$1))</f>
        <v/>
      </c>
      <c r="L70" s="21" t="str">
        <f>IF(B70="","",SUMIFS('Input_APM (Zenith)'!N:N,'Input_APM (Zenith)'!L:L,Check!B70,'Input_APM (Zenith)'!M:M,Check!$G$1))</f>
        <v/>
      </c>
      <c r="M70" s="173" t="str">
        <f t="shared" ref="M70:M79" si="9">IF(B70="","",F70+G70+K70+L70)</f>
        <v/>
      </c>
      <c r="O70" t="s">
        <v>233</v>
      </c>
      <c r="P70" s="173">
        <f>IF(O70="","",IF(OR(LEFT(O70,4)="Cash",LEFT(O70,4)="Prov"),0,SUMIFS(Input_APM!N:N,Input_APM!L:L,Check!O70)))</f>
        <v>0</v>
      </c>
      <c r="Q70" s="21">
        <f>IF(O70="","",IF(LEN(O70)&gt;9,SUMIFS(Options!$H$3:$H$28,Options!$B$3:$B$28,Check!O70),SUMIFS('Master P&amp;L'!$H$11:$H$101,'Master P&amp;L'!$B$11:$B$101,Check!O70)))</f>
        <v>0</v>
      </c>
      <c r="R70" s="173">
        <f t="shared" ref="R70:R99" si="10">IF(O70="","",P70-Q70)</f>
        <v>0</v>
      </c>
      <c r="S70" s="288" t="str">
        <f t="shared" ref="S70:S133" si="11">IF(O70="","",IF((P70+Q70)=0,"Ok",IF(OR(P70=0,Q70=0),"Erro",P70/Q70)))</f>
        <v>Ok</v>
      </c>
    </row>
    <row r="71" spans="2:19">
      <c r="B71"/>
      <c r="C71" s="187" t="str">
        <f>IF(B71="","",IF(LEN(B71)&gt;9,SUMIFS(Options!$H$3:$H$28,Options!$B$3:$B$28,Check!B71),SUMIFS('Master P&amp;L'!$H$11:$H$101,'Master P&amp;L'!$B$11:$B$101,Check!B71)))</f>
        <v/>
      </c>
      <c r="D71" s="187" t="str">
        <f>IF(B71="","",SUMIFS(Input_APM!N:N,Input_APM!L:L,Check!B71,Input_APM!M:M,Check!$F$1))</f>
        <v/>
      </c>
      <c r="E71" s="173" t="str">
        <f t="shared" si="6"/>
        <v/>
      </c>
      <c r="F71" s="187" t="str">
        <f>IF(B71="","",SUMIFS(Input_APM!N:N,Input_APM!M:M,Check!$F$1,Input_APM!L:L,Check!B71))</f>
        <v/>
      </c>
      <c r="G71" s="187" t="str">
        <f>IF(B71="","",SUMIFS(Input_APM!N:N,Input_APM!M:M,Check!$G$1,Input_APM!L:L,Check!B71))</f>
        <v/>
      </c>
      <c r="H71" s="173" t="str">
        <f t="shared" si="7"/>
        <v/>
      </c>
      <c r="I71" s="173">
        <f>SUMIFS(Input_APM!N:N,Input_APM!L:L,Check!B71)</f>
        <v>0</v>
      </c>
      <c r="J71" s="175" t="str">
        <f t="shared" si="8"/>
        <v/>
      </c>
      <c r="K71" s="21" t="str">
        <f>IF(B71="","",SUMIFS('Input_APM (Zenith)'!N:N,'Input_APM (Zenith)'!L:L,Check!B71,'Input_APM (Zenith)'!M:M,Check!$F$1))</f>
        <v/>
      </c>
      <c r="L71" s="21" t="str">
        <f>IF(B71="","",SUMIFS('Input_APM (Zenith)'!N:N,'Input_APM (Zenith)'!L:L,Check!B71,'Input_APM (Zenith)'!M:M,Check!$G$1))</f>
        <v/>
      </c>
      <c r="M71" s="173" t="str">
        <f t="shared" si="9"/>
        <v/>
      </c>
      <c r="O71" t="s">
        <v>1104</v>
      </c>
      <c r="P71" s="173">
        <f>IF(O71="","",IF(OR(LEFT(O71,4)="Cash",LEFT(O71,4)="Prov"),0,SUMIFS(Input_APM!N:N,Input_APM!L:L,Check!O71)))</f>
        <v>-940</v>
      </c>
      <c r="Q71" s="21">
        <f>IF(O71="","",IF(LEN(O71)&gt;9,SUMIFS(Options!$H$3:$H$28,Options!$B$3:$B$28,Check!O71),SUMIFS('Master P&amp;L'!$H$11:$H$101,'Master P&amp;L'!$B$11:$B$101,Check!O71)))</f>
        <v>0</v>
      </c>
      <c r="R71" s="173">
        <f t="shared" si="10"/>
        <v>-940</v>
      </c>
      <c r="S71" s="288" t="str">
        <f t="shared" si="11"/>
        <v>Erro</v>
      </c>
    </row>
    <row r="72" spans="2:19">
      <c r="B72"/>
      <c r="C72" s="187" t="str">
        <f>IF(B72="","",IF(LEN(B72)&gt;9,SUMIFS(Options!$H$3:$H$28,Options!$B$3:$B$28,Check!B72),SUMIFS('Master P&amp;L'!$H$11:$H$101,'Master P&amp;L'!$B$11:$B$101,Check!B72)))</f>
        <v/>
      </c>
      <c r="D72" s="187" t="str">
        <f>IF(B72="","",SUMIFS(Input_APM!N:N,Input_APM!L:L,Check!B72,Input_APM!M:M,Check!$F$1))</f>
        <v/>
      </c>
      <c r="E72" s="173" t="str">
        <f t="shared" si="6"/>
        <v/>
      </c>
      <c r="F72" s="187" t="str">
        <f>IF(B72="","",SUMIFS(Input_APM!N:N,Input_APM!M:M,Check!$F$1,Input_APM!L:L,Check!B72))</f>
        <v/>
      </c>
      <c r="G72" s="187" t="str">
        <f>IF(B72="","",SUMIFS(Input_APM!N:N,Input_APM!M:M,Check!$G$1,Input_APM!L:L,Check!B72))</f>
        <v/>
      </c>
      <c r="H72" s="173" t="str">
        <f t="shared" si="7"/>
        <v/>
      </c>
      <c r="I72" s="173">
        <f>SUMIFS(Input_APM!N:N,Input_APM!L:L,Check!B72)</f>
        <v>0</v>
      </c>
      <c r="J72" s="175" t="str">
        <f t="shared" si="8"/>
        <v/>
      </c>
      <c r="K72" s="21" t="str">
        <f>IF(B72="","",SUMIFS('Input_APM (Zenith)'!N:N,'Input_APM (Zenith)'!L:L,Check!B72,'Input_APM (Zenith)'!M:M,Check!$F$1))</f>
        <v/>
      </c>
      <c r="L72" s="21" t="str">
        <f>IF(B72="","",SUMIFS('Input_APM (Zenith)'!N:N,'Input_APM (Zenith)'!L:L,Check!B72,'Input_APM (Zenith)'!M:M,Check!$G$1))</f>
        <v/>
      </c>
      <c r="M72" s="173" t="str">
        <f t="shared" si="9"/>
        <v/>
      </c>
      <c r="O72" t="s">
        <v>1103</v>
      </c>
      <c r="P72" s="173">
        <f>IF(O72="","",IF(OR(LEFT(O72,4)="Cash",LEFT(O72,4)="Prov"),0,SUMIFS(Input_APM!N:N,Input_APM!L:L,Check!O72)))</f>
        <v>940</v>
      </c>
      <c r="Q72" s="21">
        <f>IF(O72="","",IF(LEN(O72)&gt;9,SUMIFS(Options!$H$3:$H$28,Options!$B$3:$B$28,Check!O72),SUMIFS('Master P&amp;L'!$H$11:$H$101,'Master P&amp;L'!$B$11:$B$101,Check!O72)))</f>
        <v>0</v>
      </c>
      <c r="R72" s="173">
        <f t="shared" si="10"/>
        <v>940</v>
      </c>
      <c r="S72" s="288" t="str">
        <f t="shared" si="11"/>
        <v>Erro</v>
      </c>
    </row>
    <row r="73" spans="2:19">
      <c r="B73"/>
      <c r="C73" s="187" t="str">
        <f>IF(B73="","",IF(LEN(B73)&gt;9,SUMIFS(Options!$H$3:$H$28,Options!$B$3:$B$28,Check!B73),SUMIFS('Master P&amp;L'!$H$11:$H$101,'Master P&amp;L'!$B$11:$B$101,Check!B73)))</f>
        <v/>
      </c>
      <c r="D73" s="187" t="str">
        <f>IF(B73="","",SUMIFS(Input_APM!N:N,Input_APM!L:L,Check!B73,Input_APM!M:M,Check!$F$1))</f>
        <v/>
      </c>
      <c r="E73" s="173" t="str">
        <f t="shared" ref="E73:E79" si="12">IF(B73="","",C73-M73)</f>
        <v/>
      </c>
      <c r="F73" s="187" t="str">
        <f>IF(B73="","",SUMIFS(Input_APM!N:N,Input_APM!M:M,Check!$F$1,Input_APM!L:L,Check!B73))</f>
        <v/>
      </c>
      <c r="G73" s="187" t="str">
        <f>IF(B73="","",SUMIFS(Input_APM!N:N,Input_APM!M:M,Check!$G$1,Input_APM!L:L,Check!B73))</f>
        <v/>
      </c>
      <c r="H73" s="173" t="str">
        <f t="shared" si="7"/>
        <v/>
      </c>
      <c r="I73" s="173">
        <f>SUMIFS(Input_APM!N:N,Input_APM!L:L,Check!B73)</f>
        <v>0</v>
      </c>
      <c r="J73" s="175" t="str">
        <f t="shared" si="8"/>
        <v/>
      </c>
      <c r="K73" s="21" t="str">
        <f>IF(B73="","",SUMIFS('Input_APM (Zenith)'!N:N,'Input_APM (Zenith)'!L:L,Check!B73,'Input_APM (Zenith)'!M:M,Check!$F$1))</f>
        <v/>
      </c>
      <c r="L73" s="21" t="str">
        <f>IF(B73="","",SUMIFS('Input_APM (Zenith)'!N:N,'Input_APM (Zenith)'!L:L,Check!B73,'Input_APM (Zenith)'!M:M,Check!$G$1))</f>
        <v/>
      </c>
      <c r="M73" s="173" t="str">
        <f t="shared" si="9"/>
        <v/>
      </c>
      <c r="O73" t="s">
        <v>1066</v>
      </c>
      <c r="P73" s="173">
        <f>IF(O73="","",IF(OR(LEFT(O73,4)="Cash",LEFT(O73,4)="Prov"),0,SUMIFS(Input_APM!N:N,Input_APM!L:L,Check!O73)))</f>
        <v>0</v>
      </c>
      <c r="Q73" s="21">
        <f>IF(O73="","",IF(LEN(O73)&gt;9,SUMIFS(Options!$H$3:$H$28,Options!$B$3:$B$28,Check!O73),SUMIFS('Master P&amp;L'!$H$11:$H$101,'Master P&amp;L'!$B$11:$B$101,Check!O73)))</f>
        <v>0</v>
      </c>
      <c r="R73" s="173">
        <f t="shared" si="10"/>
        <v>0</v>
      </c>
      <c r="S73" s="288" t="str">
        <f t="shared" si="11"/>
        <v>Ok</v>
      </c>
    </row>
    <row r="74" spans="2:19">
      <c r="B74"/>
      <c r="C74" s="187" t="str">
        <f>IF(B74="","",IF(LEN(B74)&gt;9,SUMIFS(Options!$H$3:$H$28,Options!$B$3:$B$28,Check!B74),SUMIFS('Master P&amp;L'!$H$11:$H$101,'Master P&amp;L'!$B$11:$B$101,Check!B74)))</f>
        <v/>
      </c>
      <c r="D74" s="187" t="str">
        <f>IF(B74="","",SUMIFS(Input_APM!N:N,Input_APM!L:L,Check!B74,Input_APM!M:M,Check!$F$1))</f>
        <v/>
      </c>
      <c r="E74" s="173" t="str">
        <f t="shared" si="12"/>
        <v/>
      </c>
      <c r="F74" s="187" t="str">
        <f>IF(B74="","",SUMIFS(Input_APM!N:N,Input_APM!M:M,Check!$F$1,Input_APM!L:L,Check!B74))</f>
        <v/>
      </c>
      <c r="G74" s="187" t="str">
        <f>IF(B74="","",SUMIFS(Input_APM!N:N,Input_APM!M:M,Check!$G$1,Input_APM!L:L,Check!B74))</f>
        <v/>
      </c>
      <c r="H74" s="173" t="str">
        <f t="shared" si="7"/>
        <v/>
      </c>
      <c r="I74" s="173">
        <f>SUMIFS(Input_APM!N:N,Input_APM!L:L,Check!B74)</f>
        <v>0</v>
      </c>
      <c r="J74" s="175" t="str">
        <f t="shared" si="8"/>
        <v/>
      </c>
      <c r="K74" s="21" t="str">
        <f>IF(B74="","",SUMIFS('Input_APM (Zenith)'!N:N,'Input_APM (Zenith)'!L:L,Check!B74,'Input_APM (Zenith)'!M:M,Check!$F$1))</f>
        <v/>
      </c>
      <c r="L74" s="21" t="str">
        <f>IF(B74="","",SUMIFS('Input_APM (Zenith)'!N:N,'Input_APM (Zenith)'!L:L,Check!B74,'Input_APM (Zenith)'!M:M,Check!$G$1))</f>
        <v/>
      </c>
      <c r="M74" s="173" t="str">
        <f t="shared" si="9"/>
        <v/>
      </c>
      <c r="O74" t="s">
        <v>1065</v>
      </c>
      <c r="P74" s="173">
        <f>IF(O74="","",IF(OR(LEFT(O74,4)="Cash",LEFT(O74,4)="Prov"),0,SUMIFS(Input_APM!N:N,Input_APM!L:L,Check!O74)))</f>
        <v>0</v>
      </c>
      <c r="Q74" s="21">
        <f>IF(O74="","",IF(LEN(O74)&gt;9,SUMIFS(Options!$H$3:$H$28,Options!$B$3:$B$28,Check!O74),SUMIFS('Master P&amp;L'!$H$11:$H$101,'Master P&amp;L'!$B$11:$B$101,Check!O74)))</f>
        <v>0</v>
      </c>
      <c r="R74" s="173">
        <f t="shared" si="10"/>
        <v>0</v>
      </c>
      <c r="S74" s="288" t="str">
        <f t="shared" si="11"/>
        <v>Ok</v>
      </c>
    </row>
    <row r="75" spans="2:19">
      <c r="B75"/>
      <c r="C75" s="187" t="str">
        <f>IF(B75="","",IF(LEN(B75)&gt;9,SUMIFS(Options!$H$3:$H$28,Options!$B$3:$B$28,Check!B75),SUMIFS('Master P&amp;L'!$H$11:$H$101,'Master P&amp;L'!$B$11:$B$101,Check!B75)))</f>
        <v/>
      </c>
      <c r="D75" s="187" t="str">
        <f>IF(B75="","",SUMIFS(Input_APM!N:N,Input_APM!L:L,Check!B75,Input_APM!M:M,Check!$F$1))</f>
        <v/>
      </c>
      <c r="E75" s="173" t="str">
        <f t="shared" si="12"/>
        <v/>
      </c>
      <c r="F75" s="187" t="str">
        <f>IF(B75="","",SUMIFS(Input_APM!N:N,Input_APM!M:M,Check!$F$1,Input_APM!L:L,Check!B75))</f>
        <v/>
      </c>
      <c r="G75" s="187" t="str">
        <f>IF(B75="","",SUMIFS(Input_APM!N:N,Input_APM!M:M,Check!$G$1,Input_APM!L:L,Check!B75))</f>
        <v/>
      </c>
      <c r="H75" s="173" t="str">
        <f t="shared" si="7"/>
        <v/>
      </c>
      <c r="I75" s="173">
        <f>SUMIFS(Input_APM!N:N,Input_APM!L:L,Check!B75)</f>
        <v>0</v>
      </c>
      <c r="J75" s="175" t="str">
        <f t="shared" si="8"/>
        <v/>
      </c>
      <c r="K75" s="21" t="str">
        <f>IF(B75="","",SUMIFS('Input_APM (Zenith)'!N:N,'Input_APM (Zenith)'!L:L,Check!B75,'Input_APM (Zenith)'!M:M,Check!$F$1))</f>
        <v/>
      </c>
      <c r="L75" s="21" t="str">
        <f>IF(B75="","",SUMIFS('Input_APM (Zenith)'!N:N,'Input_APM (Zenith)'!L:L,Check!B75,'Input_APM (Zenith)'!M:M,Check!$G$1))</f>
        <v/>
      </c>
      <c r="M75" s="173" t="str">
        <f t="shared" si="9"/>
        <v/>
      </c>
      <c r="O75" t="s">
        <v>1068</v>
      </c>
      <c r="P75" s="173">
        <f>IF(O75="","",IF(OR(LEFT(O75,4)="Cash",LEFT(O75,4)="Prov"),0,SUMIFS(Input_APM!N:N,Input_APM!L:L,Check!O75)))</f>
        <v>-846</v>
      </c>
      <c r="Q75" s="21">
        <f>IF(O75="","",IF(LEN(O75)&gt;9,SUMIFS(Options!$H$3:$H$28,Options!$B$3:$B$28,Check!O75),SUMIFS('Master P&amp;L'!$H$11:$H$101,'Master P&amp;L'!$B$11:$B$101,Check!O75)))</f>
        <v>-900</v>
      </c>
      <c r="R75" s="173">
        <f t="shared" si="10"/>
        <v>54</v>
      </c>
      <c r="S75" s="288">
        <f t="shared" si="11"/>
        <v>0.94</v>
      </c>
    </row>
    <row r="76" spans="2:19">
      <c r="B76"/>
      <c r="C76" s="187" t="str">
        <f>IF(B76="","",IF(LEN(B76)&gt;9,SUMIFS(Options!$H$3:$H$28,Options!$B$3:$B$28,Check!B76),SUMIFS('Master P&amp;L'!$H$11:$H$101,'Master P&amp;L'!$B$11:$B$101,Check!B76)))</f>
        <v/>
      </c>
      <c r="D76" s="187" t="str">
        <f>IF(B76="","",SUMIFS(Input_APM!N:N,Input_APM!L:L,Check!B76,Input_APM!M:M,Check!$F$1))</f>
        <v/>
      </c>
      <c r="E76" s="173" t="str">
        <f t="shared" si="12"/>
        <v/>
      </c>
      <c r="F76" s="187" t="str">
        <f>IF(B76="","",SUMIFS(Input_APM!N:N,Input_APM!M:M,Check!$F$1,Input_APM!L:L,Check!B76))</f>
        <v/>
      </c>
      <c r="G76" s="187" t="str">
        <f>IF(B76="","",SUMIFS(Input_APM!N:N,Input_APM!M:M,Check!$G$1,Input_APM!L:L,Check!B76))</f>
        <v/>
      </c>
      <c r="H76" s="173" t="str">
        <f t="shared" si="7"/>
        <v/>
      </c>
      <c r="I76" s="173">
        <f>SUMIFS(Input_APM!N:N,Input_APM!L:L,Check!B76)</f>
        <v>0</v>
      </c>
      <c r="J76" s="175" t="str">
        <f t="shared" si="8"/>
        <v/>
      </c>
      <c r="K76" s="21" t="str">
        <f>IF(B76="","",SUMIFS('Input_APM (Zenith)'!N:N,'Input_APM (Zenith)'!L:L,Check!B76,'Input_APM (Zenith)'!M:M,Check!$F$1))</f>
        <v/>
      </c>
      <c r="L76" s="21" t="str">
        <f>IF(B76="","",SUMIFS('Input_APM (Zenith)'!N:N,'Input_APM (Zenith)'!L:L,Check!B76,'Input_APM (Zenith)'!M:M,Check!$G$1))</f>
        <v/>
      </c>
      <c r="M76" s="173" t="str">
        <f t="shared" si="9"/>
        <v/>
      </c>
      <c r="O76" t="s">
        <v>1096</v>
      </c>
      <c r="P76" s="173">
        <f>IF(O76="","",IF(OR(LEFT(O76,4)="Cash",LEFT(O76,4)="Prov"),0,SUMIFS(Input_APM!N:N,Input_APM!L:L,Check!O76)))</f>
        <v>846</v>
      </c>
      <c r="Q76" s="21">
        <f>IF(O76="","",IF(LEN(O76)&gt;9,SUMIFS(Options!$H$3:$H$28,Options!$B$3:$B$28,Check!O76),SUMIFS('Master P&amp;L'!$H$11:$H$101,'Master P&amp;L'!$B$11:$B$101,Check!O76)))</f>
        <v>900</v>
      </c>
      <c r="R76" s="173">
        <f t="shared" si="10"/>
        <v>-54</v>
      </c>
      <c r="S76" s="288">
        <f t="shared" si="11"/>
        <v>0.94</v>
      </c>
    </row>
    <row r="77" spans="2:19">
      <c r="B77"/>
      <c r="C77" s="187" t="str">
        <f>IF(B77="","",IF(LEN(B77)&gt;9,SUMIFS(Options!$H$3:$H$28,Options!$B$3:$B$28,Check!B77),SUMIFS('Master P&amp;L'!$H$11:$H$101,'Master P&amp;L'!$B$11:$B$101,Check!B77)))</f>
        <v/>
      </c>
      <c r="D77" s="187" t="str">
        <f>IF(B77="","",SUMIFS(Input_APM!N:N,Input_APM!L:L,Check!B77,Input_APM!M:M,Check!$F$1))</f>
        <v/>
      </c>
      <c r="E77" s="173" t="str">
        <f t="shared" si="12"/>
        <v/>
      </c>
      <c r="F77" s="187" t="str">
        <f>IF(B77="","",SUMIFS(Input_APM!N:N,Input_APM!M:M,Check!$F$1,Input_APM!L:L,Check!B77))</f>
        <v/>
      </c>
      <c r="G77" s="187" t="str">
        <f>IF(B77="","",SUMIFS(Input_APM!N:N,Input_APM!M:M,Check!$G$1,Input_APM!L:L,Check!B77))</f>
        <v/>
      </c>
      <c r="H77" s="173" t="str">
        <f t="shared" si="7"/>
        <v/>
      </c>
      <c r="I77" s="173">
        <f>SUMIFS(Input_APM!N:N,Input_APM!L:L,Check!B77)</f>
        <v>0</v>
      </c>
      <c r="J77" s="175" t="str">
        <f t="shared" si="8"/>
        <v/>
      </c>
      <c r="K77" s="21" t="str">
        <f>IF(B77="","",SUMIFS('Input_APM (Zenith)'!N:N,'Input_APM (Zenith)'!L:L,Check!B77,'Input_APM (Zenith)'!M:M,Check!$F$1))</f>
        <v/>
      </c>
      <c r="L77" s="21" t="str">
        <f>IF(B77="","",SUMIFS('Input_APM (Zenith)'!N:N,'Input_APM (Zenith)'!L:L,Check!B77,'Input_APM (Zenith)'!M:M,Check!$G$1))</f>
        <v/>
      </c>
      <c r="M77" s="173" t="str">
        <f t="shared" si="9"/>
        <v/>
      </c>
      <c r="O77" t="s">
        <v>1067</v>
      </c>
      <c r="P77" s="173">
        <f>IF(O77="","",IF(OR(LEFT(O77,4)="Cash",LEFT(O77,4)="Prov"),0,SUMIFS(Input_APM!N:N,Input_APM!L:L,Check!O77)))</f>
        <v>0</v>
      </c>
      <c r="Q77" s="21">
        <f>IF(O77="","",IF(LEN(O77)&gt;9,SUMIFS(Options!$H$3:$H$28,Options!$B$3:$B$28,Check!O77),SUMIFS('Master P&amp;L'!$H$11:$H$101,'Master P&amp;L'!$B$11:$B$101,Check!O77)))</f>
        <v>0</v>
      </c>
      <c r="R77" s="173">
        <f t="shared" si="10"/>
        <v>0</v>
      </c>
      <c r="S77" s="288" t="str">
        <f t="shared" si="11"/>
        <v>Ok</v>
      </c>
    </row>
    <row r="78" spans="2:19">
      <c r="B78"/>
      <c r="C78" s="187" t="str">
        <f>IF(B78="","",IF(LEN(B78)&gt;9,SUMIFS(Options!$H$3:$H$28,Options!$B$3:$B$28,Check!B78),SUMIFS('Master P&amp;L'!$H$11:$H$101,'Master P&amp;L'!$B$11:$B$101,Check!B78)))</f>
        <v/>
      </c>
      <c r="D78" s="187" t="str">
        <f>IF(B78="","",SUMIFS(Input_APM!N:N,Input_APM!L:L,Check!B78,Input_APM!M:M,Check!$F$1))</f>
        <v/>
      </c>
      <c r="E78" s="173" t="str">
        <f t="shared" si="12"/>
        <v/>
      </c>
      <c r="F78" s="187" t="str">
        <f>IF(B78="","",SUMIFS(Input_APM!N:N,Input_APM!M:M,Check!$F$1,Input_APM!L:L,Check!B78))</f>
        <v/>
      </c>
      <c r="G78" s="187" t="str">
        <f>IF(B78="","",SUMIFS(Input_APM!N:N,Input_APM!M:M,Check!$G$1,Input_APM!L:L,Check!B78))</f>
        <v/>
      </c>
      <c r="H78" s="173" t="str">
        <f>IF(B78="","",F78-G78)</f>
        <v/>
      </c>
      <c r="I78" s="173">
        <f>SUMIFS(Input_APM!N:N,Input_APM!L:L,Check!B78)</f>
        <v>0</v>
      </c>
      <c r="J78" s="175" t="str">
        <f>IF(B78="","",(F78+G78)-I78)</f>
        <v/>
      </c>
      <c r="K78" s="21" t="str">
        <f>IF(B78="","",SUMIFS('Input_APM (Zenith)'!N:N,'Input_APM (Zenith)'!L:L,Check!B78,'Input_APM (Zenith)'!M:M,Check!$F$1))</f>
        <v/>
      </c>
      <c r="L78" s="21" t="str">
        <f>IF(B78="","",SUMIFS('Input_APM (Zenith)'!N:N,'Input_APM (Zenith)'!L:L,Check!B78,'Input_APM (Zenith)'!M:M,Check!$G$1))</f>
        <v/>
      </c>
      <c r="M78" s="173" t="str">
        <f t="shared" si="9"/>
        <v/>
      </c>
      <c r="O78" t="s">
        <v>1097</v>
      </c>
      <c r="P78" s="173">
        <f>IF(O78="","",IF(OR(LEFT(O78,4)="Cash",LEFT(O78,4)="Prov"),0,SUMIFS(Input_APM!N:N,Input_APM!L:L,Check!O78)))</f>
        <v>-188</v>
      </c>
      <c r="Q78" s="21">
        <f>IF(O78="","",IF(LEN(O78)&gt;9,SUMIFS(Options!$H$3:$H$28,Options!$B$3:$B$28,Check!O78),SUMIFS('Master P&amp;L'!$H$11:$H$101,'Master P&amp;L'!$B$11:$B$101,Check!O78)))</f>
        <v>-200</v>
      </c>
      <c r="R78" s="173">
        <f t="shared" si="10"/>
        <v>12</v>
      </c>
      <c r="S78" s="288">
        <f t="shared" si="11"/>
        <v>0.94</v>
      </c>
    </row>
    <row r="79" spans="2:19">
      <c r="B79"/>
      <c r="C79" s="187" t="str">
        <f>IF(B79="","",IF(LEN(B79)&gt;9,SUMIFS(Options!$H$3:$H$28,Options!$B$3:$B$28,Check!B79),SUMIFS('Master P&amp;L'!$H$11:$H$101,'Master P&amp;L'!$B$11:$B$101,Check!B79)))</f>
        <v/>
      </c>
      <c r="D79" s="187" t="str">
        <f>IF(B79="","",SUMIFS(Input_APM!N:N,Input_APM!L:L,Check!B79,Input_APM!M:M,Check!$F$1))</f>
        <v/>
      </c>
      <c r="E79" s="173" t="str">
        <f t="shared" si="12"/>
        <v/>
      </c>
      <c r="F79" s="187" t="str">
        <f>IF(B79="","",SUMIFS(Input_APM!N:N,Input_APM!M:M,Check!$F$1,Input_APM!L:L,Check!B79))</f>
        <v/>
      </c>
      <c r="G79" s="187" t="str">
        <f>IF(B79="","",SUMIFS(Input_APM!N:N,Input_APM!M:M,Check!$G$1,Input_APM!L:L,Check!B79))</f>
        <v/>
      </c>
      <c r="H79" s="173" t="str">
        <f>IF(B79="","",F79-G79)</f>
        <v/>
      </c>
      <c r="I79" s="173">
        <f>SUMIFS(Input_APM!N:N,Input_APM!L:L,Check!B79)</f>
        <v>0</v>
      </c>
      <c r="J79" s="175" t="str">
        <f>IF(B79="","",(F79+G79)-I79)</f>
        <v/>
      </c>
      <c r="K79" s="21" t="str">
        <f>IF(B79="","",SUMIFS('Input_APM (Zenith)'!N:N,'Input_APM (Zenith)'!L:L,Check!B79,'Input_APM (Zenith)'!M:M,Check!$F$1))</f>
        <v/>
      </c>
      <c r="L79" s="21" t="str">
        <f>IF(B79="","",SUMIFS('Input_APM (Zenith)'!N:N,'Input_APM (Zenith)'!L:L,Check!B79,'Input_APM (Zenith)'!M:M,Check!$G$1))</f>
        <v/>
      </c>
      <c r="M79" s="173" t="str">
        <f t="shared" si="9"/>
        <v/>
      </c>
      <c r="O79" t="s">
        <v>1095</v>
      </c>
      <c r="P79" s="173">
        <f>IF(O79="","",IF(OR(LEFT(O79,4)="Cash",LEFT(O79,4)="Prov"),0,SUMIFS(Input_APM!N:N,Input_APM!L:L,Check!O79)))</f>
        <v>188</v>
      </c>
      <c r="Q79" s="21">
        <f>IF(O79="","",IF(LEN(O79)&gt;9,SUMIFS(Options!$H$3:$H$28,Options!$B$3:$B$28,Check!O79),SUMIFS('Master P&amp;L'!$H$11:$H$101,'Master P&amp;L'!$B$11:$B$101,Check!O79)))</f>
        <v>200</v>
      </c>
      <c r="R79" s="173">
        <f t="shared" si="10"/>
        <v>-12</v>
      </c>
      <c r="S79" s="288">
        <f t="shared" si="11"/>
        <v>0.94</v>
      </c>
    </row>
    <row r="80" spans="2:19">
      <c r="B80"/>
      <c r="C80" s="187" t="str">
        <f>IF(B80="","",IF(LEN(B80)&gt;9,SUMIFS(Options!$H$3:$H$28,Options!$B$3:$B$28,Check!B80),SUMIFS('Master P&amp;L'!$H$11:$H$101,'Master P&amp;L'!$B$11:$B$101,Check!B80)))</f>
        <v/>
      </c>
      <c r="D80" s="187" t="str">
        <f>IF(B80="","",SUMIFS(Input_APM!N:N,Input_APM!L:L,Check!B80,Input_APM!M:M,Check!$F$1))</f>
        <v/>
      </c>
      <c r="E80" s="173" t="str">
        <f t="shared" ref="E80:E89" si="13">IF(B80="","",C80-M80)</f>
        <v/>
      </c>
      <c r="F80" s="187" t="str">
        <f>IF(B80="","",SUMIFS(Input_APM!N:N,Input_APM!M:M,Check!$F$1,Input_APM!L:L,Check!B80))</f>
        <v/>
      </c>
      <c r="G80" s="187" t="str">
        <f>IF(B80="","",SUMIFS(Input_APM!N:N,Input_APM!M:M,Check!$G$1,Input_APM!L:L,Check!B80))</f>
        <v/>
      </c>
      <c r="H80" s="173" t="str">
        <f t="shared" ref="H80:H89" si="14">IF(B80="","",F80-G80)</f>
        <v/>
      </c>
      <c r="I80" s="173">
        <f>SUMIFS(Input_APM!N:N,Input_APM!L:L,Check!B80)</f>
        <v>0</v>
      </c>
      <c r="J80" s="175" t="str">
        <f t="shared" ref="J80:J89" si="15">IF(B80="","",(F80+G80)-I80)</f>
        <v/>
      </c>
      <c r="K80" s="21" t="str">
        <f>IF(B80="","",SUMIFS('Input_APM (Zenith)'!N:N,'Input_APM (Zenith)'!L:L,Check!B80,'Input_APM (Zenith)'!M:M,Check!$F$1))</f>
        <v/>
      </c>
      <c r="L80" s="21" t="str">
        <f>IF(B80="","",SUMIFS('Input_APM (Zenith)'!N:N,'Input_APM (Zenith)'!L:L,Check!B80,'Input_APM (Zenith)'!M:M,Check!$G$1))</f>
        <v/>
      </c>
      <c r="M80" s="173" t="str">
        <f t="shared" ref="M80:M89" si="16">IF(B80="","",F80+G80+K80+L80)</f>
        <v/>
      </c>
      <c r="O80" t="s">
        <v>790</v>
      </c>
      <c r="P80" s="173">
        <f>IF(O80="","",IF(OR(LEFT(O80,4)="Cash",LEFT(O80,4)="Prov"),0,SUMIFS(Input_APM!N:N,Input_APM!L:L,Check!O80)))</f>
        <v>28071</v>
      </c>
      <c r="Q80" s="21">
        <f>IF(O80="","",IF(LEN(O80)&gt;9,SUMIFS(Options!$H$3:$H$28,Options!$B$3:$B$28,Check!O80),SUMIFS('Master P&amp;L'!$H$11:$H$101,'Master P&amp;L'!$B$11:$B$101,Check!O80)))</f>
        <v>30000</v>
      </c>
      <c r="R80" s="173">
        <f t="shared" si="10"/>
        <v>-1929</v>
      </c>
      <c r="S80" s="288">
        <f t="shared" si="11"/>
        <v>0.93569999999999998</v>
      </c>
    </row>
    <row r="81" spans="2:19">
      <c r="B81"/>
      <c r="C81" s="187" t="str">
        <f>IF(B81="","",IF(LEN(B81)&gt;9,SUMIFS(Options!$H$3:$H$28,Options!$B$3:$B$28,Check!B81),SUMIFS('Master P&amp;L'!$H$11:$H$101,'Master P&amp;L'!$B$11:$B$101,Check!B81)))</f>
        <v/>
      </c>
      <c r="D81" s="187" t="str">
        <f>IF(B81="","",SUMIFS(Input_APM!N:N,Input_APM!L:L,Check!B81,Input_APM!M:M,Check!$F$1))</f>
        <v/>
      </c>
      <c r="E81" s="173" t="str">
        <f t="shared" si="13"/>
        <v/>
      </c>
      <c r="F81" s="187" t="str">
        <f>IF(B81="","",SUMIFS(Input_APM!N:N,Input_APM!M:M,Check!$F$1,Input_APM!L:L,Check!B81))</f>
        <v/>
      </c>
      <c r="G81" s="187" t="str">
        <f>IF(B81="","",SUMIFS(Input_APM!N:N,Input_APM!M:M,Check!$G$1,Input_APM!L:L,Check!B81))</f>
        <v/>
      </c>
      <c r="H81" s="173" t="str">
        <f t="shared" si="14"/>
        <v/>
      </c>
      <c r="I81" s="173">
        <f>SUMIFS(Input_APM!N:N,Input_APM!L:L,Check!B81)</f>
        <v>0</v>
      </c>
      <c r="J81" s="175" t="str">
        <f t="shared" si="15"/>
        <v/>
      </c>
      <c r="K81" s="21" t="str">
        <f>IF(B81="","",SUMIFS('Input_APM (Zenith)'!N:N,'Input_APM (Zenith)'!L:L,Check!B81,'Input_APM (Zenith)'!M:M,Check!$F$1))</f>
        <v/>
      </c>
      <c r="L81" s="21" t="str">
        <f>IF(B81="","",SUMIFS('Input_APM (Zenith)'!N:N,'Input_APM (Zenith)'!L:L,Check!B81,'Input_APM (Zenith)'!M:M,Check!$G$1))</f>
        <v/>
      </c>
      <c r="M81" s="173" t="str">
        <f t="shared" si="16"/>
        <v/>
      </c>
      <c r="O81" t="s">
        <v>432</v>
      </c>
      <c r="P81" s="173">
        <f>IF(O81="","",IF(OR(LEFT(O81,4)="Cash",LEFT(O81,4)="Prov"),0,SUMIFS(Input_APM!N:N,Input_APM!L:L,Check!O81)))</f>
        <v>655</v>
      </c>
      <c r="Q81" s="21">
        <f>IF(O81="","",IF(LEN(O81)&gt;9,SUMIFS(Options!$H$3:$H$28,Options!$B$3:$B$28,Check!O81),SUMIFS('Master P&amp;L'!$H$11:$H$101,'Master P&amp;L'!$B$11:$B$101,Check!O81)))</f>
        <v>1563</v>
      </c>
      <c r="R81" s="173">
        <f t="shared" si="10"/>
        <v>-908</v>
      </c>
      <c r="S81" s="288">
        <f t="shared" si="11"/>
        <v>0.41906589891234802</v>
      </c>
    </row>
    <row r="82" spans="2:19">
      <c r="B82"/>
      <c r="C82" s="187" t="str">
        <f>IF(B82="","",IF(LEN(B82)&gt;9,SUMIFS(Options!$H$3:$H$28,Options!$B$3:$B$28,Check!B82),SUMIFS('Master P&amp;L'!$H$11:$H$101,'Master P&amp;L'!$B$11:$B$101,Check!B82)))</f>
        <v/>
      </c>
      <c r="D82" s="187" t="str">
        <f>IF(B82="","",SUMIFS(Input_APM!N:N,Input_APM!L:L,Check!B82,Input_APM!M:M,Check!$F$1))</f>
        <v/>
      </c>
      <c r="E82" s="173" t="str">
        <f t="shared" si="13"/>
        <v/>
      </c>
      <c r="F82" s="187" t="str">
        <f>IF(B82="","",SUMIFS(Input_APM!N:N,Input_APM!M:M,Check!$F$1,Input_APM!L:L,Check!B82))</f>
        <v/>
      </c>
      <c r="G82" s="187" t="str">
        <f>IF(B82="","",SUMIFS(Input_APM!N:N,Input_APM!M:M,Check!$G$1,Input_APM!L:L,Check!B82))</f>
        <v/>
      </c>
      <c r="H82" s="173" t="str">
        <f t="shared" si="14"/>
        <v/>
      </c>
      <c r="I82" s="173">
        <f>SUMIFS(Input_APM!N:N,Input_APM!L:L,Check!B82)</f>
        <v>0</v>
      </c>
      <c r="J82" s="175" t="str">
        <f t="shared" si="15"/>
        <v/>
      </c>
      <c r="K82" s="21" t="str">
        <f>IF(B82="","",SUMIFS('Input_APM (Zenith)'!N:N,'Input_APM (Zenith)'!L:L,Check!B82,'Input_APM (Zenith)'!M:M,Check!$F$1))</f>
        <v/>
      </c>
      <c r="L82" s="21" t="str">
        <f>IF(B82="","",SUMIFS('Input_APM (Zenith)'!N:N,'Input_APM (Zenith)'!L:L,Check!B82,'Input_APM (Zenith)'!M:M,Check!$G$1))</f>
        <v/>
      </c>
      <c r="M82" s="173" t="str">
        <f t="shared" si="16"/>
        <v/>
      </c>
      <c r="O82" t="s">
        <v>1029</v>
      </c>
      <c r="P82" s="173">
        <f>IF(O82="","",IF(OR(LEFT(O82,4)="Cash",LEFT(O82,4)="Prov"),0,SUMIFS(Input_APM!N:N,Input_APM!L:L,Check!O82)))</f>
        <v>160</v>
      </c>
      <c r="Q82" s="21">
        <f>IF(O82="","",IF(LEN(O82)&gt;9,SUMIFS(Options!$H$3:$H$28,Options!$B$3:$B$28,Check!O82),SUMIFS('Master P&amp;L'!$H$11:$H$101,'Master P&amp;L'!$B$11:$B$101,Check!O82)))</f>
        <v>0</v>
      </c>
      <c r="R82" s="173">
        <f t="shared" si="10"/>
        <v>160</v>
      </c>
      <c r="S82" s="288" t="str">
        <f t="shared" si="11"/>
        <v>Erro</v>
      </c>
    </row>
    <row r="83" spans="2:19">
      <c r="B83"/>
      <c r="C83" s="187" t="str">
        <f>IF(B83="","",IF(LEN(B83)&gt;9,SUMIFS(Options!$H$3:$H$28,Options!$B$3:$B$28,Check!B83),SUMIFS('Master P&amp;L'!$H$11:$H$101,'Master P&amp;L'!$B$11:$B$101,Check!B83)))</f>
        <v/>
      </c>
      <c r="D83" s="187" t="str">
        <f>IF(B83="","",SUMIFS(Input_APM!N:N,Input_APM!L:L,Check!B83,Input_APM!M:M,Check!$F$1))</f>
        <v/>
      </c>
      <c r="E83" s="173" t="str">
        <f t="shared" si="13"/>
        <v/>
      </c>
      <c r="F83" s="187" t="str">
        <f>IF(B83="","",SUMIFS(Input_APM!N:N,Input_APM!M:M,Check!$F$1,Input_APM!L:L,Check!B83))</f>
        <v/>
      </c>
      <c r="G83" s="187" t="str">
        <f>IF(B83="","",SUMIFS(Input_APM!N:N,Input_APM!M:M,Check!$G$1,Input_APM!L:L,Check!B83))</f>
        <v/>
      </c>
      <c r="H83" s="173" t="str">
        <f t="shared" si="14"/>
        <v/>
      </c>
      <c r="I83" s="173">
        <f>SUMIFS(Input_APM!N:N,Input_APM!L:L,Check!B83)</f>
        <v>0</v>
      </c>
      <c r="J83" s="175" t="str">
        <f t="shared" si="15"/>
        <v/>
      </c>
      <c r="K83" s="21" t="str">
        <f>IF(B83="","",SUMIFS('Input_APM (Zenith)'!N:N,'Input_APM (Zenith)'!L:L,Check!B83,'Input_APM (Zenith)'!M:M,Check!$F$1))</f>
        <v/>
      </c>
      <c r="L83" s="21" t="str">
        <f>IF(B83="","",SUMIFS('Input_APM (Zenith)'!N:N,'Input_APM (Zenith)'!L:L,Check!B83,'Input_APM (Zenith)'!M:M,Check!$G$1))</f>
        <v/>
      </c>
      <c r="M83" s="173" t="str">
        <f t="shared" si="16"/>
        <v/>
      </c>
      <c r="O83" t="s">
        <v>877</v>
      </c>
      <c r="P83" s="173">
        <f>IF(O83="","",IF(OR(LEFT(O83,4)="Cash",LEFT(O83,4)="Prov"),0,SUMIFS(Input_APM!N:N,Input_APM!L:L,Check!O83)))</f>
        <v>643</v>
      </c>
      <c r="Q83" s="21">
        <f>IF(O83="","",IF(LEN(O83)&gt;9,SUMIFS(Options!$H$3:$H$28,Options!$B$3:$B$28,Check!O83),SUMIFS('Master P&amp;L'!$H$11:$H$101,'Master P&amp;L'!$B$11:$B$101,Check!O83)))</f>
        <v>0</v>
      </c>
      <c r="R83" s="173">
        <f t="shared" si="10"/>
        <v>643</v>
      </c>
      <c r="S83" s="288" t="str">
        <f t="shared" si="11"/>
        <v>Erro</v>
      </c>
    </row>
    <row r="84" spans="2:19">
      <c r="B84"/>
      <c r="C84" s="187" t="str">
        <f>IF(B84="","",IF(LEN(B84)&gt;9,SUMIFS(Options!$H$3:$H$28,Options!$B$3:$B$28,Check!B84),SUMIFS('Master P&amp;L'!$H$11:$H$101,'Master P&amp;L'!$B$11:$B$101,Check!B84)))</f>
        <v/>
      </c>
      <c r="D84" s="187" t="str">
        <f>IF(B84="","",SUMIFS(Input_APM!N:N,Input_APM!L:L,Check!B84,Input_APM!M:M,Check!$F$1))</f>
        <v/>
      </c>
      <c r="E84" s="173" t="str">
        <f t="shared" si="13"/>
        <v/>
      </c>
      <c r="F84" s="187" t="str">
        <f>IF(B84="","",SUMIFS(Input_APM!N:N,Input_APM!M:M,Check!$F$1,Input_APM!L:L,Check!B84))</f>
        <v/>
      </c>
      <c r="G84" s="187" t="str">
        <f>IF(B84="","",SUMIFS(Input_APM!N:N,Input_APM!M:M,Check!$G$1,Input_APM!L:L,Check!B84))</f>
        <v/>
      </c>
      <c r="H84" s="173" t="str">
        <f t="shared" si="14"/>
        <v/>
      </c>
      <c r="I84" s="173">
        <f>SUMIFS(Input_APM!N:N,Input_APM!L:L,Check!B84)</f>
        <v>0</v>
      </c>
      <c r="J84" s="175" t="str">
        <f t="shared" si="15"/>
        <v/>
      </c>
      <c r="K84" s="21" t="str">
        <f>IF(B84="","",SUMIFS('Input_APM (Zenith)'!N:N,'Input_APM (Zenith)'!L:L,Check!B84,'Input_APM (Zenith)'!M:M,Check!$F$1))</f>
        <v/>
      </c>
      <c r="L84" s="21" t="str">
        <f>IF(B84="","",SUMIFS('Input_APM (Zenith)'!N:N,'Input_APM (Zenith)'!L:L,Check!B84,'Input_APM (Zenith)'!M:M,Check!$G$1))</f>
        <v/>
      </c>
      <c r="M84" s="173" t="str">
        <f t="shared" si="16"/>
        <v/>
      </c>
      <c r="O84" t="s">
        <v>1030</v>
      </c>
      <c r="P84" s="173">
        <f>IF(O84="","",IF(OR(LEFT(O84,4)="Cash",LEFT(O84,4)="Prov"),0,SUMIFS(Input_APM!N:N,Input_APM!L:L,Check!O84)))</f>
        <v>2901</v>
      </c>
      <c r="Q84" s="21">
        <f>IF(O84="","",IF(LEN(O84)&gt;9,SUMIFS(Options!$H$3:$H$28,Options!$B$3:$B$28,Check!O84),SUMIFS('Master P&amp;L'!$H$11:$H$101,'Master P&amp;L'!$B$11:$B$101,Check!O84)))</f>
        <v>0</v>
      </c>
      <c r="R84" s="173">
        <f t="shared" si="10"/>
        <v>2901</v>
      </c>
      <c r="S84" s="288" t="str">
        <f t="shared" si="11"/>
        <v>Erro</v>
      </c>
    </row>
    <row r="85" spans="2:19">
      <c r="B85"/>
      <c r="C85" s="187" t="str">
        <f>IF(B85="","",IF(LEN(B85)&gt;9,SUMIFS(Options!$H$3:$H$28,Options!$B$3:$B$28,Check!B85),SUMIFS('Master P&amp;L'!$H$11:$H$101,'Master P&amp;L'!$B$11:$B$101,Check!B85)))</f>
        <v/>
      </c>
      <c r="D85" s="187" t="str">
        <f>IF(B85="","",SUMIFS(Input_APM!N:N,Input_APM!L:L,Check!B85,Input_APM!M:M,Check!$F$1))</f>
        <v/>
      </c>
      <c r="E85" s="173" t="str">
        <f t="shared" si="13"/>
        <v/>
      </c>
      <c r="F85" s="187" t="str">
        <f>IF(B85="","",SUMIFS(Input_APM!N:N,Input_APM!M:M,Check!$F$1,Input_APM!L:L,Check!B85))</f>
        <v/>
      </c>
      <c r="G85" s="187" t="str">
        <f>IF(B85="","",SUMIFS(Input_APM!N:N,Input_APM!M:M,Check!$G$1,Input_APM!L:L,Check!B85))</f>
        <v/>
      </c>
      <c r="H85" s="173" t="str">
        <f t="shared" si="14"/>
        <v/>
      </c>
      <c r="I85" s="173">
        <f>SUMIFS(Input_APM!N:N,Input_APM!L:L,Check!B85)</f>
        <v>0</v>
      </c>
      <c r="J85" s="175" t="str">
        <f t="shared" si="15"/>
        <v/>
      </c>
      <c r="K85" s="21" t="str">
        <f>IF(B85="","",SUMIFS('Input_APM (Zenith)'!N:N,'Input_APM (Zenith)'!L:L,Check!B85,'Input_APM (Zenith)'!M:M,Check!$F$1))</f>
        <v/>
      </c>
      <c r="L85" s="21" t="str">
        <f>IF(B85="","",SUMIFS('Input_APM (Zenith)'!N:N,'Input_APM (Zenith)'!L:L,Check!B85,'Input_APM (Zenith)'!M:M,Check!$G$1))</f>
        <v/>
      </c>
      <c r="M85" s="173" t="str">
        <f t="shared" si="16"/>
        <v/>
      </c>
      <c r="O85" t="s">
        <v>1031</v>
      </c>
      <c r="P85" s="173">
        <f>IF(O85="","",IF(OR(LEFT(O85,4)="Cash",LEFT(O85,4)="Prov"),0,SUMIFS(Input_APM!N:N,Input_APM!L:L,Check!O85)))</f>
        <v>2901</v>
      </c>
      <c r="Q85" s="21">
        <f>IF(O85="","",IF(LEN(O85)&gt;9,SUMIFS(Options!$H$3:$H$28,Options!$B$3:$B$28,Check!O85),SUMIFS('Master P&amp;L'!$H$11:$H$101,'Master P&amp;L'!$B$11:$B$101,Check!O85)))</f>
        <v>0</v>
      </c>
      <c r="R85" s="173">
        <f t="shared" si="10"/>
        <v>2901</v>
      </c>
      <c r="S85" s="288" t="str">
        <f t="shared" si="11"/>
        <v>Erro</v>
      </c>
    </row>
    <row r="86" spans="2:19">
      <c r="B86"/>
      <c r="C86" s="187" t="str">
        <f>IF(B86="","",IF(LEN(B86)&gt;9,SUMIFS(Options!$H$3:$H$28,Options!$B$3:$B$28,Check!B86),SUMIFS('Master P&amp;L'!$H$11:$H$101,'Master P&amp;L'!$B$11:$B$101,Check!B86)))</f>
        <v/>
      </c>
      <c r="D86" s="187" t="str">
        <f>IF(B86="","",SUMIFS(Input_APM!N:N,Input_APM!L:L,Check!B86,Input_APM!M:M,Check!$F$1))</f>
        <v/>
      </c>
      <c r="E86" s="173" t="str">
        <f t="shared" si="13"/>
        <v/>
      </c>
      <c r="F86" s="187" t="str">
        <f>IF(B86="","",SUMIFS(Input_APM!N:N,Input_APM!M:M,Check!$F$1,Input_APM!L:L,Check!B86))</f>
        <v/>
      </c>
      <c r="G86" s="187" t="str">
        <f>IF(B86="","",SUMIFS(Input_APM!N:N,Input_APM!M:M,Check!$G$1,Input_APM!L:L,Check!B86))</f>
        <v/>
      </c>
      <c r="H86" s="173" t="str">
        <f t="shared" si="14"/>
        <v/>
      </c>
      <c r="I86" s="173">
        <f>SUMIFS(Input_APM!N:N,Input_APM!L:L,Check!B86)</f>
        <v>0</v>
      </c>
      <c r="J86" s="175" t="str">
        <f t="shared" si="15"/>
        <v/>
      </c>
      <c r="K86" s="21" t="str">
        <f>IF(B86="","",SUMIFS('Input_APM (Zenith)'!N:N,'Input_APM (Zenith)'!L:L,Check!B86,'Input_APM (Zenith)'!M:M,Check!$F$1))</f>
        <v/>
      </c>
      <c r="L86" s="21" t="str">
        <f>IF(B86="","",SUMIFS('Input_APM (Zenith)'!N:N,'Input_APM (Zenith)'!L:L,Check!B86,'Input_APM (Zenith)'!M:M,Check!$G$1))</f>
        <v/>
      </c>
      <c r="M86" s="173" t="str">
        <f t="shared" si="16"/>
        <v/>
      </c>
      <c r="O86" t="s">
        <v>1032</v>
      </c>
      <c r="P86" s="173">
        <f>IF(O86="","",IF(OR(LEFT(O86,4)="Cash",LEFT(O86,4)="Prov"),0,SUMIFS(Input_APM!N:N,Input_APM!L:L,Check!O86)))</f>
        <v>845</v>
      </c>
      <c r="Q86" s="21">
        <f>IF(O86="","",IF(LEN(O86)&gt;9,SUMIFS(Options!$H$3:$H$28,Options!$B$3:$B$28,Check!O86),SUMIFS('Master P&amp;L'!$H$11:$H$101,'Master P&amp;L'!$B$11:$B$101,Check!O86)))</f>
        <v>0</v>
      </c>
      <c r="R86" s="173">
        <f t="shared" si="10"/>
        <v>845</v>
      </c>
      <c r="S86" s="288" t="str">
        <f t="shared" si="11"/>
        <v>Erro</v>
      </c>
    </row>
    <row r="87" spans="2:19">
      <c r="B87"/>
      <c r="C87" s="187" t="str">
        <f>IF(B87="","",IF(LEN(B87)&gt;9,SUMIFS(Options!$H$3:$H$28,Options!$B$3:$B$28,Check!B87),SUMIFS('Master P&amp;L'!$H$11:$H$101,'Master P&amp;L'!$B$11:$B$101,Check!B87)))</f>
        <v/>
      </c>
      <c r="D87" s="187" t="str">
        <f>IF(B87="","",SUMIFS(Input_APM!N:N,Input_APM!L:L,Check!B87,Input_APM!M:M,Check!$F$1))</f>
        <v/>
      </c>
      <c r="E87" s="173" t="str">
        <f t="shared" si="13"/>
        <v/>
      </c>
      <c r="F87" s="187" t="str">
        <f>IF(B87="","",SUMIFS(Input_APM!N:N,Input_APM!M:M,Check!$F$1,Input_APM!L:L,Check!B87))</f>
        <v/>
      </c>
      <c r="G87" s="187" t="str">
        <f>IF(B87="","",SUMIFS(Input_APM!N:N,Input_APM!M:M,Check!$G$1,Input_APM!L:L,Check!B87))</f>
        <v/>
      </c>
      <c r="H87" s="173" t="str">
        <f t="shared" si="14"/>
        <v/>
      </c>
      <c r="I87" s="173">
        <f>SUMIFS(Input_APM!N:N,Input_APM!L:L,Check!B87)</f>
        <v>0</v>
      </c>
      <c r="J87" s="175" t="str">
        <f t="shared" si="15"/>
        <v/>
      </c>
      <c r="K87" s="21" t="str">
        <f>IF(B87="","",SUMIFS('Input_APM (Zenith)'!N:N,'Input_APM (Zenith)'!L:L,Check!B87,'Input_APM (Zenith)'!M:M,Check!$F$1))</f>
        <v/>
      </c>
      <c r="L87" s="21" t="str">
        <f>IF(B87="","",SUMIFS('Input_APM (Zenith)'!N:N,'Input_APM (Zenith)'!L:L,Check!B87,'Input_APM (Zenith)'!M:M,Check!$G$1))</f>
        <v/>
      </c>
      <c r="M87" s="173" t="str">
        <f t="shared" si="16"/>
        <v/>
      </c>
      <c r="O87" t="s">
        <v>1055</v>
      </c>
      <c r="P87" s="173">
        <f>IF(O87="","",IF(OR(LEFT(O87,4)="Cash",LEFT(O87,4)="Prov"),0,SUMIFS(Input_APM!N:N,Input_APM!L:L,Check!O87)))</f>
        <v>16860</v>
      </c>
      <c r="Q87" s="21">
        <f>IF(O87="","",IF(LEN(O87)&gt;9,SUMIFS(Options!$H$3:$H$28,Options!$B$3:$B$28,Check!O87),SUMIFS('Master P&amp;L'!$H$11:$H$101,'Master P&amp;L'!$B$11:$B$101,Check!O87)))</f>
        <v>0</v>
      </c>
      <c r="R87" s="173">
        <f t="shared" si="10"/>
        <v>16860</v>
      </c>
      <c r="S87" s="288" t="str">
        <f t="shared" si="11"/>
        <v>Erro</v>
      </c>
    </row>
    <row r="88" spans="2:19">
      <c r="B88"/>
      <c r="C88" s="187" t="str">
        <f>IF(B88="","",IF(LEN(B88)&gt;9,SUMIFS(Options!$H$3:$H$28,Options!$B$3:$B$28,Check!B88),SUMIFS('Master P&amp;L'!$H$11:$H$101,'Master P&amp;L'!$B$11:$B$101,Check!B88)))</f>
        <v/>
      </c>
      <c r="D88" s="187" t="str">
        <f>IF(B88="","",SUMIFS(Input_APM!N:N,Input_APM!L:L,Check!B88,Input_APM!M:M,Check!$F$1))</f>
        <v/>
      </c>
      <c r="E88" s="173" t="str">
        <f t="shared" si="13"/>
        <v/>
      </c>
      <c r="F88" s="187" t="str">
        <f>IF(B88="","",SUMIFS(Input_APM!N:N,Input_APM!M:M,Check!$F$1,Input_APM!L:L,Check!B88))</f>
        <v/>
      </c>
      <c r="G88" s="187" t="str">
        <f>IF(B88="","",SUMIFS(Input_APM!N:N,Input_APM!M:M,Check!$G$1,Input_APM!L:L,Check!B88))</f>
        <v/>
      </c>
      <c r="H88" s="173" t="str">
        <f t="shared" si="14"/>
        <v/>
      </c>
      <c r="I88" s="173">
        <f>SUMIFS(Input_APM!N:N,Input_APM!L:L,Check!B88)</f>
        <v>0</v>
      </c>
      <c r="J88" s="175" t="str">
        <f t="shared" si="15"/>
        <v/>
      </c>
      <c r="K88" s="21" t="str">
        <f>IF(B88="","",SUMIFS('Input_APM (Zenith)'!N:N,'Input_APM (Zenith)'!L:L,Check!B88,'Input_APM (Zenith)'!M:M,Check!$F$1))</f>
        <v/>
      </c>
      <c r="L88" s="21" t="str">
        <f>IF(B88="","",SUMIFS('Input_APM (Zenith)'!N:N,'Input_APM (Zenith)'!L:L,Check!B88,'Input_APM (Zenith)'!M:M,Check!$G$1))</f>
        <v/>
      </c>
      <c r="M88" s="173" t="str">
        <f t="shared" si="16"/>
        <v/>
      </c>
      <c r="O88" t="s">
        <v>1033</v>
      </c>
      <c r="P88" s="173">
        <f>IF(O88="","",IF(OR(LEFT(O88,4)="Cash",LEFT(O88,4)="Prov"),0,SUMIFS(Input_APM!N:N,Input_APM!L:L,Check!O88)))</f>
        <v>268</v>
      </c>
      <c r="Q88" s="21">
        <f>IF(O88="","",IF(LEN(O88)&gt;9,SUMIFS(Options!$H$3:$H$28,Options!$B$3:$B$28,Check!O88),SUMIFS('Master P&amp;L'!$H$11:$H$101,'Master P&amp;L'!$B$11:$B$101,Check!O88)))</f>
        <v>0</v>
      </c>
      <c r="R88" s="173">
        <f t="shared" si="10"/>
        <v>268</v>
      </c>
      <c r="S88" s="288" t="str">
        <f t="shared" si="11"/>
        <v>Erro</v>
      </c>
    </row>
    <row r="89" spans="2:19">
      <c r="B89"/>
      <c r="C89" s="187" t="str">
        <f>IF(B89="","",IF(LEN(B89)&gt;9,SUMIFS(Options!$H$3:$H$28,Options!$B$3:$B$28,Check!B89),SUMIFS('Master P&amp;L'!$H$11:$H$101,'Master P&amp;L'!$B$11:$B$101,Check!B89)))</f>
        <v/>
      </c>
      <c r="D89" s="187" t="str">
        <f>IF(B89="","",SUMIFS(Input_APM!N:N,Input_APM!L:L,Check!B89,Input_APM!M:M,Check!$F$1))</f>
        <v/>
      </c>
      <c r="E89" s="173" t="str">
        <f t="shared" si="13"/>
        <v/>
      </c>
      <c r="F89" s="187" t="str">
        <f>IF(B89="","",SUMIFS(Input_APM!N:N,Input_APM!M:M,Check!$F$1,Input_APM!L:L,Check!B89))</f>
        <v/>
      </c>
      <c r="G89" s="187" t="str">
        <f>IF(B89="","",SUMIFS(Input_APM!N:N,Input_APM!M:M,Check!$G$1,Input_APM!L:L,Check!B89))</f>
        <v/>
      </c>
      <c r="H89" s="173" t="str">
        <f t="shared" si="14"/>
        <v/>
      </c>
      <c r="I89" s="173">
        <f>SUMIFS(Input_APM!N:N,Input_APM!L:L,Check!B89)</f>
        <v>0</v>
      </c>
      <c r="J89" s="175" t="str">
        <f t="shared" si="15"/>
        <v/>
      </c>
      <c r="K89" s="21" t="str">
        <f>IF(B89="","",SUMIFS('Input_APM (Zenith)'!N:N,'Input_APM (Zenith)'!L:L,Check!B89,'Input_APM (Zenith)'!M:M,Check!$F$1))</f>
        <v/>
      </c>
      <c r="L89" s="21" t="str">
        <f>IF(B89="","",SUMIFS('Input_APM (Zenith)'!N:N,'Input_APM (Zenith)'!L:L,Check!B89,'Input_APM (Zenith)'!M:M,Check!$G$1))</f>
        <v/>
      </c>
      <c r="M89" s="173" t="str">
        <f t="shared" si="16"/>
        <v/>
      </c>
      <c r="O89" t="s">
        <v>1034</v>
      </c>
      <c r="P89" s="173">
        <f>IF(O89="","",IF(OR(LEFT(O89,4)="Cash",LEFT(O89,4)="Prov"),0,SUMIFS(Input_APM!N:N,Input_APM!L:L,Check!O89)))</f>
        <v>587</v>
      </c>
      <c r="Q89" s="21">
        <f>IF(O89="","",IF(LEN(O89)&gt;9,SUMIFS(Options!$H$3:$H$28,Options!$B$3:$B$28,Check!O89),SUMIFS('Master P&amp;L'!$H$11:$H$101,'Master P&amp;L'!$B$11:$B$101,Check!O89)))</f>
        <v>0</v>
      </c>
      <c r="R89" s="173">
        <f t="shared" si="10"/>
        <v>587</v>
      </c>
      <c r="S89" s="288" t="str">
        <f t="shared" si="11"/>
        <v>Erro</v>
      </c>
    </row>
    <row r="90" spans="2:19">
      <c r="B90"/>
      <c r="C90" s="187" t="str">
        <f>IF(B90="","",IF(LEN(B90)&gt;9,SUMIFS(Options!$H$3:$H$28,Options!$B$3:$B$28,Check!B90),SUMIFS('Master P&amp;L'!$H$11:$H$101,'Master P&amp;L'!$B$11:$B$101,Check!B90)))</f>
        <v/>
      </c>
      <c r="D90" s="187" t="str">
        <f>IF(B90="","",SUMIFS(Input_APM!N:N,Input_APM!L:L,Check!B90,Input_APM!M:M,Check!$F$1))</f>
        <v/>
      </c>
      <c r="E90" s="173" t="str">
        <f t="shared" ref="E90:E95" si="17">IF(B90="","",C90-M90)</f>
        <v/>
      </c>
      <c r="F90" s="187" t="str">
        <f>IF(B90="","",SUMIFS(Input_APM!N:N,Input_APM!M:M,Check!$F$1,Input_APM!L:L,Check!B90))</f>
        <v/>
      </c>
      <c r="G90" s="187" t="str">
        <f>IF(B90="","",SUMIFS(Input_APM!N:N,Input_APM!M:M,Check!$G$1,Input_APM!L:L,Check!B90))</f>
        <v/>
      </c>
      <c r="H90" s="173" t="str">
        <f t="shared" ref="H90:H95" si="18">IF(B90="","",F90-G90)</f>
        <v/>
      </c>
      <c r="I90" s="173">
        <f>SUMIFS(Input_APM!N:N,Input_APM!L:L,Check!B90)</f>
        <v>0</v>
      </c>
      <c r="J90" s="175" t="str">
        <f t="shared" ref="J90:J95" si="19">IF(B90="","",(F90+G90)-I90)</f>
        <v/>
      </c>
      <c r="K90" s="21" t="str">
        <f>IF(B90="","",SUMIFS('Input_APM (Zenith)'!N:N,'Input_APM (Zenith)'!L:L,Check!B90,'Input_APM (Zenith)'!M:M,Check!$F$1))</f>
        <v/>
      </c>
      <c r="L90" s="21" t="str">
        <f>IF(B90="","",SUMIFS('Input_APM (Zenith)'!N:N,'Input_APM (Zenith)'!L:L,Check!B90,'Input_APM (Zenith)'!M:M,Check!$G$1))</f>
        <v/>
      </c>
      <c r="M90" s="173" t="str">
        <f t="shared" ref="M90:M95" si="20">IF(B90="","",F90+G90+K90+L90)</f>
        <v/>
      </c>
      <c r="O90" t="s">
        <v>1035</v>
      </c>
      <c r="P90" s="173">
        <f>IF(O90="","",IF(OR(LEFT(O90,4)="Cash",LEFT(O90,4)="Prov"),0,SUMIFS(Input_APM!N:N,Input_APM!L:L,Check!O90)))</f>
        <v>254</v>
      </c>
      <c r="Q90" s="21">
        <f>IF(O90="","",IF(LEN(O90)&gt;9,SUMIFS(Options!$H$3:$H$28,Options!$B$3:$B$28,Check!O90),SUMIFS('Master P&amp;L'!$H$11:$H$101,'Master P&amp;L'!$B$11:$B$101,Check!O90)))</f>
        <v>0</v>
      </c>
      <c r="R90" s="173">
        <f t="shared" si="10"/>
        <v>254</v>
      </c>
      <c r="S90" s="288" t="str">
        <f t="shared" si="11"/>
        <v>Erro</v>
      </c>
    </row>
    <row r="91" spans="2:19">
      <c r="B91"/>
      <c r="C91" s="187" t="str">
        <f>IF(B91="","",IF(LEN(B91)&gt;9,SUMIFS(Options!$H$3:$H$28,Options!$B$3:$B$28,Check!B91),SUMIFS('Master P&amp;L'!$H$11:$H$101,'Master P&amp;L'!$B$11:$B$101,Check!B91)))</f>
        <v/>
      </c>
      <c r="D91" s="187" t="str">
        <f>IF(B91="","",SUMIFS(Input_APM!N:N,Input_APM!L:L,Check!B91,Input_APM!M:M,Check!$F$1))</f>
        <v/>
      </c>
      <c r="E91" s="173" t="str">
        <f t="shared" si="17"/>
        <v/>
      </c>
      <c r="F91" s="187" t="str">
        <f>IF(B91="","",SUMIFS(Input_APM!N:N,Input_APM!M:M,Check!$F$1,Input_APM!L:L,Check!B91))</f>
        <v/>
      </c>
      <c r="G91" s="187" t="str">
        <f>IF(B91="","",SUMIFS(Input_APM!N:N,Input_APM!M:M,Check!$G$1,Input_APM!L:L,Check!B91))</f>
        <v/>
      </c>
      <c r="H91" s="173" t="str">
        <f t="shared" si="18"/>
        <v/>
      </c>
      <c r="I91" s="173">
        <f>SUMIFS(Input_APM!N:N,Input_APM!L:L,Check!B91)</f>
        <v>0</v>
      </c>
      <c r="J91" s="175" t="str">
        <f t="shared" si="19"/>
        <v/>
      </c>
      <c r="K91" s="21" t="str">
        <f>IF(B91="","",SUMIFS('Input_APM (Zenith)'!N:N,'Input_APM (Zenith)'!L:L,Check!B91,'Input_APM (Zenith)'!M:M,Check!$F$1))</f>
        <v/>
      </c>
      <c r="L91" s="21" t="str">
        <f>IF(B91="","",SUMIFS('Input_APM (Zenith)'!N:N,'Input_APM (Zenith)'!L:L,Check!B91,'Input_APM (Zenith)'!M:M,Check!$G$1))</f>
        <v/>
      </c>
      <c r="M91" s="173" t="str">
        <f t="shared" si="20"/>
        <v/>
      </c>
      <c r="O91" t="s">
        <v>1056</v>
      </c>
      <c r="P91" s="173">
        <f>IF(O91="","",IF(OR(LEFT(O91,4)="Cash",LEFT(O91,4)="Prov"),0,SUMIFS(Input_APM!N:N,Input_APM!L:L,Check!O91)))</f>
        <v>271</v>
      </c>
      <c r="Q91" s="21">
        <f>IF(O91="","",IF(LEN(O91)&gt;9,SUMIFS(Options!$H$3:$H$28,Options!$B$3:$B$28,Check!O91),SUMIFS('Master P&amp;L'!$H$11:$H$101,'Master P&amp;L'!$B$11:$B$101,Check!O91)))</f>
        <v>0</v>
      </c>
      <c r="R91" s="173">
        <f t="shared" si="10"/>
        <v>271</v>
      </c>
      <c r="S91" s="288" t="str">
        <f t="shared" si="11"/>
        <v>Erro</v>
      </c>
    </row>
    <row r="92" spans="2:19">
      <c r="B92"/>
      <c r="C92" s="187" t="str">
        <f>IF(B92="","",IF(LEN(B92)&gt;9,SUMIFS(Options!$H$3:$H$28,Options!$B$3:$B$28,Check!B92),SUMIFS('Master P&amp;L'!$H$11:$H$101,'Master P&amp;L'!$B$11:$B$101,Check!B92)))</f>
        <v/>
      </c>
      <c r="D92" s="187" t="str">
        <f>IF(B92="","",SUMIFS(Input_APM!N:N,Input_APM!L:L,Check!B92,Input_APM!M:M,Check!$F$1))</f>
        <v/>
      </c>
      <c r="E92" s="173" t="str">
        <f t="shared" si="17"/>
        <v/>
      </c>
      <c r="F92" s="187" t="str">
        <f>IF(B92="","",SUMIFS(Input_APM!N:N,Input_APM!M:M,Check!$F$1,Input_APM!L:L,Check!B92))</f>
        <v/>
      </c>
      <c r="G92" s="187" t="str">
        <f>IF(B92="","",SUMIFS(Input_APM!N:N,Input_APM!M:M,Check!$G$1,Input_APM!L:L,Check!B92))</f>
        <v/>
      </c>
      <c r="H92" s="173" t="str">
        <f t="shared" si="18"/>
        <v/>
      </c>
      <c r="I92" s="173">
        <f>SUMIFS(Input_APM!N:N,Input_APM!L:L,Check!B92)</f>
        <v>0</v>
      </c>
      <c r="J92" s="175" t="str">
        <f t="shared" si="19"/>
        <v/>
      </c>
      <c r="K92" s="21" t="str">
        <f>IF(B92="","",SUMIFS('Input_APM (Zenith)'!N:N,'Input_APM (Zenith)'!L:L,Check!B92,'Input_APM (Zenith)'!M:M,Check!$F$1))</f>
        <v/>
      </c>
      <c r="L92" s="21" t="str">
        <f>IF(B92="","",SUMIFS('Input_APM (Zenith)'!N:N,'Input_APM (Zenith)'!L:L,Check!B92,'Input_APM (Zenith)'!M:M,Check!$G$1))</f>
        <v/>
      </c>
      <c r="M92" s="173" t="str">
        <f t="shared" si="20"/>
        <v/>
      </c>
      <c r="O92" t="s">
        <v>939</v>
      </c>
      <c r="P92" s="173">
        <f>IF(O92="","",IF(OR(LEFT(O92,4)="Cash",LEFT(O92,4)="Prov"),0,SUMIFS(Input_APM!N:N,Input_APM!L:L,Check!O92)))</f>
        <v>22373928</v>
      </c>
      <c r="Q92" s="21">
        <f>IF(O92="","",IF(LEN(O92)&gt;9,SUMIFS(Options!$H$3:$H$28,Options!$B$3:$B$28,Check!O92),SUMIFS('Master P&amp;L'!$H$11:$H$101,'Master P&amp;L'!$B$11:$B$101,Check!O92)))</f>
        <v>0</v>
      </c>
      <c r="R92" s="173">
        <f t="shared" si="10"/>
        <v>22373928</v>
      </c>
      <c r="S92" s="288" t="str">
        <f t="shared" si="11"/>
        <v>Erro</v>
      </c>
    </row>
    <row r="93" spans="2:19">
      <c r="B93"/>
      <c r="C93" s="187" t="str">
        <f>IF(B93="","",IF(LEN(B93)&gt;9,SUMIFS(Options!$H$3:$H$28,Options!$B$3:$B$28,Check!B93),SUMIFS('Master P&amp;L'!$H$11:$H$101,'Master P&amp;L'!$B$11:$B$101,Check!B93)))</f>
        <v/>
      </c>
      <c r="D93" s="187" t="str">
        <f>IF(B93="","",SUMIFS(Input_APM!N:N,Input_APM!L:L,Check!B93,Input_APM!M:M,Check!$F$1))</f>
        <v/>
      </c>
      <c r="E93" s="173" t="str">
        <f t="shared" si="17"/>
        <v/>
      </c>
      <c r="F93" s="187" t="str">
        <f>IF(B93="","",SUMIFS(Input_APM!N:N,Input_APM!M:M,Check!$F$1,Input_APM!L:L,Check!B93))</f>
        <v/>
      </c>
      <c r="G93" s="187" t="str">
        <f>IF(B93="","",SUMIFS(Input_APM!N:N,Input_APM!M:M,Check!$G$1,Input_APM!L:L,Check!B93))</f>
        <v/>
      </c>
      <c r="H93" s="173" t="str">
        <f t="shared" si="18"/>
        <v/>
      </c>
      <c r="I93" s="173">
        <f>SUMIFS(Input_APM!N:N,Input_APM!L:L,Check!B93)</f>
        <v>0</v>
      </c>
      <c r="J93" s="175" t="str">
        <f t="shared" si="19"/>
        <v/>
      </c>
      <c r="K93" s="21" t="str">
        <f>IF(B93="","",SUMIFS('Input_APM (Zenith)'!N:N,'Input_APM (Zenith)'!L:L,Check!B93,'Input_APM (Zenith)'!M:M,Check!$F$1))</f>
        <v/>
      </c>
      <c r="L93" s="21" t="str">
        <f>IF(B93="","",SUMIFS('Input_APM (Zenith)'!N:N,'Input_APM (Zenith)'!L:L,Check!B93,'Input_APM (Zenith)'!M:M,Check!$G$1))</f>
        <v/>
      </c>
      <c r="M93" s="173" t="str">
        <f t="shared" si="20"/>
        <v/>
      </c>
      <c r="O93" t="s">
        <v>44</v>
      </c>
      <c r="P93" s="173">
        <f>IF(O93="","",IF(OR(LEFT(O93,4)="Cash",LEFT(O93,4)="Prov"),0,SUMIFS(Input_APM!N:N,Input_APM!L:L,Check!O93)))</f>
        <v>-4697</v>
      </c>
      <c r="Q93" s="21">
        <f>IF(O93="","",IF(LEN(O93)&gt;9,SUMIFS(Options!$H$3:$H$28,Options!$B$3:$B$28,Check!O93),SUMIFS('Master P&amp;L'!$H$11:$H$101,'Master P&amp;L'!$B$11:$B$101,Check!O93)))</f>
        <v>-3360</v>
      </c>
      <c r="R93" s="173">
        <f t="shared" si="10"/>
        <v>-1337</v>
      </c>
      <c r="S93" s="288">
        <f t="shared" si="11"/>
        <v>1.3979166666666667</v>
      </c>
    </row>
    <row r="94" spans="2:19">
      <c r="B94"/>
      <c r="C94" s="187" t="str">
        <f>IF(B94="","",IF(LEN(B94)&gt;9,SUMIFS(Options!$H$3:$H$28,Options!$B$3:$B$28,Check!B94),SUMIFS('Master P&amp;L'!$H$11:$H$101,'Master P&amp;L'!$B$11:$B$101,Check!B94)))</f>
        <v/>
      </c>
      <c r="D94" s="187" t="str">
        <f>IF(B94="","",SUMIFS(Input_APM!N:N,Input_APM!L:L,Check!B94,Input_APM!M:M,Check!$F$1))</f>
        <v/>
      </c>
      <c r="E94" s="173" t="str">
        <f t="shared" si="17"/>
        <v/>
      </c>
      <c r="F94" s="187" t="str">
        <f>IF(B94="","",SUMIFS(Input_APM!N:N,Input_APM!M:M,Check!$F$1,Input_APM!L:L,Check!B94))</f>
        <v/>
      </c>
      <c r="G94" s="187" t="str">
        <f>IF(B94="","",SUMIFS(Input_APM!N:N,Input_APM!M:M,Check!$G$1,Input_APM!L:L,Check!B94))</f>
        <v/>
      </c>
      <c r="H94" s="173" t="str">
        <f t="shared" si="18"/>
        <v/>
      </c>
      <c r="I94" s="173">
        <f>SUMIFS(Input_APM!N:N,Input_APM!L:L,Check!B94)</f>
        <v>0</v>
      </c>
      <c r="J94" s="175" t="str">
        <f t="shared" si="19"/>
        <v/>
      </c>
      <c r="K94" s="21" t="str">
        <f>IF(B94="","",SUMIFS('Input_APM (Zenith)'!N:N,'Input_APM (Zenith)'!L:L,Check!B94,'Input_APM (Zenith)'!M:M,Check!$F$1))</f>
        <v/>
      </c>
      <c r="L94" s="21" t="str">
        <f>IF(B94="","",SUMIFS('Input_APM (Zenith)'!N:N,'Input_APM (Zenith)'!L:L,Check!B94,'Input_APM (Zenith)'!M:M,Check!$G$1))</f>
        <v/>
      </c>
      <c r="M94" s="173" t="str">
        <f t="shared" si="20"/>
        <v/>
      </c>
      <c r="O94" t="s">
        <v>820</v>
      </c>
      <c r="P94" s="173">
        <f>IF(O94="","",IF(OR(LEFT(O94,4)="Cash",LEFT(O94,4)="Prov"),0,SUMIFS(Input_APM!N:N,Input_APM!L:L,Check!O94)))</f>
        <v>1453</v>
      </c>
      <c r="Q94" s="21">
        <f>IF(O94="","",IF(LEN(O94)&gt;9,SUMIFS(Options!$H$3:$H$28,Options!$B$3:$B$28,Check!O94),SUMIFS('Master P&amp;L'!$H$11:$H$101,'Master P&amp;L'!$B$11:$B$101,Check!O94)))</f>
        <v>1550</v>
      </c>
      <c r="R94" s="173">
        <f t="shared" si="10"/>
        <v>-97</v>
      </c>
      <c r="S94" s="288">
        <f t="shared" si="11"/>
        <v>0.93741935483870964</v>
      </c>
    </row>
    <row r="95" spans="2:19">
      <c r="C95" s="187" t="str">
        <f>IF(B95="","",IF(LEN(B95)&gt;9,SUMIFS(Options!$H$3:$H$28,Options!$B$3:$B$28,Check!B95),SUMIFS('Master P&amp;L'!$H$11:$H$101,'Master P&amp;L'!$B$11:$B$101,Check!B95)))</f>
        <v/>
      </c>
      <c r="D95" s="187" t="str">
        <f>IF(B95="","",SUMIFS(Input_APM!N:N,Input_APM!L:L,Check!B95,Input_APM!M:M,Check!$F$1))</f>
        <v/>
      </c>
      <c r="E95" s="173" t="str">
        <f t="shared" si="17"/>
        <v/>
      </c>
      <c r="F95" s="187" t="str">
        <f>IF(B95="","",SUMIFS(Input_APM!N:N,Input_APM!M:M,Check!$F$1,Input_APM!L:L,Check!B95))</f>
        <v/>
      </c>
      <c r="G95" s="187" t="str">
        <f>IF(B95="","",SUMIFS(Input_APM!N:N,Input_APM!M:M,Check!$G$1,Input_APM!L:L,Check!B95))</f>
        <v/>
      </c>
      <c r="H95" s="173" t="str">
        <f t="shared" si="18"/>
        <v/>
      </c>
      <c r="I95" s="173">
        <f>SUMIFS(Input_APM!N:N,Input_APM!L:L,Check!B95)</f>
        <v>0</v>
      </c>
      <c r="J95" s="175" t="str">
        <f t="shared" si="19"/>
        <v/>
      </c>
      <c r="K95" s="21" t="str">
        <f>IF(B95="","",SUMIFS('Input_APM (Zenith)'!N:N,'Input_APM (Zenith)'!L:L,Check!B95,'Input_APM (Zenith)'!M:M,Check!$F$1))</f>
        <v/>
      </c>
      <c r="L95" s="21" t="str">
        <f>IF(B95="","",SUMIFS('Input_APM (Zenith)'!N:N,'Input_APM (Zenith)'!L:L,Check!B95,'Input_APM (Zenith)'!M:M,Check!$G$1))</f>
        <v/>
      </c>
      <c r="M95" s="173" t="str">
        <f t="shared" si="20"/>
        <v/>
      </c>
      <c r="O95" t="s">
        <v>821</v>
      </c>
      <c r="P95" s="173">
        <f>IF(O95="","",IF(OR(LEFT(O95,4)="Cash",LEFT(O95,4)="Prov"),0,SUMIFS(Input_APM!N:N,Input_APM!L:L,Check!O95)))</f>
        <v>-1195</v>
      </c>
      <c r="Q95" s="21">
        <f>IF(O95="","",IF(LEN(O95)&gt;9,SUMIFS(Options!$H$3:$H$28,Options!$B$3:$B$28,Check!O95),SUMIFS('Master P&amp;L'!$H$11:$H$101,'Master P&amp;L'!$B$11:$B$101,Check!O95)))</f>
        <v>-1275</v>
      </c>
      <c r="R95" s="173">
        <f t="shared" si="10"/>
        <v>80</v>
      </c>
      <c r="S95" s="288">
        <f t="shared" si="11"/>
        <v>0.93725490196078431</v>
      </c>
    </row>
    <row r="96" spans="2:19">
      <c r="C96" s="187" t="str">
        <f>IF(B96="","",IF(LEN(B96)&gt;9,SUMIFS(Options!$H$3:$H$28,Options!$B$3:$B$28,Check!B96),SUMIFS('Master P&amp;L'!$H$11:$H$101,'Master P&amp;L'!$B$11:$B$101,Check!B96)))</f>
        <v/>
      </c>
      <c r="D96" s="187" t="str">
        <f>IF(B96="","",SUMIFS(Input_APM!N:N,Input_APM!L:L,Check!B96,Input_APM!M:M,Check!$F$1))</f>
        <v/>
      </c>
      <c r="E96" s="173" t="str">
        <f>IF(B96="","",C96-M96)</f>
        <v/>
      </c>
      <c r="F96" s="187" t="str">
        <f>IF(B96="","",SUMIFS(Input_APM!N:N,Input_APM!M:M,Check!$F$1,Input_APM!L:L,Check!B96))</f>
        <v/>
      </c>
      <c r="G96" s="187" t="str">
        <f>IF(B96="","",SUMIFS(Input_APM!N:N,Input_APM!M:M,Check!$G$1,Input_APM!L:L,Check!B96))</f>
        <v/>
      </c>
      <c r="H96" s="173" t="str">
        <f>IF(B96="","",F96-G96)</f>
        <v/>
      </c>
      <c r="I96" s="173">
        <f>SUMIFS(Input_APM!N:N,Input_APM!L:L,Check!B96)</f>
        <v>0</v>
      </c>
      <c r="J96" s="175" t="str">
        <f>IF(B96="","",(F96+G96)-I96)</f>
        <v/>
      </c>
      <c r="K96" s="21" t="str">
        <f>IF(B96="","",SUMIFS('Input_APM (Zenith)'!N:N,'Input_APM (Zenith)'!L:L,Check!B96,'Input_APM (Zenith)'!M:M,Check!$F$1))</f>
        <v/>
      </c>
      <c r="L96" s="21" t="str">
        <f>IF(B96="","",SUMIFS('Input_APM (Zenith)'!N:N,'Input_APM (Zenith)'!L:L,Check!B96,'Input_APM (Zenith)'!M:M,Check!$G$1))</f>
        <v/>
      </c>
      <c r="M96" s="173" t="str">
        <f>IF(B96="","",F96+G96+K96+L96)</f>
        <v/>
      </c>
      <c r="O96" t="s">
        <v>974</v>
      </c>
      <c r="P96" s="173">
        <f>IF(O96="","",IF(OR(LEFT(O96,4)="Cash",LEFT(O96,4)="Prov"),0,SUMIFS(Input_APM!N:N,Input_APM!L:L,Check!O96)))</f>
        <v>50069</v>
      </c>
      <c r="Q96" s="21">
        <f>IF(O96="","",IF(LEN(O96)&gt;9,SUMIFS(Options!$H$3:$H$28,Options!$B$3:$B$28,Check!O96),SUMIFS('Master P&amp;L'!$H$11:$H$101,'Master P&amp;L'!$B$11:$B$101,Check!O96)))</f>
        <v>53300</v>
      </c>
      <c r="R96" s="173">
        <f t="shared" si="10"/>
        <v>-3231</v>
      </c>
      <c r="S96" s="288">
        <f t="shared" si="11"/>
        <v>0.93938086303939961</v>
      </c>
    </row>
    <row r="97" spans="1:19">
      <c r="C97" s="187" t="str">
        <f>IF(B97="","",IF(LEN(B97)&gt;9,SUMIFS(Options!$H$3:$H$28,Options!$B$3:$B$28,Check!B97),SUMIFS('Master P&amp;L'!$H$11:$H$101,'Master P&amp;L'!$B$11:$B$101,Check!B97)))</f>
        <v/>
      </c>
      <c r="D97" s="187" t="str">
        <f>IF(B97="","",SUMIFS(Input_APM!N:N,Input_APM!L:L,Check!B97,Input_APM!M:M,Check!$F$1))</f>
        <v/>
      </c>
      <c r="E97" s="173" t="str">
        <f>IF(B97="","",C97-M97)</f>
        <v/>
      </c>
      <c r="F97" s="187" t="str">
        <f>IF(B97="","",SUMIFS(Input_APM!N:N,Input_APM!M:M,Check!$F$1,Input_APM!L:L,Check!B97))</f>
        <v/>
      </c>
      <c r="G97" s="187" t="str">
        <f>IF(B97="","",SUMIFS(Input_APM!N:N,Input_APM!M:M,Check!$G$1,Input_APM!L:L,Check!B97))</f>
        <v/>
      </c>
      <c r="H97" s="173" t="str">
        <f>IF(B97="","",F97-G97)</f>
        <v/>
      </c>
      <c r="I97" s="173">
        <f>SUMIFS(Input_APM!N:N,Input_APM!L:L,Check!B97)</f>
        <v>0</v>
      </c>
      <c r="J97" s="175" t="str">
        <f>IF(B97="","",(F97+G97)-I97)</f>
        <v/>
      </c>
      <c r="K97" s="21" t="str">
        <f>IF(B97="","",SUMIFS('Input_APM (Zenith)'!N:N,'Input_APM (Zenith)'!L:L,Check!B97,'Input_APM (Zenith)'!M:M,Check!$F$1))</f>
        <v/>
      </c>
      <c r="L97" s="21" t="str">
        <f>IF(B97="","",SUMIFS('Input_APM (Zenith)'!N:N,'Input_APM (Zenith)'!L:L,Check!B97,'Input_APM (Zenith)'!M:M,Check!$G$1))</f>
        <v/>
      </c>
      <c r="M97" s="173" t="str">
        <f>IF(B97="","",F97+G97+K97+L97)</f>
        <v/>
      </c>
      <c r="O97" t="s">
        <v>36</v>
      </c>
      <c r="P97" s="173">
        <f>IF(O97="","",IF(OR(LEFT(O97,4)="Cash",LEFT(O97,4)="Prov"),0,SUMIFS(Input_APM!N:N,Input_APM!L:L,Check!O97)))</f>
        <v>21977</v>
      </c>
      <c r="Q97" s="21">
        <f>IF(O97="","",IF(LEN(O97)&gt;9,SUMIFS(Options!$H$3:$H$28,Options!$B$3:$B$28,Check!O97),SUMIFS('Master P&amp;L'!$H$11:$H$101,'Master P&amp;L'!$B$11:$B$101,Check!O97)))</f>
        <v>177</v>
      </c>
      <c r="R97" s="173">
        <f t="shared" si="10"/>
        <v>21800</v>
      </c>
      <c r="S97" s="288">
        <f t="shared" si="11"/>
        <v>124.16384180790961</v>
      </c>
    </row>
    <row r="98" spans="1:19">
      <c r="C98" s="187" t="str">
        <f>IF(B98="","",IF(LEN(B98)&gt;9,SUMIFS(Options!$H$3:$H$28,Options!$B$3:$B$28,Check!B98),SUMIFS('Master P&amp;L'!$H$11:$H$101,'Master P&amp;L'!$B$11:$B$101,Check!B98)))</f>
        <v/>
      </c>
      <c r="D98" s="187" t="str">
        <f>IF(B98="","",SUMIFS(Input_APM!N:N,Input_APM!L:L,Check!B98,Input_APM!M:M,Check!$F$1))</f>
        <v/>
      </c>
      <c r="E98" s="173" t="str">
        <f>IF(B98="","",C98-M98)</f>
        <v/>
      </c>
      <c r="F98" s="187" t="str">
        <f>IF(B98="","",SUMIFS(Input_APM!N:N,Input_APM!M:M,Check!$F$1,Input_APM!L:L,Check!B98))</f>
        <v/>
      </c>
      <c r="G98" s="187" t="str">
        <f>IF(B98="","",SUMIFS(Input_APM!N:N,Input_APM!M:M,Check!$G$1,Input_APM!L:L,Check!B98))</f>
        <v/>
      </c>
      <c r="H98" s="173" t="str">
        <f>IF(B98="","",F98-G98)</f>
        <v/>
      </c>
      <c r="I98" s="173">
        <f>SUMIFS(Input_APM!N:N,Input_APM!L:L,Check!B98)</f>
        <v>0</v>
      </c>
      <c r="J98" s="175" t="str">
        <f>IF(B98="","",(F98+G98)-I98)</f>
        <v/>
      </c>
      <c r="K98" s="21" t="str">
        <f>IF(B98="","",SUMIFS('Input_APM (Zenith)'!N:N,'Input_APM (Zenith)'!L:L,Check!B98,'Input_APM (Zenith)'!M:M,Check!$F$1))</f>
        <v/>
      </c>
      <c r="L98" s="21" t="str">
        <f>IF(B98="","",SUMIFS('Input_APM (Zenith)'!N:N,'Input_APM (Zenith)'!L:L,Check!B98,'Input_APM (Zenith)'!M:M,Check!$G$1))</f>
        <v/>
      </c>
      <c r="M98" s="173" t="str">
        <f>IF(B98="","",F98+G98+K98+L98)</f>
        <v/>
      </c>
      <c r="O98" t="s">
        <v>4</v>
      </c>
      <c r="P98" s="173">
        <f>IF(O98="","",IF(OR(LEFT(O98,4)="Cash",LEFT(O98,4)="Prov"),0,SUMIFS(Input_APM!N:N,Input_APM!L:L,Check!O98)))</f>
        <v>-25765</v>
      </c>
      <c r="Q98" s="21">
        <f>IF(O98="","",IF(LEN(O98)&gt;9,SUMIFS(Options!$H$3:$H$28,Options!$B$3:$B$28,Check!O98),SUMIFS('Master P&amp;L'!$H$11:$H$101,'Master P&amp;L'!$B$11:$B$101,Check!O98)))</f>
        <v>-9022</v>
      </c>
      <c r="R98" s="173">
        <f t="shared" si="10"/>
        <v>-16743</v>
      </c>
      <c r="S98" s="288">
        <f t="shared" si="11"/>
        <v>2.8557969408113499</v>
      </c>
    </row>
    <row r="99" spans="1:19">
      <c r="C99" s="187" t="str">
        <f>IF(B99="","",IF(LEN(B99)&gt;9,SUMIFS(Options!$H$3:$H$28,Options!$B$3:$B$28,Check!B99),SUMIFS('Master P&amp;L'!$H$11:$H$101,'Master P&amp;L'!$B$11:$B$101,Check!B99)))</f>
        <v/>
      </c>
      <c r="D99" s="187" t="str">
        <f>IF(B99="","",SUMIFS(Input_APM!N:N,Input_APM!L:L,Check!B99,Input_APM!M:M,Check!$F$1))</f>
        <v/>
      </c>
      <c r="E99" s="173" t="str">
        <f t="shared" ref="E99:E113" si="21">IF(B99="","",C99-M99)</f>
        <v/>
      </c>
      <c r="F99" s="187" t="str">
        <f>IF(B99="","",SUMIFS(Input_APM!N:N,Input_APM!M:M,Check!$F$1,Input_APM!L:L,Check!B99))</f>
        <v/>
      </c>
      <c r="G99" s="187" t="str">
        <f>IF(B99="","",SUMIFS(Input_APM!N:N,Input_APM!M:M,Check!$G$1,Input_APM!L:L,Check!B99))</f>
        <v/>
      </c>
      <c r="H99" s="173" t="str">
        <f t="shared" ref="H99:H113" si="22">IF(B99="","",F99-G99)</f>
        <v/>
      </c>
      <c r="I99" s="173">
        <f>SUMIFS(Input_APM!N:N,Input_APM!L:L,Check!B99)</f>
        <v>0</v>
      </c>
      <c r="J99" s="175" t="str">
        <f t="shared" ref="J99:J113" si="23">IF(B99="","",(F99+G99)-I99)</f>
        <v/>
      </c>
      <c r="K99" s="21" t="str">
        <f>IF(B99="","",SUMIFS('Input_APM (Zenith)'!N:N,'Input_APM (Zenith)'!L:L,Check!B99,'Input_APM (Zenith)'!M:M,Check!$F$1))</f>
        <v/>
      </c>
      <c r="L99" s="21" t="str">
        <f>IF(B99="","",SUMIFS('Input_APM (Zenith)'!N:N,'Input_APM (Zenith)'!L:L,Check!B99,'Input_APM (Zenith)'!M:M,Check!$G$1))</f>
        <v/>
      </c>
      <c r="M99" s="173" t="str">
        <f t="shared" ref="M99:M113" si="24">IF(B99="","",F99+G99+K99+L99)</f>
        <v/>
      </c>
      <c r="O99" t="s">
        <v>237</v>
      </c>
      <c r="P99" s="173" t="str">
        <f>IF(O99="","",IF(OR(LEFT(O99,4)="Cash",LEFT(O99,4)="Prov"),0,SUMIFS(Input_APM!N:N,Input_APM!L:L,Check!O99)))</f>
        <v/>
      </c>
      <c r="Q99" s="21" t="str">
        <f>IF(O99="","",IF(LEN(O99)&gt;9,SUMIFS(Options!$H$3:$H$28,Options!$B$3:$B$28,Check!O99),SUMIFS('Master P&amp;L'!$H$11:$H$101,'Master P&amp;L'!$B$11:$B$101,Check!O99)))</f>
        <v/>
      </c>
      <c r="R99" s="173" t="str">
        <f t="shared" si="10"/>
        <v/>
      </c>
      <c r="S99" s="288" t="str">
        <f t="shared" si="11"/>
        <v/>
      </c>
    </row>
    <row r="100" spans="1:19">
      <c r="C100" s="187" t="str">
        <f>IF(B100="","",IF(LEN(B100)&gt;9,SUMIFS(Options!$H$3:$H$28,Options!$B$3:$B$28,Check!B100),SUMIFS('Master P&amp;L'!$H$11:$H$101,'Master P&amp;L'!$B$11:$B$101,Check!B100)))</f>
        <v/>
      </c>
      <c r="D100" s="187" t="str">
        <f>IF(B100="","",SUMIFS(Input_APM!N:N,Input_APM!L:L,Check!B100,Input_APM!M:M,Check!$F$1))</f>
        <v/>
      </c>
      <c r="E100" s="173" t="str">
        <f>IF(B100="","",C100-M100)</f>
        <v/>
      </c>
      <c r="F100" s="187" t="str">
        <f>IF(B100="","",SUMIFS(Input_APM!N:N,Input_APM!M:M,Check!$F$1,Input_APM!L:L,Check!B100))</f>
        <v/>
      </c>
      <c r="G100" s="187" t="str">
        <f>IF(B100="","",SUMIFS(Input_APM!N:N,Input_APM!M:M,Check!$G$1,Input_APM!L:L,Check!B100))</f>
        <v/>
      </c>
      <c r="H100" s="173" t="str">
        <f t="shared" si="22"/>
        <v/>
      </c>
      <c r="I100" s="173">
        <f>SUMIFS(Input_APM!N:N,Input_APM!L:L,Check!B100)</f>
        <v>0</v>
      </c>
      <c r="J100" s="175" t="str">
        <f t="shared" si="23"/>
        <v/>
      </c>
      <c r="K100" s="21" t="str">
        <f>IF(B100="","",SUMIFS('Input_APM (Zenith)'!N:N,'Input_APM (Zenith)'!L:L,Check!B100,'Input_APM (Zenith)'!M:M,Check!$F$1))</f>
        <v/>
      </c>
      <c r="L100" s="21" t="str">
        <f>IF(B100="","",SUMIFS('Input_APM (Zenith)'!N:N,'Input_APM (Zenith)'!L:L,Check!B100,'Input_APM (Zenith)'!M:M,Check!$G$1))</f>
        <v/>
      </c>
      <c r="M100" s="173" t="str">
        <f t="shared" si="24"/>
        <v/>
      </c>
      <c r="O100"/>
      <c r="P100" s="173" t="str">
        <f>IF(O100="","",IF(OR(LEFT(O100,4)="Cash",LEFT(O100,4)="Prov"),0,SUMIFS(Input_APM!N:N,Input_APM!L:L,Check!O100)))</f>
        <v/>
      </c>
      <c r="Q100" s="21" t="str">
        <f>IF(O100="","",IF(LEN(O100)&gt;9,SUMIFS(Options!$H$3:$H$28,Options!$B$3:$B$28,Check!O100),SUMIFS('Master P&amp;L'!$H$11:$H$101,'Master P&amp;L'!$B$11:$B$101,Check!O100)))</f>
        <v/>
      </c>
      <c r="R100" s="173" t="str">
        <f t="shared" ref="R100:R107" si="25">IF(O100="","",P100-Q100)</f>
        <v/>
      </c>
      <c r="S100" s="288" t="str">
        <f t="shared" si="11"/>
        <v/>
      </c>
    </row>
    <row r="101" spans="1:19">
      <c r="C101" s="187" t="str">
        <f>IF(B101="","",IF(LEN(B101)&gt;9,SUMIFS(Options!$H$3:$H$28,Options!$B$3:$B$28,Check!B101),SUMIFS('Master P&amp;L'!$H$11:$H$101,'Master P&amp;L'!$B$11:$B$101,Check!B101)))</f>
        <v/>
      </c>
      <c r="D101" s="187" t="str">
        <f>IF(B101="","",SUMIFS(Input_APM!N:N,Input_APM!L:L,Check!B101,Input_APM!M:M,Check!$F$1))</f>
        <v/>
      </c>
      <c r="E101" s="173" t="str">
        <f t="shared" si="21"/>
        <v/>
      </c>
      <c r="F101" s="187" t="str">
        <f>IF(B101="","",SUMIFS(Input_APM!N:N,Input_APM!M:M,Check!$F$1,Input_APM!L:L,Check!B101))</f>
        <v/>
      </c>
      <c r="G101" s="187" t="str">
        <f>IF(B101="","",SUMIFS(Input_APM!N:N,Input_APM!M:M,Check!$G$1,Input_APM!L:L,Check!B101))</f>
        <v/>
      </c>
      <c r="H101" s="173" t="str">
        <f t="shared" si="22"/>
        <v/>
      </c>
      <c r="I101" s="173">
        <f>SUMIFS(Input_APM!N:N,Input_APM!L:L,Check!B101)</f>
        <v>0</v>
      </c>
      <c r="J101" s="175" t="str">
        <f t="shared" si="23"/>
        <v/>
      </c>
      <c r="K101" s="21" t="str">
        <f>IF(B101="","",SUMIFS('Input_APM (Zenith)'!N:N,'Input_APM (Zenith)'!L:L,Check!B101,'Input_APM (Zenith)'!M:M,Check!$F$1))</f>
        <v/>
      </c>
      <c r="L101" s="21" t="str">
        <f>IF(B101="","",SUMIFS('Input_APM (Zenith)'!N:N,'Input_APM (Zenith)'!L:L,Check!B101,'Input_APM (Zenith)'!M:M,Check!$G$1))</f>
        <v/>
      </c>
      <c r="M101" s="173" t="str">
        <f t="shared" si="24"/>
        <v/>
      </c>
      <c r="O101"/>
      <c r="P101" s="173" t="str">
        <f>IF(O101="","",IF(OR(LEFT(O101,4)="Cash",LEFT(O101,4)="Prov"),0,SUMIFS(Input_APM!N:N,Input_APM!L:L,Check!O101)))</f>
        <v/>
      </c>
      <c r="Q101" s="21" t="str">
        <f>IF(O101="","",IF(LEN(O101)&gt;9,SUMIFS(Options!$H$3:$H$28,Options!$B$3:$B$28,Check!O101),SUMIFS('Master P&amp;L'!$H$11:$H$101,'Master P&amp;L'!$B$11:$B$101,Check!O101)))</f>
        <v/>
      </c>
      <c r="R101" s="173" t="str">
        <f t="shared" si="25"/>
        <v/>
      </c>
      <c r="S101" s="288" t="str">
        <f t="shared" si="11"/>
        <v/>
      </c>
    </row>
    <row r="102" spans="1:19">
      <c r="C102" s="187" t="str">
        <f>IF(B102="","",IF(LEN(B102)&gt;9,SUMIFS(Options!$H$3:$H$28,Options!$B$3:$B$28,Check!B102),SUMIFS('Master P&amp;L'!$H$11:$H$101,'Master P&amp;L'!$B$11:$B$101,Check!B102)))</f>
        <v/>
      </c>
      <c r="D102" s="187" t="str">
        <f>IF(B102="","",SUMIFS(Input_APM!N:N,Input_APM!L:L,Check!B102,Input_APM!M:M,Check!$F$1))</f>
        <v/>
      </c>
      <c r="E102" s="173" t="str">
        <f t="shared" si="21"/>
        <v/>
      </c>
      <c r="F102" s="187" t="str">
        <f>IF(B102="","",SUMIFS(Input_APM!N:N,Input_APM!M:M,Check!$F$1,Input_APM!L:L,Check!B102))</f>
        <v/>
      </c>
      <c r="G102" s="187" t="str">
        <f>IF(B102="","",SUMIFS(Input_APM!N:N,Input_APM!M:M,Check!$G$1,Input_APM!L:L,Check!B102))</f>
        <v/>
      </c>
      <c r="H102" s="173" t="str">
        <f t="shared" si="22"/>
        <v/>
      </c>
      <c r="I102" s="173">
        <f>SUMIFS(Input_APM!N:N,Input_APM!L:L,Check!B102)</f>
        <v>0</v>
      </c>
      <c r="J102" s="175" t="str">
        <f t="shared" si="23"/>
        <v/>
      </c>
      <c r="K102" s="21" t="str">
        <f>IF(B102="","",SUMIFS('Input_APM (Zenith)'!N:N,'Input_APM (Zenith)'!L:L,Check!B102,'Input_APM (Zenith)'!M:M,Check!$F$1))</f>
        <v/>
      </c>
      <c r="L102" s="21" t="str">
        <f>IF(B102="","",SUMIFS('Input_APM (Zenith)'!N:N,'Input_APM (Zenith)'!L:L,Check!B102,'Input_APM (Zenith)'!M:M,Check!$G$1))</f>
        <v/>
      </c>
      <c r="M102" s="173" t="str">
        <f t="shared" si="24"/>
        <v/>
      </c>
      <c r="O102"/>
      <c r="P102" s="173" t="str">
        <f>IF(O102="","",IF(OR(LEFT(O102,4)="Cash",LEFT(O102,4)="Prov"),0,SUMIFS(Input_APM!N:N,Input_APM!L:L,Check!O102)))</f>
        <v/>
      </c>
      <c r="Q102" s="21" t="str">
        <f>IF(O102="","",IF(LEN(O102)&gt;9,SUMIFS(Options!$H$3:$H$28,Options!$B$3:$B$28,Check!O102),SUMIFS('Master P&amp;L'!$H$11:$H$101,'Master P&amp;L'!$B$11:$B$101,Check!O102)))</f>
        <v/>
      </c>
      <c r="R102" s="173" t="str">
        <f t="shared" si="25"/>
        <v/>
      </c>
      <c r="S102" s="288" t="str">
        <f t="shared" si="11"/>
        <v/>
      </c>
    </row>
    <row r="103" spans="1:19">
      <c r="C103" s="187" t="str">
        <f>IF(B103="","",IF(LEN(B103)&gt;9,SUMIFS(Options!$H$3:$H$28,Options!$B$3:$B$28,Check!B103),SUMIFS('Master P&amp;L'!$H$11:$H$101,'Master P&amp;L'!$B$11:$B$101,Check!B103)))</f>
        <v/>
      </c>
      <c r="D103" s="187" t="str">
        <f>IF(B103="","",SUMIFS(Input_APM!N:N,Input_APM!L:L,Check!B103,Input_APM!M:M,Check!$F$1))</f>
        <v/>
      </c>
      <c r="E103" s="173" t="str">
        <f t="shared" si="21"/>
        <v/>
      </c>
      <c r="F103" s="187" t="str">
        <f>IF(B103="","",SUMIFS(Input_APM!N:N,Input_APM!M:M,Check!$F$1,Input_APM!L:L,Check!B103))</f>
        <v/>
      </c>
      <c r="G103" s="187" t="str">
        <f>IF(B103="","",SUMIFS(Input_APM!N:N,Input_APM!M:M,Check!$G$1,Input_APM!L:L,Check!B103))</f>
        <v/>
      </c>
      <c r="H103" s="173" t="str">
        <f t="shared" si="22"/>
        <v/>
      </c>
      <c r="I103" s="173">
        <f>SUMIFS(Input_APM!N:N,Input_APM!L:L,Check!B103)</f>
        <v>0</v>
      </c>
      <c r="J103" s="175" t="str">
        <f t="shared" si="23"/>
        <v/>
      </c>
      <c r="K103" s="21" t="str">
        <f>IF(B103="","",SUMIFS('Input_APM (Zenith)'!N:N,'Input_APM (Zenith)'!L:L,Check!B103,'Input_APM (Zenith)'!M:M,Check!$F$1))</f>
        <v/>
      </c>
      <c r="L103" s="21" t="str">
        <f>IF(B103="","",SUMIFS('Input_APM (Zenith)'!N:N,'Input_APM (Zenith)'!L:L,Check!B103,'Input_APM (Zenith)'!M:M,Check!$G$1))</f>
        <v/>
      </c>
      <c r="M103" s="173" t="str">
        <f t="shared" si="24"/>
        <v/>
      </c>
      <c r="O103"/>
      <c r="P103" s="173" t="str">
        <f>IF(O103="","",IF(OR(LEFT(O103,4)="Cash",LEFT(O103,4)="Prov"),0,SUMIFS(Input_APM!N:N,Input_APM!L:L,Check!O103)))</f>
        <v/>
      </c>
      <c r="Q103" s="21" t="str">
        <f>IF(O103="","",IF(LEN(O103)&gt;9,SUMIFS(Options!$H$3:$H$28,Options!$B$3:$B$28,Check!O103),SUMIFS('Master P&amp;L'!$H$11:$H$101,'Master P&amp;L'!$B$11:$B$101,Check!O103)))</f>
        <v/>
      </c>
      <c r="R103" s="173" t="str">
        <f t="shared" si="25"/>
        <v/>
      </c>
      <c r="S103" s="288" t="str">
        <f t="shared" si="11"/>
        <v/>
      </c>
    </row>
    <row r="104" spans="1:19">
      <c r="C104" s="187" t="str">
        <f>IF(B104="","",IF(LEN(B104)&gt;9,SUMIFS(Options!$H$3:$H$28,Options!$B$3:$B$28,Check!B104),SUMIFS('Master P&amp;L'!$H$11:$H$101,'Master P&amp;L'!$B$11:$B$101,Check!B104)))</f>
        <v/>
      </c>
      <c r="D104" s="187" t="str">
        <f>IF(B104="","",SUMIFS(Input_APM!N:N,Input_APM!L:L,Check!B104,Input_APM!M:M,Check!$F$1))</f>
        <v/>
      </c>
      <c r="E104" s="173" t="str">
        <f t="shared" si="21"/>
        <v/>
      </c>
      <c r="F104" s="187" t="str">
        <f>IF(B104="","",SUMIFS(Input_APM!N:N,Input_APM!M:M,Check!$F$1,Input_APM!L:L,Check!B104))</f>
        <v/>
      </c>
      <c r="G104" s="187" t="str">
        <f>IF(B104="","",SUMIFS(Input_APM!N:N,Input_APM!M:M,Check!$G$1,Input_APM!L:L,Check!B104))</f>
        <v/>
      </c>
      <c r="H104" s="173" t="str">
        <f t="shared" si="22"/>
        <v/>
      </c>
      <c r="I104" s="173">
        <f>SUMIFS(Input_APM!N:N,Input_APM!L:L,Check!B104)</f>
        <v>0</v>
      </c>
      <c r="J104" s="175" t="str">
        <f t="shared" si="23"/>
        <v/>
      </c>
      <c r="K104" s="21" t="str">
        <f>IF(B104="","",SUMIFS('Input_APM (Zenith)'!N:N,'Input_APM (Zenith)'!L:L,Check!B104,'Input_APM (Zenith)'!M:M,Check!$F$1))</f>
        <v/>
      </c>
      <c r="L104" s="21" t="str">
        <f>IF(B104="","",SUMIFS('Input_APM (Zenith)'!N:N,'Input_APM (Zenith)'!L:L,Check!B104,'Input_APM (Zenith)'!M:M,Check!$G$1))</f>
        <v/>
      </c>
      <c r="M104" s="173" t="str">
        <f t="shared" si="24"/>
        <v/>
      </c>
      <c r="O104"/>
      <c r="P104" s="173" t="str">
        <f>IF(O104="","",IF(OR(LEFT(O104,4)="Cash",LEFT(O104,4)="Prov"),0,SUMIFS(Input_APM!N:N,Input_APM!L:L,Check!O104)))</f>
        <v/>
      </c>
      <c r="Q104" s="21" t="str">
        <f>IF(O104="","",IF(LEN(O104)&gt;9,SUMIFS(Options!$H$3:$H$28,Options!$B$3:$B$28,Check!O104),SUMIFS('Master P&amp;L'!$H$11:$H$101,'Master P&amp;L'!$B$11:$B$101,Check!O104)))</f>
        <v/>
      </c>
      <c r="R104" s="173" t="str">
        <f t="shared" si="25"/>
        <v/>
      </c>
      <c r="S104" s="288" t="str">
        <f t="shared" si="11"/>
        <v/>
      </c>
    </row>
    <row r="105" spans="1:19">
      <c r="A105" t="s">
        <v>441</v>
      </c>
      <c r="C105" s="187" t="str">
        <f>IF(B105="","",IF(LEN(B105)&gt;9,SUMIFS(Options!$H$3:$H$28,Options!$B$3:$B$28,Check!B105),SUMIFS('Master P&amp;L'!$H$11:$H$101,'Master P&amp;L'!$B$11:$B$101,Check!B105)))</f>
        <v/>
      </c>
      <c r="D105" s="187" t="str">
        <f>IF(B105="","",SUMIFS(Input_APM!N:N,Input_APM!L:L,Check!B105,Input_APM!M:M,Check!$F$1))</f>
        <v/>
      </c>
      <c r="E105" s="173" t="str">
        <f t="shared" si="21"/>
        <v/>
      </c>
      <c r="F105" s="187" t="str">
        <f>IF(B105="","",SUMIFS(Input_APM!N:N,Input_APM!M:M,Check!$F$1,Input_APM!L:L,Check!B105))</f>
        <v/>
      </c>
      <c r="G105" s="187" t="str">
        <f>IF(B105="","",SUMIFS(Input_APM!N:N,Input_APM!M:M,Check!$G$1,Input_APM!L:L,Check!B105))</f>
        <v/>
      </c>
      <c r="H105" s="173" t="str">
        <f t="shared" si="22"/>
        <v/>
      </c>
      <c r="I105" s="173">
        <f>SUMIFS(Input_APM!N:N,Input_APM!L:L,Check!B105)</f>
        <v>0</v>
      </c>
      <c r="J105" s="175" t="str">
        <f t="shared" si="23"/>
        <v/>
      </c>
      <c r="K105" s="21" t="str">
        <f>IF(B105="","",SUMIFS('Input_APM (Zenith)'!N:N,'Input_APM (Zenith)'!L:L,Check!B105,'Input_APM (Zenith)'!M:M,Check!$F$1))</f>
        <v/>
      </c>
      <c r="L105" s="21" t="str">
        <f>IF(B105="","",SUMIFS('Input_APM (Zenith)'!N:N,'Input_APM (Zenith)'!L:L,Check!B105,'Input_APM (Zenith)'!M:M,Check!$G$1))</f>
        <v/>
      </c>
      <c r="M105" s="173" t="str">
        <f t="shared" si="24"/>
        <v/>
      </c>
      <c r="O105"/>
      <c r="P105" s="173" t="str">
        <f>IF(O105="","",IF(OR(LEFT(O105,4)="Cash",LEFT(O105,4)="Prov"),0,SUMIFS(Input_APM!N:N,Input_APM!L:L,Check!O105)))</f>
        <v/>
      </c>
      <c r="Q105" s="21" t="str">
        <f>IF(O105="","",IF(LEN(O105)&gt;9,SUMIFS(Options!$H$3:$H$28,Options!$B$3:$B$28,Check!O105),SUMIFS('Master P&amp;L'!$H$11:$H$101,'Master P&amp;L'!$B$11:$B$101,Check!O105)))</f>
        <v/>
      </c>
      <c r="R105" s="173" t="str">
        <f t="shared" si="25"/>
        <v/>
      </c>
      <c r="S105" s="288" t="str">
        <f t="shared" si="11"/>
        <v/>
      </c>
    </row>
    <row r="106" spans="1:19">
      <c r="C106" s="187" t="str">
        <f>IF(B106="","",IF(LEN(B106)&gt;9,SUMIFS(Options!$H$3:$H$28,Options!$B$3:$B$28,Check!B106),SUMIFS('Master P&amp;L'!$H$11:$H$101,'Master P&amp;L'!$B$11:$B$101,Check!B106)))</f>
        <v/>
      </c>
      <c r="D106" s="187" t="str">
        <f>IF(B106="","",SUMIFS(Input_APM!N:N,Input_APM!L:L,Check!B106,Input_APM!M:M,Check!$F$1))</f>
        <v/>
      </c>
      <c r="E106" s="173" t="str">
        <f t="shared" si="21"/>
        <v/>
      </c>
      <c r="F106" s="187" t="str">
        <f>IF(B106="","",SUMIFS(Input_APM!N:N,Input_APM!M:M,Check!$F$1,Input_APM!L:L,Check!B106))</f>
        <v/>
      </c>
      <c r="G106" s="187" t="str">
        <f>IF(B106="","",SUMIFS(Input_APM!N:N,Input_APM!M:M,Check!$G$1,Input_APM!L:L,Check!B106))</f>
        <v/>
      </c>
      <c r="H106" s="173" t="str">
        <f t="shared" si="22"/>
        <v/>
      </c>
      <c r="I106" s="173">
        <f>SUMIFS(Input_APM!N:N,Input_APM!L:L,Check!B106)</f>
        <v>0</v>
      </c>
      <c r="J106" s="175" t="str">
        <f t="shared" si="23"/>
        <v/>
      </c>
      <c r="K106" s="21" t="str">
        <f>IF(B106="","",SUMIFS('Input_APM (Zenith)'!N:N,'Input_APM (Zenith)'!L:L,Check!B106,'Input_APM (Zenith)'!M:M,Check!$F$1))</f>
        <v/>
      </c>
      <c r="L106" s="21" t="str">
        <f>IF(B106="","",SUMIFS('Input_APM (Zenith)'!N:N,'Input_APM (Zenith)'!L:L,Check!B106,'Input_APM (Zenith)'!M:M,Check!$G$1))</f>
        <v/>
      </c>
      <c r="M106" s="173" t="str">
        <f t="shared" si="24"/>
        <v/>
      </c>
      <c r="O106"/>
      <c r="P106" s="173" t="str">
        <f>IF(O106="","",IF(OR(LEFT(O106,4)="Cash",LEFT(O106,4)="Prov"),0,SUMIFS(Input_APM!N:N,Input_APM!L:L,Check!O106)))</f>
        <v/>
      </c>
      <c r="Q106" s="21" t="str">
        <f>IF(O106="","",IF(LEN(O106)&gt;9,SUMIFS(Options!$H$3:$H$28,Options!$B$3:$B$28,Check!O106),SUMIFS('Master P&amp;L'!$H$11:$H$101,'Master P&amp;L'!$B$11:$B$101,Check!O106)))</f>
        <v/>
      </c>
      <c r="R106" s="173" t="str">
        <f t="shared" si="25"/>
        <v/>
      </c>
      <c r="S106" s="288" t="str">
        <f t="shared" si="11"/>
        <v/>
      </c>
    </row>
    <row r="107" spans="1:19">
      <c r="C107" s="187" t="str">
        <f>IF(B107="","",IF(LEN(B107)&gt;9,SUMIFS(Options!$H$3:$H$28,Options!$B$3:$B$28,Check!B107),SUMIFS('Master P&amp;L'!$H$11:$H$101,'Master P&amp;L'!$B$11:$B$101,Check!B107)))</f>
        <v/>
      </c>
      <c r="D107" s="187" t="str">
        <f>IF(B107="","",SUMIFS(Input_APM!N:N,Input_APM!L:L,Check!B107,Input_APM!M:M,Check!$F$1))</f>
        <v/>
      </c>
      <c r="E107" s="173" t="str">
        <f t="shared" si="21"/>
        <v/>
      </c>
      <c r="F107" s="187" t="str">
        <f>IF(B107="","",SUMIFS(Input_APM!N:N,Input_APM!M:M,Check!$F$1,Input_APM!L:L,Check!B107))</f>
        <v/>
      </c>
      <c r="G107" s="187" t="str">
        <f>IF(B107="","",SUMIFS(Input_APM!N:N,Input_APM!M:M,Check!$G$1,Input_APM!L:L,Check!B107))</f>
        <v/>
      </c>
      <c r="H107" s="173" t="str">
        <f t="shared" si="22"/>
        <v/>
      </c>
      <c r="I107" s="173">
        <f>SUMIFS(Input_APM!N:N,Input_APM!L:L,Check!B107)</f>
        <v>0</v>
      </c>
      <c r="J107" s="175" t="str">
        <f t="shared" si="23"/>
        <v/>
      </c>
      <c r="K107" s="21" t="str">
        <f>IF(B107="","",SUMIFS('Input_APM (Zenith)'!N:N,'Input_APM (Zenith)'!L:L,Check!B107,'Input_APM (Zenith)'!M:M,Check!$F$1))</f>
        <v/>
      </c>
      <c r="L107" s="21" t="str">
        <f>IF(B107="","",SUMIFS('Input_APM (Zenith)'!N:N,'Input_APM (Zenith)'!L:L,Check!B107,'Input_APM (Zenith)'!M:M,Check!$G$1))</f>
        <v/>
      </c>
      <c r="M107" s="173" t="str">
        <f t="shared" si="24"/>
        <v/>
      </c>
      <c r="O107"/>
      <c r="P107" s="173" t="str">
        <f>IF(O107="","",IF(OR(LEFT(O107,4)="Cash",LEFT(O107,4)="Prov"),0,SUMIFS(Input_APM!N:N,Input_APM!L:L,Check!O107)))</f>
        <v/>
      </c>
      <c r="Q107" s="21" t="str">
        <f>IF(O107="","",IF(LEN(O107)&gt;9,SUMIFS(Options!$H$3:$H$28,Options!$B$3:$B$28,Check!O107),SUMIFS('Master P&amp;L'!$H$11:$H$101,'Master P&amp;L'!$B$11:$B$101,Check!O107)))</f>
        <v/>
      </c>
      <c r="R107" s="173" t="str">
        <f t="shared" si="25"/>
        <v/>
      </c>
      <c r="S107" s="288" t="str">
        <f t="shared" si="11"/>
        <v/>
      </c>
    </row>
    <row r="108" spans="1:19">
      <c r="C108" s="187" t="str">
        <f>IF(B108="","",IF(LEN(B108)&gt;9,SUMIFS(Options!$H$3:$H$28,Options!$B$3:$B$28,Check!B108),SUMIFS('Master P&amp;L'!$H$11:$H$101,'Master P&amp;L'!$B$11:$B$101,Check!B108)))</f>
        <v/>
      </c>
      <c r="D108" s="187" t="str">
        <f>IF(B108="","",SUMIFS(Input_APM!N:N,Input_APM!L:L,Check!B108,Input_APM!M:M,Check!$F$1))</f>
        <v/>
      </c>
      <c r="E108" s="173" t="str">
        <f>IF(B108="","",C108-M108)</f>
        <v/>
      </c>
      <c r="F108" s="187" t="str">
        <f>IF(B108="","",SUMIFS(Input_APM!N:N,Input_APM!M:M,Check!$F$1,Input_APM!L:L,Check!B108))</f>
        <v/>
      </c>
      <c r="G108" s="187" t="str">
        <f>IF(B108="","",SUMIFS(Input_APM!N:N,Input_APM!M:M,Check!$G$1,Input_APM!L:L,Check!B108))</f>
        <v/>
      </c>
      <c r="H108" s="173" t="str">
        <f t="shared" si="22"/>
        <v/>
      </c>
      <c r="I108" s="173">
        <f>SUMIFS(Input_APM!N:N,Input_APM!L:L,Check!B108)</f>
        <v>0</v>
      </c>
      <c r="J108" s="175" t="str">
        <f t="shared" si="23"/>
        <v/>
      </c>
      <c r="K108" s="21" t="str">
        <f>IF(B108="","",SUMIFS('Input_APM (Zenith)'!N:N,'Input_APM (Zenith)'!L:L,Check!B108,'Input_APM (Zenith)'!M:M,Check!$F$1))</f>
        <v/>
      </c>
      <c r="L108" s="21" t="str">
        <f>IF(B108="","",SUMIFS('Input_APM (Zenith)'!N:N,'Input_APM (Zenith)'!L:L,Check!B108,'Input_APM (Zenith)'!M:M,Check!$G$1))</f>
        <v/>
      </c>
      <c r="M108" s="173" t="str">
        <f t="shared" si="24"/>
        <v/>
      </c>
      <c r="O108"/>
      <c r="P108" s="173" t="str">
        <f>IF(O108="","",IF(OR(LEFT(O108,4)="Cash",LEFT(O108,4)="Prov"),0,SUMIFS(Input_APM!N:N,Input_APM!L:L,Check!O108)))</f>
        <v/>
      </c>
      <c r="Q108" s="21" t="str">
        <f>IF(O108="","",IF(LEN(O108)&gt;9,SUMIFS(Options!$H$3:$H$28,Options!$B$3:$B$28,Check!O108),SUMIFS('Master P&amp;L'!$H$11:$H$101,'Master P&amp;L'!$B$11:$B$101,Check!O108)))</f>
        <v/>
      </c>
      <c r="R108" s="173" t="str">
        <f t="shared" ref="R108:R113" si="26">IF(O108="","",P108-Q108)</f>
        <v/>
      </c>
      <c r="S108" s="288" t="str">
        <f t="shared" si="11"/>
        <v/>
      </c>
    </row>
    <row r="109" spans="1:19">
      <c r="C109" s="187" t="str">
        <f>IF(B109="","",IF(LEN(B109)&gt;9,SUMIFS(Options!$H$3:$H$28,Options!$B$3:$B$28,Check!B109),SUMIFS('Master P&amp;L'!$H$11:$H$101,'Master P&amp;L'!$B$11:$B$101,Check!B109)))</f>
        <v/>
      </c>
      <c r="D109" s="187" t="str">
        <f>IF(B109="","",SUMIFS(Input_APM!N:N,Input_APM!L:L,Check!B109,Input_APM!M:M,Check!$F$1))</f>
        <v/>
      </c>
      <c r="E109" s="173" t="str">
        <f>IF(B109="","",C109-M109)</f>
        <v/>
      </c>
      <c r="F109" s="187" t="str">
        <f>IF(B109="","",SUMIFS(Input_APM!N:N,Input_APM!M:M,Check!$F$1,Input_APM!L:L,Check!B109))</f>
        <v/>
      </c>
      <c r="G109" s="187" t="str">
        <f>IF(B109="","",SUMIFS(Input_APM!N:N,Input_APM!M:M,Check!$G$1,Input_APM!L:L,Check!B109))</f>
        <v/>
      </c>
      <c r="H109" s="173" t="str">
        <f t="shared" si="22"/>
        <v/>
      </c>
      <c r="I109" s="173">
        <f>SUMIFS(Input_APM!N:N,Input_APM!L:L,Check!B109)</f>
        <v>0</v>
      </c>
      <c r="J109" s="175" t="str">
        <f t="shared" si="23"/>
        <v/>
      </c>
      <c r="K109" s="21" t="str">
        <f>IF(B109="","",SUMIFS('Input_APM (Zenith)'!N:N,'Input_APM (Zenith)'!L:L,Check!B109,'Input_APM (Zenith)'!M:M,Check!$F$1))</f>
        <v/>
      </c>
      <c r="L109" s="21" t="str">
        <f>IF(B109="","",SUMIFS('Input_APM (Zenith)'!N:N,'Input_APM (Zenith)'!L:L,Check!B109,'Input_APM (Zenith)'!M:M,Check!$G$1))</f>
        <v/>
      </c>
      <c r="M109" s="173" t="str">
        <f t="shared" si="24"/>
        <v/>
      </c>
      <c r="O109"/>
      <c r="P109" s="173" t="str">
        <f>IF(O109="","",IF(OR(LEFT(O109,4)="Cash",LEFT(O109,4)="Prov"),0,SUMIFS(Input_APM!N:N,Input_APM!L:L,Check!O109)))</f>
        <v/>
      </c>
      <c r="Q109" s="21" t="str">
        <f>IF(O109="","",IF(LEN(O109)&gt;9,SUMIFS(Options!$H$3:$H$28,Options!$B$3:$B$28,Check!O109),SUMIFS('Master P&amp;L'!$H$11:$H$101,'Master P&amp;L'!$B$11:$B$101,Check!O109)))</f>
        <v/>
      </c>
      <c r="R109" s="173" t="str">
        <f t="shared" si="26"/>
        <v/>
      </c>
      <c r="S109" s="288" t="str">
        <f t="shared" si="11"/>
        <v/>
      </c>
    </row>
    <row r="110" spans="1:19">
      <c r="A110" t="s">
        <v>441</v>
      </c>
      <c r="C110" s="187" t="str">
        <f>IF(B110="","",IF(LEN(B110)&gt;9,SUMIFS(Options!$H$3:$H$28,Options!$B$3:$B$28,Check!B110),SUMIFS('Master P&amp;L'!$H$11:$H$101,'Master P&amp;L'!$B$11:$B$101,Check!B110)))</f>
        <v/>
      </c>
      <c r="D110" s="187" t="str">
        <f>IF(B110="","",SUMIFS(Input_APM!N:N,Input_APM!L:L,Check!B110,Input_APM!M:M,Check!$F$1))</f>
        <v/>
      </c>
      <c r="E110" s="173" t="str">
        <f t="shared" si="21"/>
        <v/>
      </c>
      <c r="F110" s="187" t="str">
        <f>IF(B110="","",SUMIFS(Input_APM!N:N,Input_APM!M:M,Check!$F$1,Input_APM!L:L,Check!B110))</f>
        <v/>
      </c>
      <c r="G110" s="187" t="str">
        <f>IF(B110="","",SUMIFS(Input_APM!N:N,Input_APM!M:M,Check!$G$1,Input_APM!L:L,Check!B110))</f>
        <v/>
      </c>
      <c r="H110" s="173" t="str">
        <f t="shared" si="22"/>
        <v/>
      </c>
      <c r="I110" s="173">
        <f>SUMIFS(Input_APM!N:N,Input_APM!L:L,Check!B110)</f>
        <v>0</v>
      </c>
      <c r="J110" s="175" t="str">
        <f t="shared" si="23"/>
        <v/>
      </c>
      <c r="K110" s="21" t="str">
        <f>IF(B110="","",SUMIFS('Input_APM (Zenith)'!N:N,'Input_APM (Zenith)'!L:L,Check!B110,'Input_APM (Zenith)'!M:M,Check!$F$1))</f>
        <v/>
      </c>
      <c r="L110" s="21" t="str">
        <f>IF(B110="","",SUMIFS('Input_APM (Zenith)'!N:N,'Input_APM (Zenith)'!L:L,Check!B110,'Input_APM (Zenith)'!M:M,Check!$G$1))</f>
        <v/>
      </c>
      <c r="M110" s="173" t="str">
        <f t="shared" si="24"/>
        <v/>
      </c>
      <c r="O110"/>
      <c r="P110" s="173" t="str">
        <f>IF(O110="","",IF(OR(LEFT(O110,4)="Cash",LEFT(O110,4)="Prov"),0,SUMIFS(Input_APM!N:N,Input_APM!L:L,Check!O110)))</f>
        <v/>
      </c>
      <c r="Q110" s="21" t="str">
        <f>IF(O110="","",IF(LEN(O110)&gt;9,SUMIFS(Options!$H$3:$H$28,Options!$B$3:$B$28,Check!O110),SUMIFS('Master P&amp;L'!$H$11:$H$101,'Master P&amp;L'!$B$11:$B$101,Check!O110)))</f>
        <v/>
      </c>
      <c r="R110" s="173" t="str">
        <f t="shared" si="26"/>
        <v/>
      </c>
      <c r="S110" s="288" t="str">
        <f t="shared" si="11"/>
        <v/>
      </c>
    </row>
    <row r="111" spans="1:19">
      <c r="C111" s="187" t="str">
        <f>IF(B111="","",IF(LEN(B111)&gt;9,SUMIFS(Options!$H$3:$H$28,Options!$B$3:$B$28,Check!B111),SUMIFS('Master P&amp;L'!$H$11:$H$101,'Master P&amp;L'!$B$11:$B$101,Check!B111)))</f>
        <v/>
      </c>
      <c r="D111" s="187" t="str">
        <f>IF(B111="","",SUMIFS(Input_APM!N:N,Input_APM!L:L,Check!B111,Input_APM!M:M,Check!$F$1))</f>
        <v/>
      </c>
      <c r="E111" s="173" t="str">
        <f t="shared" si="21"/>
        <v/>
      </c>
      <c r="F111" s="187" t="str">
        <f>IF(B111="","",SUMIFS(Input_APM!N:N,Input_APM!M:M,Check!$F$1,Input_APM!L:L,Check!B111))</f>
        <v/>
      </c>
      <c r="G111" s="187" t="str">
        <f>IF(B111="","",SUMIFS(Input_APM!N:N,Input_APM!M:M,Check!$G$1,Input_APM!L:L,Check!B111))</f>
        <v/>
      </c>
      <c r="H111" s="173" t="str">
        <f t="shared" si="22"/>
        <v/>
      </c>
      <c r="I111" s="173">
        <f>SUMIFS(Input_APM!N:N,Input_APM!L:L,Check!B111)</f>
        <v>0</v>
      </c>
      <c r="J111" s="175" t="str">
        <f t="shared" si="23"/>
        <v/>
      </c>
      <c r="K111" s="21" t="str">
        <f>IF(B111="","",SUMIFS('Input_APM (Zenith)'!N:N,'Input_APM (Zenith)'!L:L,Check!B111,'Input_APM (Zenith)'!M:M,Check!$F$1))</f>
        <v/>
      </c>
      <c r="L111" s="21" t="str">
        <f>IF(B111="","",SUMIFS('Input_APM (Zenith)'!N:N,'Input_APM (Zenith)'!L:L,Check!B111,'Input_APM (Zenith)'!M:M,Check!$G$1))</f>
        <v/>
      </c>
      <c r="M111" s="173" t="str">
        <f t="shared" si="24"/>
        <v/>
      </c>
      <c r="O111"/>
      <c r="P111" s="173" t="str">
        <f>IF(O111="","",IF(OR(LEFT(O111,4)="Cash",LEFT(O111,4)="Prov"),0,SUMIFS(Input_APM!N:N,Input_APM!L:L,Check!O111)))</f>
        <v/>
      </c>
      <c r="Q111" s="21" t="str">
        <f>IF(O111="","",IF(LEN(O111)&gt;9,SUMIFS(Options!$H$3:$H$28,Options!$B$3:$B$28,Check!O111),SUMIFS('Master P&amp;L'!$H$11:$H$101,'Master P&amp;L'!$B$11:$B$101,Check!O111)))</f>
        <v/>
      </c>
      <c r="R111" s="173" t="str">
        <f t="shared" si="26"/>
        <v/>
      </c>
      <c r="S111" s="288" t="str">
        <f t="shared" si="11"/>
        <v/>
      </c>
    </row>
    <row r="112" spans="1:19">
      <c r="C112" s="187" t="str">
        <f>IF(B112="","",IF(LEN(B112)&gt;9,SUMIFS(Options!$H$3:$H$28,Options!$B$3:$B$28,Check!B112),SUMIFS('Master P&amp;L'!$H$11:$H$101,'Master P&amp;L'!$B$11:$B$101,Check!B112)))</f>
        <v/>
      </c>
      <c r="D112" s="187" t="str">
        <f>IF(B112="","",SUMIFS(Input_APM!N:N,Input_APM!L:L,Check!B112,Input_APM!M:M,Check!$F$1))</f>
        <v/>
      </c>
      <c r="E112" s="173" t="str">
        <f t="shared" si="21"/>
        <v/>
      </c>
      <c r="F112" s="187" t="str">
        <f>IF(B112="","",SUMIFS(Input_APM!N:N,Input_APM!M:M,Check!$F$1,Input_APM!L:L,Check!B112))</f>
        <v/>
      </c>
      <c r="G112" s="187" t="str">
        <f>IF(B112="","",SUMIFS(Input_APM!N:N,Input_APM!M:M,Check!$G$1,Input_APM!L:L,Check!B112))</f>
        <v/>
      </c>
      <c r="H112" s="173" t="str">
        <f t="shared" si="22"/>
        <v/>
      </c>
      <c r="I112" s="173">
        <f>SUMIFS(Input_APM!N:N,Input_APM!L:L,Check!B112)</f>
        <v>0</v>
      </c>
      <c r="J112" s="175" t="str">
        <f t="shared" si="23"/>
        <v/>
      </c>
      <c r="K112" s="21" t="str">
        <f>IF(B112="","",SUMIFS('Input_APM (Zenith)'!N:N,'Input_APM (Zenith)'!L:L,Check!B112,'Input_APM (Zenith)'!M:M,Check!$F$1))</f>
        <v/>
      </c>
      <c r="L112" s="21" t="str">
        <f>IF(B112="","",SUMIFS('Input_APM (Zenith)'!N:N,'Input_APM (Zenith)'!L:L,Check!B112,'Input_APM (Zenith)'!M:M,Check!$G$1))</f>
        <v/>
      </c>
      <c r="M112" s="173" t="str">
        <f t="shared" si="24"/>
        <v/>
      </c>
      <c r="O112"/>
      <c r="P112" s="173" t="str">
        <f>IF(O112="","",IF(OR(LEFT(O112,4)="Cash",LEFT(O112,4)="Prov"),0,SUMIFS(Input_APM!N:N,Input_APM!L:L,Check!O112)))</f>
        <v/>
      </c>
      <c r="Q112" s="21" t="str">
        <f>IF(O112="","",IF(LEN(O112)&gt;9,SUMIFS(Options!$H$3:$H$28,Options!$B$3:$B$28,Check!O112),SUMIFS('Master P&amp;L'!$H$11:$H$101,'Master P&amp;L'!$B$11:$B$101,Check!O112)))</f>
        <v/>
      </c>
      <c r="R112" s="173" t="str">
        <f t="shared" si="26"/>
        <v/>
      </c>
      <c r="S112" s="288" t="str">
        <f t="shared" si="11"/>
        <v/>
      </c>
    </row>
    <row r="113" spans="3:20">
      <c r="C113" s="187" t="str">
        <f>IF(B113="","",IF(LEN(B113)&gt;9,SUMIFS(Options!$H$3:$H$28,Options!$B$3:$B$28,Check!B113),SUMIFS('Master P&amp;L'!$H$11:$H$101,'Master P&amp;L'!$B$11:$B$101,Check!B113)))</f>
        <v/>
      </c>
      <c r="D113" s="187" t="str">
        <f>IF(B113="","",SUMIFS(Input_APM!N:N,Input_APM!L:L,Check!B113,Input_APM!M:M,Check!$F$1))</f>
        <v/>
      </c>
      <c r="E113" s="173" t="str">
        <f t="shared" si="21"/>
        <v/>
      </c>
      <c r="F113" s="187" t="str">
        <f>IF(B113="","",SUMIFS(Input_APM!N:N,Input_APM!M:M,Check!$F$1,Input_APM!L:L,Check!B113))</f>
        <v/>
      </c>
      <c r="G113" s="187" t="str">
        <f>IF(B113="","",SUMIFS(Input_APM!N:N,Input_APM!M:M,Check!$G$1,Input_APM!L:L,Check!B113))</f>
        <v/>
      </c>
      <c r="H113" s="173" t="str">
        <f t="shared" si="22"/>
        <v/>
      </c>
      <c r="I113" s="173">
        <f>SUMIFS(Input_APM!N:N,Input_APM!L:L,Check!B113)</f>
        <v>0</v>
      </c>
      <c r="J113" s="175" t="str">
        <f t="shared" si="23"/>
        <v/>
      </c>
      <c r="K113" s="21" t="str">
        <f>IF(B113="","",SUMIFS('Input_APM (Zenith)'!N:N,'Input_APM (Zenith)'!L:L,Check!B113,'Input_APM (Zenith)'!M:M,Check!$F$1))</f>
        <v/>
      </c>
      <c r="L113" s="21" t="str">
        <f>IF(B113="","",SUMIFS('Input_APM (Zenith)'!N:N,'Input_APM (Zenith)'!L:L,Check!B113,'Input_APM (Zenith)'!M:M,Check!$G$1))</f>
        <v/>
      </c>
      <c r="M113" s="173" t="str">
        <f t="shared" si="24"/>
        <v/>
      </c>
      <c r="O113"/>
      <c r="P113" s="173" t="str">
        <f>IF(O113="","",IF(OR(LEFT(O113,4)="Cash",LEFT(O113,4)="Prov"),0,SUMIFS(Input_APM!N:N,Input_APM!L:L,Check!O113)))</f>
        <v/>
      </c>
      <c r="Q113" s="21" t="str">
        <f>IF(O113="","",IF(LEN(O113)&gt;9,SUMIFS(Options!$H$3:$H$28,Options!$B$3:$B$28,Check!O113),SUMIFS('Master P&amp;L'!$H$11:$H$101,'Master P&amp;L'!$B$11:$B$101,Check!O113)))</f>
        <v/>
      </c>
      <c r="R113" s="173" t="str">
        <f t="shared" si="26"/>
        <v/>
      </c>
      <c r="S113" s="288" t="str">
        <f t="shared" si="11"/>
        <v/>
      </c>
    </row>
    <row r="114" spans="3:20">
      <c r="C114" s="187" t="str">
        <f>IF(B114="","",IF(LEN(B114)&gt;9,SUMIFS(Options!$H$3:$H$28,Options!$B$3:$B$28,Check!B114),SUMIFS('Master P&amp;L'!$H$11:$H$101,'Master P&amp;L'!$B$11:$B$101,Check!B114)))</f>
        <v/>
      </c>
      <c r="D114" s="187" t="str">
        <f>IF(B114="","",SUMIFS(Input_APM!N:N,Input_APM!L:L,Check!B114,Input_APM!M:M,Check!$F$1))</f>
        <v/>
      </c>
      <c r="E114" s="173" t="str">
        <f>IF(B114="","",C114-M114)</f>
        <v/>
      </c>
      <c r="F114" s="187" t="str">
        <f>IF(B114="","",SUMIFS(Input_APM!N:N,Input_APM!M:M,Check!$F$1,Input_APM!L:L,Check!B114))</f>
        <v/>
      </c>
      <c r="G114" s="187" t="str">
        <f>IF(B114="","",SUMIFS(Input_APM!N:N,Input_APM!M:M,Check!$G$1,Input_APM!L:L,Check!B114))</f>
        <v/>
      </c>
      <c r="H114" s="173" t="str">
        <f>IF(B114="","",F114-G114)</f>
        <v/>
      </c>
      <c r="I114" s="173">
        <f>SUMIFS(Input_APM!N:N,Input_APM!L:L,Check!B114)</f>
        <v>0</v>
      </c>
      <c r="J114" s="175" t="str">
        <f>IF(B114="","",(F114+G114)-I114)</f>
        <v/>
      </c>
      <c r="K114" s="21" t="str">
        <f>IF(B114="","",SUMIFS('Input_APM (Zenith)'!N:N,'Input_APM (Zenith)'!L:L,Check!B114,'Input_APM (Zenith)'!M:M,Check!$F$1))</f>
        <v/>
      </c>
      <c r="L114" s="21" t="str">
        <f>IF(B114="","",SUMIFS('Input_APM (Zenith)'!N:N,'Input_APM (Zenith)'!L:L,Check!B114,'Input_APM (Zenith)'!M:M,Check!$G$1))</f>
        <v/>
      </c>
      <c r="M114" s="173" t="str">
        <f>IF(B114="","",F114+G114+K114+L114)</f>
        <v/>
      </c>
      <c r="O114"/>
      <c r="P114" s="173" t="str">
        <f>IF(O114="","",IF(OR(LEFT(O114,4)="Cash",LEFT(O114,4)="Prov"),0,SUMIFS(Input_APM!N:N,Input_APM!L:L,Check!O114)))</f>
        <v/>
      </c>
      <c r="Q114" s="21" t="str">
        <f>IF(O114="","",IF(LEN(O114)&gt;9,SUMIFS(Options!$H$3:$H$28,Options!$B$3:$B$28,Check!O114),SUMIFS('Master P&amp;L'!$H$11:$H$101,'Master P&amp;L'!$B$11:$B$101,Check!O114)))</f>
        <v/>
      </c>
      <c r="R114" s="173" t="str">
        <f>IF(O114="","",P114-Q114)</f>
        <v/>
      </c>
      <c r="S114" s="288" t="str">
        <f t="shared" si="11"/>
        <v/>
      </c>
    </row>
    <row r="115" spans="3:20">
      <c r="C115" s="187" t="str">
        <f>IF(B115="","",IF(LEN(B115)&gt;9,SUMIFS(Options!$H$3:$H$28,Options!$B$3:$B$28,Check!B115),SUMIFS('Master P&amp;L'!$H$11:$H$101,'Master P&amp;L'!$B$11:$B$101,Check!B115)))</f>
        <v/>
      </c>
      <c r="D115" s="187" t="str">
        <f>IF(B115="","",SUMIFS(Input_APM!N:N,Input_APM!L:L,Check!B115,Input_APM!M:M,Check!$F$1))</f>
        <v/>
      </c>
      <c r="E115" s="173" t="str">
        <f>IF(B115="","",C115-M115)</f>
        <v/>
      </c>
      <c r="F115" s="187" t="str">
        <f>IF(B115="","",SUMIFS(Input_APM!N:N,Input_APM!M:M,Check!$F$1,Input_APM!L:L,Check!B115))</f>
        <v/>
      </c>
      <c r="G115" s="187" t="str">
        <f>IF(B115="","",SUMIFS(Input_APM!N:N,Input_APM!M:M,Check!$G$1,Input_APM!L:L,Check!B115))</f>
        <v/>
      </c>
      <c r="H115" s="173" t="str">
        <f>IF(B115="","",F115-G115)</f>
        <v/>
      </c>
      <c r="I115" s="173">
        <f>SUMIFS(Input_APM!N:N,Input_APM!L:L,Check!B115)</f>
        <v>0</v>
      </c>
      <c r="J115" s="175" t="str">
        <f>IF(B115="","",(F115+G115)-I115)</f>
        <v/>
      </c>
      <c r="K115" s="21" t="str">
        <f>IF(B115="","",SUMIFS('Input_APM (Zenith)'!N:N,'Input_APM (Zenith)'!L:L,Check!B115,'Input_APM (Zenith)'!M:M,Check!$F$1))</f>
        <v/>
      </c>
      <c r="L115" s="21" t="str">
        <f>IF(B115="","",SUMIFS('Input_APM (Zenith)'!N:N,'Input_APM (Zenith)'!L:L,Check!B115,'Input_APM (Zenith)'!M:M,Check!$G$1))</f>
        <v/>
      </c>
      <c r="M115" s="173" t="str">
        <f>IF(B115="","",F115+G115+K115+L115)</f>
        <v/>
      </c>
      <c r="O115"/>
      <c r="P115" s="173" t="str">
        <f>IF(O115="","",IF(OR(LEFT(O115,4)="Cash",LEFT(O115,4)="Prov"),0,SUMIFS(Input_APM!N:N,Input_APM!L:L,Check!O115)))</f>
        <v/>
      </c>
      <c r="Q115" s="21" t="str">
        <f>IF(O115="","",IF(LEN(O115)&gt;9,SUMIFS(Options!$H$3:$H$28,Options!$B$3:$B$28,Check!O115),SUMIFS('Master P&amp;L'!$H$11:$H$101,'Master P&amp;L'!$B$11:$B$101,Check!O115)))</f>
        <v/>
      </c>
      <c r="R115" s="173" t="str">
        <f>IF(O115="","",P115-Q115)</f>
        <v/>
      </c>
      <c r="S115" s="288" t="str">
        <f t="shared" si="11"/>
        <v/>
      </c>
    </row>
    <row r="116" spans="3:20">
      <c r="C116" s="187" t="str">
        <f>IF(B116="","",IF(LEN(B116)&gt;9,SUMIFS(Options!$H$3:$H$28,Options!$B$3:$B$28,Check!B116),SUMIFS('Master P&amp;L'!$H$11:$H$101,'Master P&amp;L'!$B$11:$B$101,Check!B116)))</f>
        <v/>
      </c>
      <c r="D116" s="187" t="str">
        <f>IF(B116="","",SUMIFS(Input_APM!N:N,Input_APM!L:L,Check!B116,Input_APM!M:M,Check!$F$1))</f>
        <v/>
      </c>
      <c r="E116" s="173" t="str">
        <f>IF(B116="","",C116-M116)</f>
        <v/>
      </c>
      <c r="F116" s="187" t="str">
        <f>IF(B116="","",SUMIFS(Input_APM!N:N,Input_APM!M:M,Check!$F$1,Input_APM!L:L,Check!B116))</f>
        <v/>
      </c>
      <c r="G116" s="187" t="str">
        <f>IF(B116="","",SUMIFS(Input_APM!N:N,Input_APM!M:M,Check!$G$1,Input_APM!L:L,Check!B116))</f>
        <v/>
      </c>
      <c r="H116" s="173" t="str">
        <f>IF(B116="","",F116-G116)</f>
        <v/>
      </c>
      <c r="I116" s="173">
        <f>SUMIFS(Input_APM!N:N,Input_APM!L:L,Check!B116)</f>
        <v>0</v>
      </c>
      <c r="J116" s="175" t="str">
        <f>IF(B116="","",(F116+G116)-I116)</f>
        <v/>
      </c>
      <c r="K116" s="21" t="str">
        <f>IF(B116="","",SUMIFS('Input_APM (Zenith)'!N:N,'Input_APM (Zenith)'!L:L,Check!B116,'Input_APM (Zenith)'!M:M,Check!$F$1))</f>
        <v/>
      </c>
      <c r="L116" s="21" t="str">
        <f>IF(B116="","",SUMIFS('Input_APM (Zenith)'!N:N,'Input_APM (Zenith)'!L:L,Check!B116,'Input_APM (Zenith)'!M:M,Check!$G$1))</f>
        <v/>
      </c>
      <c r="M116" s="173" t="str">
        <f>IF(B116="","",F116+G116+K116+L116)</f>
        <v/>
      </c>
      <c r="O116"/>
      <c r="P116" s="173" t="str">
        <f>IF(O116="","",IF(OR(LEFT(O116,4)="Cash",LEFT(O116,4)="Prov"),0,SUMIFS(Input_APM!N:N,Input_APM!L:L,Check!O116)))</f>
        <v/>
      </c>
      <c r="Q116" s="21" t="str">
        <f>IF(O116="","",IF(LEN(O116)&gt;9,SUMIFS(Options!$H$3:$H$28,Options!$B$3:$B$28,Check!O116),SUMIFS('Master P&amp;L'!$H$11:$H$101,'Master P&amp;L'!$B$11:$B$101,Check!O116)))</f>
        <v/>
      </c>
      <c r="R116" s="173" t="str">
        <f>IF(O116="","",P116-Q116)</f>
        <v/>
      </c>
      <c r="S116" s="288" t="str">
        <f t="shared" si="11"/>
        <v/>
      </c>
    </row>
    <row r="117" spans="3:20">
      <c r="C117" s="187" t="str">
        <f>IF(B117="","",IF(LEN(B117)&gt;9,SUMIFS(Options!$H$3:$H$28,Options!$B$3:$B$28,Check!B117),SUMIFS('Master P&amp;L'!$H$11:$H$101,'Master P&amp;L'!$B$11:$B$101,Check!B117)))</f>
        <v/>
      </c>
      <c r="D117" s="187" t="str">
        <f>IF(B117="","",SUMIFS(Input_APM!N:N,Input_APM!L:L,Check!B117,Input_APM!M:M,Check!$F$1))</f>
        <v/>
      </c>
      <c r="E117" s="173" t="str">
        <f>IF(B117="","",C117-M117)</f>
        <v/>
      </c>
      <c r="F117" s="187" t="str">
        <f>IF(B117="","",SUMIFS(Input_APM!N:N,Input_APM!M:M,Check!$F$1,Input_APM!L:L,Check!B117))</f>
        <v/>
      </c>
      <c r="G117" s="187" t="str">
        <f>IF(B117="","",SUMIFS(Input_APM!N:N,Input_APM!M:M,Check!$G$1,Input_APM!L:L,Check!B117))</f>
        <v/>
      </c>
      <c r="H117" s="173" t="str">
        <f>IF(B117="","",F117-G117)</f>
        <v/>
      </c>
      <c r="I117" s="173">
        <f>SUMIFS(Input_APM!N:N,Input_APM!L:L,Check!B117)</f>
        <v>0</v>
      </c>
      <c r="J117" s="175" t="str">
        <f>IF(B117="","",(F117+G117)-I117)</f>
        <v/>
      </c>
      <c r="K117" s="21" t="str">
        <f>IF(B117="","",SUMIFS('Input_APM (Zenith)'!N:N,'Input_APM (Zenith)'!L:L,Check!B117,'Input_APM (Zenith)'!M:M,Check!$F$1))</f>
        <v/>
      </c>
      <c r="L117" s="21" t="str">
        <f>IF(B117="","",SUMIFS('Input_APM (Zenith)'!N:N,'Input_APM (Zenith)'!L:L,Check!B117,'Input_APM (Zenith)'!M:M,Check!$G$1))</f>
        <v/>
      </c>
      <c r="M117" s="173" t="str">
        <f>IF(B117="","",F117+G117+K117+L117)</f>
        <v/>
      </c>
      <c r="O117"/>
      <c r="P117" s="173" t="str">
        <f>IF(O117="","",IF(OR(LEFT(O117,4)="Cash",LEFT(O117,4)="Prov"),0,SUMIFS(Input_APM!N:N,Input_APM!L:L,Check!O117)))</f>
        <v/>
      </c>
      <c r="Q117" s="21" t="str">
        <f>IF(O117="","",IF(LEN(O117)&gt;9,SUMIFS(Options!$H$3:$H$28,Options!$B$3:$B$28,Check!O117),SUMIFS('Master P&amp;L'!$H$11:$H$101,'Master P&amp;L'!$B$11:$B$101,Check!O117)))</f>
        <v/>
      </c>
      <c r="R117" s="173" t="str">
        <f>IF(O117="","",P117-Q117)</f>
        <v/>
      </c>
      <c r="S117" s="288" t="str">
        <f t="shared" si="11"/>
        <v/>
      </c>
    </row>
    <row r="118" spans="3:20">
      <c r="C118" s="187" t="str">
        <f>IF(B118="","",IF(LEN(B118)&gt;9,SUMIFS(Options!$H$3:$H$28,Options!$B$3:$B$28,Check!B118),SUMIFS('Master P&amp;L'!$H$11:$H$101,'Master P&amp;L'!$B$11:$B$101,Check!B118)))</f>
        <v/>
      </c>
      <c r="D118" s="187" t="str">
        <f>IF(B118="","",SUMIFS(Input_APM!N:N,Input_APM!L:L,Check!B118,Input_APM!M:M,Check!$F$1))</f>
        <v/>
      </c>
      <c r="E118" s="173" t="str">
        <f>IF(B118="","",C118-M118)</f>
        <v/>
      </c>
      <c r="F118" s="187" t="str">
        <f>IF(B118="","",SUMIFS(Input_APM!N:N,Input_APM!M:M,Check!$F$1,Input_APM!L:L,Check!B118))</f>
        <v/>
      </c>
      <c r="G118" s="187" t="str">
        <f>IF(B118="","",SUMIFS(Input_APM!N:N,Input_APM!M:M,Check!$G$1,Input_APM!L:L,Check!B118))</f>
        <v/>
      </c>
      <c r="H118" s="173" t="str">
        <f>IF(B118="","",F118-G118)</f>
        <v/>
      </c>
      <c r="I118" s="173">
        <f>SUMIFS(Input_APM!N:N,Input_APM!L:L,Check!B118)</f>
        <v>0</v>
      </c>
      <c r="J118" s="175" t="str">
        <f>IF(B118="","",(F118+G118)-I118)</f>
        <v/>
      </c>
      <c r="K118" s="21" t="str">
        <f>IF(B118="","",SUMIFS('Input_APM (Zenith)'!N:N,'Input_APM (Zenith)'!L:L,Check!B118,'Input_APM (Zenith)'!M:M,Check!$F$1))</f>
        <v/>
      </c>
      <c r="L118" s="21" t="str">
        <f>IF(B118="","",SUMIFS('Input_APM (Zenith)'!N:N,'Input_APM (Zenith)'!L:L,Check!B118,'Input_APM (Zenith)'!M:M,Check!$G$1))</f>
        <v/>
      </c>
      <c r="M118" s="173" t="str">
        <f>IF(B118="","",F118+G118+K118+L118)</f>
        <v/>
      </c>
      <c r="O118"/>
      <c r="P118" s="173" t="str">
        <f>IF(O118="","",IF(OR(LEFT(O118,4)="Cash",LEFT(O118,4)="Prov"),0,SUMIFS(Input_APM!N:N,Input_APM!L:L,Check!O118)))</f>
        <v/>
      </c>
      <c r="Q118" s="21" t="str">
        <f>IF(O118="","",IF(LEN(O118)&gt;9,SUMIFS(Options!$H$3:$H$28,Options!$B$3:$B$28,Check!O118),SUMIFS('Master P&amp;L'!$H$11:$H$101,'Master P&amp;L'!$B$11:$B$101,Check!O118)))</f>
        <v/>
      </c>
      <c r="R118" s="173" t="str">
        <f t="shared" ref="R118:R124" si="27">IF(O118="","",P118-Q118)</f>
        <v/>
      </c>
      <c r="S118" s="288" t="str">
        <f t="shared" si="11"/>
        <v/>
      </c>
    </row>
    <row r="119" spans="3:20">
      <c r="C119" s="187" t="str">
        <f>IF(B119="","",IF(LEN(B119)&gt;9,SUMIFS(Options!$H$3:$H$28,Options!$B$3:$B$28,Check!B119),SUMIFS('Master P&amp;L'!$H$11:$H$101,'Master P&amp;L'!$B$11:$B$101,Check!B119)))</f>
        <v/>
      </c>
      <c r="D119" s="187" t="str">
        <f>IF(B119="","",SUMIFS(Input_APM!N:N,Input_APM!L:L,Check!B119,Input_APM!M:M,Check!$F$1))</f>
        <v/>
      </c>
      <c r="E119" s="173" t="str">
        <f t="shared" ref="E119:E128" si="28">IF(B119="","",C119-M119)</f>
        <v/>
      </c>
      <c r="F119" s="187" t="str">
        <f>IF(B119="","",SUMIFS(Input_APM!N:N,Input_APM!M:M,Check!$F$1,Input_APM!L:L,Check!B119))</f>
        <v/>
      </c>
      <c r="G119" s="187" t="str">
        <f>IF(B119="","",SUMIFS(Input_APM!N:N,Input_APM!M:M,Check!$G$1,Input_APM!L:L,Check!B119))</f>
        <v/>
      </c>
      <c r="H119" s="173" t="str">
        <f t="shared" ref="H119:H128" si="29">IF(B119="","",F119-G119)</f>
        <v/>
      </c>
      <c r="I119" s="173">
        <f>SUMIFS(Input_APM!N:N,Input_APM!L:L,Check!B119)</f>
        <v>0</v>
      </c>
      <c r="J119" s="175" t="str">
        <f t="shared" ref="J119:J128" si="30">IF(B119="","",(F119+G119)-I119)</f>
        <v/>
      </c>
      <c r="K119" s="21" t="str">
        <f>IF(B119="","",SUMIFS('Input_APM (Zenith)'!N:N,'Input_APM (Zenith)'!L:L,Check!B119,'Input_APM (Zenith)'!M:M,Check!$F$1))</f>
        <v/>
      </c>
      <c r="L119" s="21" t="str">
        <f>IF(B119="","",SUMIFS('Input_APM (Zenith)'!N:N,'Input_APM (Zenith)'!L:L,Check!B119,'Input_APM (Zenith)'!M:M,Check!$G$1))</f>
        <v/>
      </c>
      <c r="M119" s="173" t="str">
        <f t="shared" ref="M119:M128" si="31">IF(B119="","",F119+G119+K119+L119)</f>
        <v/>
      </c>
      <c r="O119"/>
      <c r="P119" s="173" t="str">
        <f>IF(O119="","",IF(OR(LEFT(O119,4)="Cash",LEFT(O119,4)="Prov"),0,SUMIFS(Input_APM!N:N,Input_APM!L:L,Check!O119)))</f>
        <v/>
      </c>
      <c r="Q119" s="21" t="str">
        <f>IF(O119="","",IF(LEN(O119)&gt;9,SUMIFS(Options!$H$3:$H$28,Options!$B$3:$B$28,Check!O119),SUMIFS('Master P&amp;L'!$H$11:$H$101,'Master P&amp;L'!$B$11:$B$101,Check!O119)))</f>
        <v/>
      </c>
      <c r="R119" s="173" t="str">
        <f t="shared" si="27"/>
        <v/>
      </c>
      <c r="S119" s="288" t="str">
        <f t="shared" si="11"/>
        <v/>
      </c>
    </row>
    <row r="120" spans="3:20">
      <c r="C120" s="187" t="str">
        <f>IF(B120="","",IF(LEN(B120)&gt;9,SUMIFS(Options!$H$3:$H$28,Options!$B$3:$B$28,Check!B120),SUMIFS('Master P&amp;L'!$H$11:$H$101,'Master P&amp;L'!$B$11:$B$101,Check!B120)))</f>
        <v/>
      </c>
      <c r="D120" s="187" t="str">
        <f>IF(B120="","",SUMIFS(Input_APM!N:N,Input_APM!L:L,Check!B120,Input_APM!M:M,Check!$F$1))</f>
        <v/>
      </c>
      <c r="E120" s="173" t="str">
        <f t="shared" si="28"/>
        <v/>
      </c>
      <c r="F120" s="187" t="str">
        <f>IF(B120="","",SUMIFS(Input_APM!N:N,Input_APM!M:M,Check!$F$1,Input_APM!L:L,Check!B120))</f>
        <v/>
      </c>
      <c r="G120" s="187" t="str">
        <f>IF(B120="","",SUMIFS(Input_APM!N:N,Input_APM!M:M,Check!$G$1,Input_APM!L:L,Check!B120))</f>
        <v/>
      </c>
      <c r="H120" s="173" t="str">
        <f t="shared" si="29"/>
        <v/>
      </c>
      <c r="I120" s="173">
        <f>SUMIFS(Input_APM!N:N,Input_APM!L:L,Check!B120)</f>
        <v>0</v>
      </c>
      <c r="J120" s="175" t="str">
        <f t="shared" si="30"/>
        <v/>
      </c>
      <c r="K120" s="21" t="str">
        <f>IF(B120="","",SUMIFS('Input_APM (Zenith)'!N:N,'Input_APM (Zenith)'!L:L,Check!B120,'Input_APM (Zenith)'!M:M,Check!$F$1))</f>
        <v/>
      </c>
      <c r="L120" s="21" t="str">
        <f>IF(B120="","",SUMIFS('Input_APM (Zenith)'!N:N,'Input_APM (Zenith)'!L:L,Check!B120,'Input_APM (Zenith)'!M:M,Check!$G$1))</f>
        <v/>
      </c>
      <c r="M120" s="173" t="str">
        <f t="shared" si="31"/>
        <v/>
      </c>
      <c r="O120"/>
      <c r="P120" s="173" t="str">
        <f>IF(O120="","",IF(OR(LEFT(O120,4)="Cash",LEFT(O120,4)="Prov"),0,SUMIFS(Input_APM!N:N,Input_APM!L:L,Check!O120)))</f>
        <v/>
      </c>
      <c r="Q120" s="21" t="str">
        <f>IF(O120="","",IF(LEN(O120)&gt;9,SUMIFS(Options!$H$3:$H$28,Options!$B$3:$B$28,Check!O120),SUMIFS('Master P&amp;L'!$H$11:$H$101,'Master P&amp;L'!$B$11:$B$101,Check!O120)))</f>
        <v/>
      </c>
      <c r="R120" s="173" t="str">
        <f t="shared" si="27"/>
        <v/>
      </c>
      <c r="S120" s="288" t="str">
        <f t="shared" si="11"/>
        <v/>
      </c>
    </row>
    <row r="121" spans="3:20">
      <c r="C121" s="187" t="str">
        <f>IF(B121="","",IF(LEN(B121)&gt;9,SUMIFS(Options!$H$3:$H$28,Options!$B$3:$B$28,Check!B121),SUMIFS('Master P&amp;L'!$H$11:$H$101,'Master P&amp;L'!$B$11:$B$101,Check!B121)))</f>
        <v/>
      </c>
      <c r="D121" s="187" t="str">
        <f>IF(B121="","",SUMIFS(Input_APM!N:N,Input_APM!L:L,Check!B121,Input_APM!M:M,Check!$F$1))</f>
        <v/>
      </c>
      <c r="E121" s="173" t="str">
        <f t="shared" si="28"/>
        <v/>
      </c>
      <c r="F121" s="187" t="str">
        <f>IF(B121="","",SUMIFS(Input_APM!N:N,Input_APM!M:M,Check!$F$1,Input_APM!L:L,Check!B121))</f>
        <v/>
      </c>
      <c r="G121" s="187" t="str">
        <f>IF(B121="","",SUMIFS(Input_APM!N:N,Input_APM!M:M,Check!$G$1,Input_APM!L:L,Check!B121))</f>
        <v/>
      </c>
      <c r="H121" s="173" t="str">
        <f t="shared" si="29"/>
        <v/>
      </c>
      <c r="I121" s="173">
        <f>SUMIFS(Input_APM!N:N,Input_APM!L:L,Check!B121)</f>
        <v>0</v>
      </c>
      <c r="J121" s="175" t="str">
        <f t="shared" si="30"/>
        <v/>
      </c>
      <c r="K121" s="21" t="str">
        <f>IF(B121="","",SUMIFS('Input_APM (Zenith)'!N:N,'Input_APM (Zenith)'!L:L,Check!B121,'Input_APM (Zenith)'!M:M,Check!$F$1))</f>
        <v/>
      </c>
      <c r="L121" s="21" t="str">
        <f>IF(B121="","",SUMIFS('Input_APM (Zenith)'!N:N,'Input_APM (Zenith)'!L:L,Check!B121,'Input_APM (Zenith)'!M:M,Check!$G$1))</f>
        <v/>
      </c>
      <c r="M121" s="173" t="str">
        <f t="shared" si="31"/>
        <v/>
      </c>
      <c r="O121"/>
      <c r="P121" s="173" t="str">
        <f>IF(O121="","",IF(OR(LEFT(O121,4)="Cash",LEFT(O121,4)="Prov"),0,SUMIFS(Input_APM!N:N,Input_APM!L:L,Check!O121)))</f>
        <v/>
      </c>
      <c r="Q121" s="21" t="str">
        <f>IF(O121="","",IF(LEN(O121)&gt;9,SUMIFS(Options!$H$3:$H$28,Options!$B$3:$B$28,Check!O121),SUMIFS('Master P&amp;L'!$H$11:$H$101,'Master P&amp;L'!$B$11:$B$101,Check!O121)))</f>
        <v/>
      </c>
      <c r="R121" s="173" t="str">
        <f t="shared" si="27"/>
        <v/>
      </c>
      <c r="S121" s="288" t="str">
        <f t="shared" si="11"/>
        <v/>
      </c>
    </row>
    <row r="122" spans="3:20">
      <c r="C122" s="187" t="str">
        <f>IF(B122="","",IF(LEN(B122)&gt;9,SUMIFS(Options!$H$3:$H$28,Options!$B$3:$B$28,Check!B122),SUMIFS('Master P&amp;L'!$H$11:$H$101,'Master P&amp;L'!$B$11:$B$101,Check!B122)))</f>
        <v/>
      </c>
      <c r="D122" s="187" t="str">
        <f>IF(B122="","",SUMIFS(Input_APM!N:N,Input_APM!L:L,Check!B122,Input_APM!M:M,Check!$F$1))</f>
        <v/>
      </c>
      <c r="E122" s="173" t="str">
        <f t="shared" si="28"/>
        <v/>
      </c>
      <c r="F122" s="187" t="str">
        <f>IF(B122="","",SUMIFS(Input_APM!N:N,Input_APM!M:M,Check!$F$1,Input_APM!L:L,Check!B122))</f>
        <v/>
      </c>
      <c r="G122" s="187" t="str">
        <f>IF(B122="","",SUMIFS(Input_APM!N:N,Input_APM!M:M,Check!$G$1,Input_APM!L:L,Check!B122))</f>
        <v/>
      </c>
      <c r="H122" s="173" t="str">
        <f t="shared" si="29"/>
        <v/>
      </c>
      <c r="I122" s="173">
        <f>SUMIFS(Input_APM!N:N,Input_APM!L:L,Check!B122)</f>
        <v>0</v>
      </c>
      <c r="J122" s="175" t="str">
        <f t="shared" si="30"/>
        <v/>
      </c>
      <c r="K122" s="21" t="str">
        <f>IF(B122="","",SUMIFS('Input_APM (Zenith)'!N:N,'Input_APM (Zenith)'!L:L,Check!B122,'Input_APM (Zenith)'!M:M,Check!$F$1))</f>
        <v/>
      </c>
      <c r="L122" s="21" t="str">
        <f>IF(B122="","",SUMIFS('Input_APM (Zenith)'!N:N,'Input_APM (Zenith)'!L:L,Check!B122,'Input_APM (Zenith)'!M:M,Check!$G$1))</f>
        <v/>
      </c>
      <c r="M122" s="173" t="str">
        <f t="shared" si="31"/>
        <v/>
      </c>
      <c r="O122"/>
      <c r="P122" s="255" t="str">
        <f>IF(O122="","",IF(OR(LEFT(O122,4)="Cash",LEFT(O122,4)="Prov"),0,SUMIFS(Input_APM!N:N,Input_APM!L:L,Check!O122)))</f>
        <v/>
      </c>
      <c r="Q122" s="133" t="str">
        <f>IF(O122="","",IF(LEN(O122)&gt;9,SUMIFS(Options!$H$3:$H$28,Options!$B$3:$B$28,Check!O122),SUMIFS('Master P&amp;L'!$H$11:$H$101,'Master P&amp;L'!$B$11:$B$101,Check!O122)))</f>
        <v/>
      </c>
      <c r="R122" s="255" t="str">
        <f t="shared" si="27"/>
        <v/>
      </c>
      <c r="S122" s="288" t="str">
        <f t="shared" si="11"/>
        <v/>
      </c>
      <c r="T122" s="58"/>
    </row>
    <row r="123" spans="3:20">
      <c r="C123" s="187" t="str">
        <f>IF(B123="","",IF(LEN(B123)&gt;9,SUMIFS(Options!$H$3:$H$28,Options!$B$3:$B$28,Check!B123),SUMIFS('Master P&amp;L'!$H$11:$H$101,'Master P&amp;L'!$B$11:$B$101,Check!B123)))</f>
        <v/>
      </c>
      <c r="D123" s="187" t="str">
        <f>IF(B123="","",SUMIFS(Input_APM!N:N,Input_APM!L:L,Check!B123,Input_APM!M:M,Check!$F$1))</f>
        <v/>
      </c>
      <c r="E123" s="173" t="str">
        <f t="shared" si="28"/>
        <v/>
      </c>
      <c r="F123" s="187" t="str">
        <f>IF(B123="","",SUMIFS(Input_APM!N:N,Input_APM!M:M,Check!$F$1,Input_APM!L:L,Check!B123))</f>
        <v/>
      </c>
      <c r="G123" s="187" t="str">
        <f>IF(B123="","",SUMIFS(Input_APM!N:N,Input_APM!M:M,Check!$G$1,Input_APM!L:L,Check!B123))</f>
        <v/>
      </c>
      <c r="H123" s="173" t="str">
        <f t="shared" si="29"/>
        <v/>
      </c>
      <c r="I123" s="173">
        <f>SUMIFS(Input_APM!N:N,Input_APM!L:L,Check!B123)</f>
        <v>0</v>
      </c>
      <c r="J123" s="175" t="str">
        <f t="shared" si="30"/>
        <v/>
      </c>
      <c r="K123" s="21" t="str">
        <f>IF(B123="","",SUMIFS('Input_APM (Zenith)'!N:N,'Input_APM (Zenith)'!L:L,Check!B123,'Input_APM (Zenith)'!M:M,Check!$F$1))</f>
        <v/>
      </c>
      <c r="L123" s="21" t="str">
        <f>IF(B123="","",SUMIFS('Input_APM (Zenith)'!N:N,'Input_APM (Zenith)'!L:L,Check!B123,'Input_APM (Zenith)'!M:M,Check!$G$1))</f>
        <v/>
      </c>
      <c r="M123" s="173" t="str">
        <f t="shared" si="31"/>
        <v/>
      </c>
      <c r="O123"/>
      <c r="P123" s="173" t="str">
        <f>IF(O123="","",IF(OR(LEFT(O123,4)="Cash",LEFT(O123,4)="Prov"),0,SUMIFS(Input_APM!N:N,Input_APM!L:L,Check!O123)))</f>
        <v/>
      </c>
      <c r="Q123" s="21" t="str">
        <f>IF(O123="","",IF(LEN(O123)&gt;9,SUMIFS(Options!$H$3:$H$28,Options!$B$3:$B$28,Check!O123),SUMIFS('Master P&amp;L'!$H$11:$H$101,'Master P&amp;L'!$B$11:$B$101,Check!O123)))</f>
        <v/>
      </c>
      <c r="R123" s="173" t="str">
        <f t="shared" si="27"/>
        <v/>
      </c>
      <c r="S123" s="288" t="str">
        <f t="shared" si="11"/>
        <v/>
      </c>
    </row>
    <row r="124" spans="3:20">
      <c r="C124" s="187" t="str">
        <f>IF(B124="","",IF(LEN(B124)&gt;9,SUMIFS(Options!$H$3:$H$28,Options!$B$3:$B$28,Check!B124),SUMIFS('Master P&amp;L'!$H$11:$H$101,'Master P&amp;L'!$B$11:$B$101,Check!B124)))</f>
        <v/>
      </c>
      <c r="D124" s="187" t="str">
        <f>IF(B124="","",SUMIFS(Input_APM!N:N,Input_APM!L:L,Check!B124,Input_APM!M:M,Check!$F$1))</f>
        <v/>
      </c>
      <c r="E124" s="173" t="str">
        <f t="shared" si="28"/>
        <v/>
      </c>
      <c r="F124" s="187" t="str">
        <f>IF(B124="","",SUMIFS(Input_APM!N:N,Input_APM!M:M,Check!$F$1,Input_APM!L:L,Check!B124))</f>
        <v/>
      </c>
      <c r="G124" s="187" t="str">
        <f>IF(B124="","",SUMIFS(Input_APM!N:N,Input_APM!M:M,Check!$G$1,Input_APM!L:L,Check!B124))</f>
        <v/>
      </c>
      <c r="H124" s="173" t="str">
        <f t="shared" si="29"/>
        <v/>
      </c>
      <c r="I124" s="173">
        <f>SUMIFS(Input_APM!N:N,Input_APM!L:L,Check!B124)</f>
        <v>0</v>
      </c>
      <c r="J124" s="175" t="str">
        <f t="shared" si="30"/>
        <v/>
      </c>
      <c r="K124" s="21" t="str">
        <f>IF(B124="","",SUMIFS('Input_APM (Zenith)'!N:N,'Input_APM (Zenith)'!L:L,Check!B124,'Input_APM (Zenith)'!M:M,Check!$F$1))</f>
        <v/>
      </c>
      <c r="L124" s="21" t="str">
        <f>IF(B124="","",SUMIFS('Input_APM (Zenith)'!N:N,'Input_APM (Zenith)'!L:L,Check!B124,'Input_APM (Zenith)'!M:M,Check!$G$1))</f>
        <v/>
      </c>
      <c r="M124" s="173" t="str">
        <f t="shared" si="31"/>
        <v/>
      </c>
      <c r="O124"/>
      <c r="P124" s="173" t="str">
        <f>IF(O124="","",IF(OR(LEFT(O124,4)="Cash",LEFT(O124,4)="Prov"),0,SUMIFS(Input_APM!N:N,Input_APM!L:L,Check!O124)))</f>
        <v/>
      </c>
      <c r="Q124" s="21" t="str">
        <f>IF(O124="","",IF(LEN(O124)&gt;9,SUMIFS(Options!$H$3:$H$28,Options!$B$3:$B$28,Check!O124),SUMIFS('Master P&amp;L'!$H$11:$H$101,'Master P&amp;L'!$B$11:$B$101,Check!O124)))</f>
        <v/>
      </c>
      <c r="R124" s="173" t="str">
        <f t="shared" si="27"/>
        <v/>
      </c>
      <c r="S124" s="288" t="str">
        <f t="shared" si="11"/>
        <v/>
      </c>
    </row>
    <row r="125" spans="3:20">
      <c r="C125" s="187" t="str">
        <f>IF(B125="","",IF(LEN(B125)&gt;9,SUMIFS(Options!$H$3:$H$28,Options!$B$3:$B$28,Check!B125),SUMIFS('Master P&amp;L'!$H$11:$H$101,'Master P&amp;L'!$B$11:$B$101,Check!B125)))</f>
        <v/>
      </c>
      <c r="D125" s="187" t="str">
        <f>IF(B125="","",SUMIFS(Input_APM!N:N,Input_APM!L:L,Check!B125,Input_APM!M:M,Check!$F$1))</f>
        <v/>
      </c>
      <c r="E125" s="173" t="str">
        <f t="shared" si="28"/>
        <v/>
      </c>
      <c r="F125" s="187" t="str">
        <f>IF(B125="","",SUMIFS(Input_APM!N:N,Input_APM!M:M,Check!$F$1,Input_APM!L:L,Check!B125))</f>
        <v/>
      </c>
      <c r="G125" s="187" t="str">
        <f>IF(B125="","",SUMIFS(Input_APM!N:N,Input_APM!M:M,Check!$G$1,Input_APM!L:L,Check!B125))</f>
        <v/>
      </c>
      <c r="H125" s="173" t="str">
        <f t="shared" si="29"/>
        <v/>
      </c>
      <c r="I125" s="173">
        <f>SUMIFS(Input_APM!N:N,Input_APM!L:L,Check!B125)</f>
        <v>0</v>
      </c>
      <c r="J125" s="175" t="str">
        <f t="shared" si="30"/>
        <v/>
      </c>
      <c r="K125" s="21" t="str">
        <f>IF(B125="","",SUMIFS('Input_APM (Zenith)'!N:N,'Input_APM (Zenith)'!L:L,Check!B125,'Input_APM (Zenith)'!M:M,Check!$F$1))</f>
        <v/>
      </c>
      <c r="L125" s="21" t="str">
        <f>IF(B125="","",SUMIFS('Input_APM (Zenith)'!N:N,'Input_APM (Zenith)'!L:L,Check!B125,'Input_APM (Zenith)'!M:M,Check!$G$1))</f>
        <v/>
      </c>
      <c r="M125" s="173" t="str">
        <f t="shared" si="31"/>
        <v/>
      </c>
      <c r="O125"/>
      <c r="P125" s="173" t="str">
        <f>IF(O125="","",IF(OR(LEFT(O125,4)="Cash",LEFT(O125,4)="Prov"),0,SUMIFS(Input_APM!N:N,Input_APM!L:L,Check!O125)))</f>
        <v/>
      </c>
      <c r="Q125" s="21" t="str">
        <f>IF(O125="","",IF(LEN(O125)&gt;9,SUMIFS(Options!$H$3:$H$28,Options!$B$3:$B$28,Check!O125),SUMIFS('Master P&amp;L'!$H$11:$H$101,'Master P&amp;L'!$B$11:$B$101,Check!O125)))</f>
        <v/>
      </c>
      <c r="R125" s="173" t="str">
        <f>IF(O125="","",P125-Q125)</f>
        <v/>
      </c>
      <c r="S125" s="288" t="str">
        <f t="shared" si="11"/>
        <v/>
      </c>
    </row>
    <row r="126" spans="3:20">
      <c r="C126" s="187" t="str">
        <f>IF(B126="","",IF(LEN(B126)&gt;9,SUMIFS(Options!$H$3:$H$28,Options!$B$3:$B$28,Check!B126),SUMIFS('Master P&amp;L'!$H$11:$H$101,'Master P&amp;L'!$B$11:$B$101,Check!B126)))</f>
        <v/>
      </c>
      <c r="D126" s="187" t="str">
        <f>IF(B126="","",SUMIFS(Input_APM!N:N,Input_APM!L:L,Check!B126,Input_APM!M:M,Check!$F$1))</f>
        <v/>
      </c>
      <c r="E126" s="173" t="str">
        <f t="shared" si="28"/>
        <v/>
      </c>
      <c r="F126" s="187" t="str">
        <f>IF(B126="","",SUMIFS(Input_APM!N:N,Input_APM!M:M,Check!$F$1,Input_APM!L:L,Check!B126))</f>
        <v/>
      </c>
      <c r="G126" s="187" t="str">
        <f>IF(B126="","",SUMIFS(Input_APM!N:N,Input_APM!M:M,Check!$G$1,Input_APM!L:L,Check!B126))</f>
        <v/>
      </c>
      <c r="H126" s="173" t="str">
        <f t="shared" si="29"/>
        <v/>
      </c>
      <c r="I126" s="173">
        <f>SUMIFS(Input_APM!N:N,Input_APM!L:L,Check!B126)</f>
        <v>0</v>
      </c>
      <c r="J126" s="175" t="str">
        <f t="shared" si="30"/>
        <v/>
      </c>
      <c r="K126" s="21" t="str">
        <f>IF(B126="","",SUMIFS('Input_APM (Zenith)'!N:N,'Input_APM (Zenith)'!L:L,Check!B126,'Input_APM (Zenith)'!M:M,Check!$F$1))</f>
        <v/>
      </c>
      <c r="L126" s="21" t="str">
        <f>IF(B126="","",SUMIFS('Input_APM (Zenith)'!N:N,'Input_APM (Zenith)'!L:L,Check!B126,'Input_APM (Zenith)'!M:M,Check!$G$1))</f>
        <v/>
      </c>
      <c r="M126" s="173" t="str">
        <f t="shared" si="31"/>
        <v/>
      </c>
      <c r="O126"/>
      <c r="P126" s="173" t="str">
        <f>IF(O126="","",IF(OR(LEFT(O126,4)="Cash",LEFT(O126,4)="Prov"),0,SUMIFS(Input_APM!N:N,Input_APM!L:L,Check!O126)))</f>
        <v/>
      </c>
      <c r="Q126" s="21" t="str">
        <f>IF(O126="","",IF(LEN(O126)&gt;9,SUMIFS(Options!$H$3:$H$28,Options!$B$3:$B$28,Check!O126),SUMIFS('Master P&amp;L'!$H$11:$H$101,'Master P&amp;L'!$B$11:$B$101,Check!O126)))</f>
        <v/>
      </c>
      <c r="R126" s="173" t="str">
        <f>IF(O126="","",P126-Q126)</f>
        <v/>
      </c>
      <c r="S126" s="288" t="str">
        <f t="shared" si="11"/>
        <v/>
      </c>
    </row>
    <row r="127" spans="3:20">
      <c r="C127" s="187" t="str">
        <f>IF(B127="","",IF(LEN(B127)&gt;9,SUMIFS(Options!$H$3:$H$28,Options!$B$3:$B$28,Check!B127),SUMIFS('Master P&amp;L'!$H$11:$H$101,'Master P&amp;L'!$B$11:$B$101,Check!B127)))</f>
        <v/>
      </c>
      <c r="D127" s="187" t="str">
        <f>IF(B127="","",SUMIFS(Input_APM!N:N,Input_APM!L:L,Check!B127,Input_APM!M:M,Check!$F$1))</f>
        <v/>
      </c>
      <c r="E127" s="173" t="str">
        <f t="shared" si="28"/>
        <v/>
      </c>
      <c r="F127" s="187" t="str">
        <f>IF(B127="","",SUMIFS(Input_APM!N:N,Input_APM!M:M,Check!$F$1,Input_APM!L:L,Check!B127))</f>
        <v/>
      </c>
      <c r="G127" s="187" t="str">
        <f>IF(B127="","",SUMIFS(Input_APM!N:N,Input_APM!M:M,Check!$G$1,Input_APM!L:L,Check!B127))</f>
        <v/>
      </c>
      <c r="H127" s="173" t="str">
        <f t="shared" si="29"/>
        <v/>
      </c>
      <c r="I127" s="173">
        <f>SUMIFS(Input_APM!N:N,Input_APM!L:L,Check!B127)</f>
        <v>0</v>
      </c>
      <c r="J127" s="175" t="str">
        <f t="shared" si="30"/>
        <v/>
      </c>
      <c r="K127" s="21" t="str">
        <f>IF(B127="","",SUMIFS('Input_APM (Zenith)'!N:N,'Input_APM (Zenith)'!L:L,Check!B127,'Input_APM (Zenith)'!M:M,Check!$F$1))</f>
        <v/>
      </c>
      <c r="L127" s="21" t="str">
        <f>IF(B127="","",SUMIFS('Input_APM (Zenith)'!N:N,'Input_APM (Zenith)'!L:L,Check!B127,'Input_APM (Zenith)'!M:M,Check!$G$1))</f>
        <v/>
      </c>
      <c r="M127" s="173" t="str">
        <f t="shared" si="31"/>
        <v/>
      </c>
      <c r="O127"/>
      <c r="P127" s="173" t="str">
        <f>IF(O127="","",IF(OR(LEFT(O127,4)="Cash",LEFT(O127,4)="Prov"),0,SUMIFS(Input_APM!N:N,Input_APM!L:L,Check!O127)))</f>
        <v/>
      </c>
      <c r="Q127" s="21" t="str">
        <f>IF(O127="","",IF(LEN(O127)&gt;9,SUMIFS(Options!$H$3:$H$28,Options!$B$3:$B$28,Check!O127),SUMIFS('Master P&amp;L'!$H$11:$H$101,'Master P&amp;L'!$B$11:$B$101,Check!O127)))</f>
        <v/>
      </c>
      <c r="R127" s="173" t="str">
        <f t="shared" ref="R127:R133" si="32">IF(O127="","",P127-Q127)</f>
        <v/>
      </c>
      <c r="S127" s="288" t="str">
        <f t="shared" si="11"/>
        <v/>
      </c>
    </row>
    <row r="128" spans="3:20">
      <c r="C128" s="187" t="str">
        <f>IF(B128="","",IF(LEN(B128)&gt;9,SUMIFS(Options!$H$3:$H$28,Options!$B$3:$B$28,Check!B128),SUMIFS('Master P&amp;L'!$H$11:$H$101,'Master P&amp;L'!$B$11:$B$101,Check!B128)))</f>
        <v/>
      </c>
      <c r="D128" s="187" t="str">
        <f>IF(B128="","",SUMIFS(Input_APM!N:N,Input_APM!L:L,Check!B128,Input_APM!M:M,Check!$F$1))</f>
        <v/>
      </c>
      <c r="E128" s="173" t="str">
        <f t="shared" si="28"/>
        <v/>
      </c>
      <c r="F128" s="187" t="str">
        <f>IF(B128="","",SUMIFS(Input_APM!N:N,Input_APM!M:M,Check!$F$1,Input_APM!L:L,Check!B128))</f>
        <v/>
      </c>
      <c r="G128" s="187" t="str">
        <f>IF(B128="","",SUMIFS(Input_APM!N:N,Input_APM!M:M,Check!$G$1,Input_APM!L:L,Check!B128))</f>
        <v/>
      </c>
      <c r="H128" s="173" t="str">
        <f t="shared" si="29"/>
        <v/>
      </c>
      <c r="I128" s="173">
        <f>SUMIFS(Input_APM!N:N,Input_APM!L:L,Check!B128)</f>
        <v>0</v>
      </c>
      <c r="J128" s="175" t="str">
        <f t="shared" si="30"/>
        <v/>
      </c>
      <c r="K128" s="21" t="str">
        <f>IF(B128="","",SUMIFS('Input_APM (Zenith)'!N:N,'Input_APM (Zenith)'!L:L,Check!B128,'Input_APM (Zenith)'!M:M,Check!$F$1))</f>
        <v/>
      </c>
      <c r="L128" s="21" t="str">
        <f>IF(B128="","",SUMIFS('Input_APM (Zenith)'!N:N,'Input_APM (Zenith)'!L:L,Check!B128,'Input_APM (Zenith)'!M:M,Check!$G$1))</f>
        <v/>
      </c>
      <c r="M128" s="173" t="str">
        <f t="shared" si="31"/>
        <v/>
      </c>
      <c r="O128"/>
      <c r="P128" s="173" t="str">
        <f>IF(O128="","",IF(OR(LEFT(O128,4)="Cash",LEFT(O128,4)="Prov"),0,SUMIFS(Input_APM!N:N,Input_APM!L:L,Check!O128)))</f>
        <v/>
      </c>
      <c r="Q128" s="21" t="str">
        <f>IF(O128="","",IF(LEN(O128)&gt;9,SUMIFS(Options!$H$3:$H$28,Options!$B$3:$B$28,Check!O128),SUMIFS('Master P&amp;L'!$H$11:$H$101,'Master P&amp;L'!$B$11:$B$101,Check!O128)))</f>
        <v/>
      </c>
      <c r="R128" s="173" t="str">
        <f t="shared" si="32"/>
        <v/>
      </c>
      <c r="S128" s="288" t="str">
        <f t="shared" si="11"/>
        <v/>
      </c>
    </row>
    <row r="129" spans="3:20">
      <c r="C129" s="187" t="str">
        <f>IF(B129="","",IF(LEN(B129)&gt;9,SUMIFS(Options!$H$3:$H$28,Options!$B$3:$B$28,Check!B129),SUMIFS('Master P&amp;L'!$H$11:$H$101,'Master P&amp;L'!$B$11:$B$101,Check!B129)))</f>
        <v/>
      </c>
      <c r="D129" s="187" t="str">
        <f>IF(B129="","",SUMIFS(Input_APM!N:N,Input_APM!L:L,Check!B129,Input_APM!M:M,Check!$F$1))</f>
        <v/>
      </c>
      <c r="E129" s="173" t="str">
        <f t="shared" ref="E129:E135" si="33">IF(B129="","",C129-M129)</f>
        <v/>
      </c>
      <c r="F129" s="187" t="str">
        <f>IF(B129="","",SUMIFS(Input_APM!N:N,Input_APM!M:M,Check!$F$1,Input_APM!L:L,Check!B129))</f>
        <v/>
      </c>
      <c r="G129" s="187" t="str">
        <f>IF(B129="","",SUMIFS(Input_APM!N:N,Input_APM!M:M,Check!$G$1,Input_APM!L:L,Check!B129))</f>
        <v/>
      </c>
      <c r="H129" s="173" t="str">
        <f t="shared" ref="H129:H135" si="34">IF(B129="","",F129-G129)</f>
        <v/>
      </c>
      <c r="I129" s="173">
        <f>SUMIFS(Input_APM!N:N,Input_APM!L:L,Check!B129)</f>
        <v>0</v>
      </c>
      <c r="J129" s="175" t="str">
        <f t="shared" ref="J129:J135" si="35">IF(B129="","",(F129+G129)-I129)</f>
        <v/>
      </c>
      <c r="K129" s="21" t="str">
        <f>IF(B129="","",SUMIFS('Input_APM (Zenith)'!N:N,'Input_APM (Zenith)'!L:L,Check!B129,'Input_APM (Zenith)'!M:M,Check!$F$1))</f>
        <v/>
      </c>
      <c r="L129" s="21" t="str">
        <f>IF(B129="","",SUMIFS('Input_APM (Zenith)'!N:N,'Input_APM (Zenith)'!L:L,Check!B129,'Input_APM (Zenith)'!M:M,Check!$G$1))</f>
        <v/>
      </c>
      <c r="M129" s="173" t="str">
        <f t="shared" ref="M129:M135" si="36">IF(B129="","",F129+G129+K129+L129)</f>
        <v/>
      </c>
      <c r="O129"/>
      <c r="P129" s="173" t="str">
        <f>IF(O129="","",IF(OR(LEFT(O129,4)="Cash",LEFT(O129,4)="Prov"),0,SUMIFS(Input_APM!N:N,Input_APM!L:L,Check!O129)))</f>
        <v/>
      </c>
      <c r="Q129" s="21" t="str">
        <f>IF(O129="","",IF(LEN(O129)&gt;9,SUMIFS(Options!$H$3:$H$28,Options!$B$3:$B$28,Check!O129),SUMIFS('Master P&amp;L'!$H$11:$H$101,'Master P&amp;L'!$B$11:$B$101,Check!O129)))</f>
        <v/>
      </c>
      <c r="R129" s="173" t="str">
        <f t="shared" si="32"/>
        <v/>
      </c>
      <c r="S129" s="288" t="str">
        <f t="shared" si="11"/>
        <v/>
      </c>
    </row>
    <row r="130" spans="3:20">
      <c r="C130" s="187" t="str">
        <f>IF(B130="","",IF(LEN(B130)&gt;9,SUMIFS(Options!$H$3:$H$28,Options!$B$3:$B$28,Check!B130),SUMIFS('Master P&amp;L'!$H$11:$H$101,'Master P&amp;L'!$B$11:$B$101,Check!B130)))</f>
        <v/>
      </c>
      <c r="D130" s="187" t="str">
        <f>IF(B130="","",SUMIFS(Input_APM!N:N,Input_APM!L:L,Check!B130,Input_APM!M:M,Check!$F$1))</f>
        <v/>
      </c>
      <c r="E130" s="173" t="str">
        <f t="shared" si="33"/>
        <v/>
      </c>
      <c r="F130" s="187" t="str">
        <f>IF(B130="","",SUMIFS(Input_APM!N:N,Input_APM!M:M,Check!$F$1,Input_APM!L:L,Check!B130))</f>
        <v/>
      </c>
      <c r="G130" s="187" t="str">
        <f>IF(B130="","",SUMIFS(Input_APM!N:N,Input_APM!M:M,Check!$G$1,Input_APM!L:L,Check!B130))</f>
        <v/>
      </c>
      <c r="H130" s="173" t="str">
        <f t="shared" si="34"/>
        <v/>
      </c>
      <c r="I130" s="173">
        <f>SUMIFS(Input_APM!N:N,Input_APM!L:L,Check!B130)</f>
        <v>0</v>
      </c>
      <c r="J130" s="175" t="str">
        <f t="shared" si="35"/>
        <v/>
      </c>
      <c r="K130" s="21" t="str">
        <f>IF(B130="","",SUMIFS('Input_APM (Zenith)'!N:N,'Input_APM (Zenith)'!L:L,Check!B130,'Input_APM (Zenith)'!M:M,Check!$F$1))</f>
        <v/>
      </c>
      <c r="L130" s="21" t="str">
        <f>IF(B130="","",SUMIFS('Input_APM (Zenith)'!N:N,'Input_APM (Zenith)'!L:L,Check!B130,'Input_APM (Zenith)'!M:M,Check!$G$1))</f>
        <v/>
      </c>
      <c r="M130" s="173" t="str">
        <f t="shared" si="36"/>
        <v/>
      </c>
      <c r="O130"/>
      <c r="P130" s="173" t="str">
        <f>IF(O130="","",IF(OR(LEFT(O130,4)="Cash",LEFT(O130,4)="Prov"),0,SUMIFS(Input_APM!N:N,Input_APM!L:L,Check!O130)))</f>
        <v/>
      </c>
      <c r="Q130" s="21" t="str">
        <f>IF(O130="","",IF(LEN(O130)&gt;9,SUMIFS(Options!$H$3:$H$28,Options!$B$3:$B$28,Check!O130),SUMIFS('Master P&amp;L'!$H$11:$H$101,'Master P&amp;L'!$B$11:$B$101,Check!O130)))</f>
        <v/>
      </c>
      <c r="R130" s="173" t="str">
        <f t="shared" si="32"/>
        <v/>
      </c>
      <c r="S130" s="288" t="str">
        <f t="shared" si="11"/>
        <v/>
      </c>
    </row>
    <row r="131" spans="3:20">
      <c r="C131" s="187" t="str">
        <f>IF(B131="","",IF(LEN(B131)&gt;9,SUMIFS(Options!$H$3:$H$28,Options!$B$3:$B$28,Check!B131),SUMIFS('Master P&amp;L'!$H$11:$H$101,'Master P&amp;L'!$B$11:$B$101,Check!B131)))</f>
        <v/>
      </c>
      <c r="D131" s="187" t="str">
        <f>IF(B131="","",SUMIFS(Input_APM!N:N,Input_APM!L:L,Check!B131,Input_APM!M:M,Check!$F$1))</f>
        <v/>
      </c>
      <c r="E131" s="173" t="str">
        <f t="shared" si="33"/>
        <v/>
      </c>
      <c r="F131" s="187" t="str">
        <f>IF(B131="","",SUMIFS(Input_APM!N:N,Input_APM!M:M,Check!$F$1,Input_APM!L:L,Check!B131))</f>
        <v/>
      </c>
      <c r="G131" s="187" t="str">
        <f>IF(B131="","",SUMIFS(Input_APM!N:N,Input_APM!M:M,Check!$G$1,Input_APM!L:L,Check!B131))</f>
        <v/>
      </c>
      <c r="H131" s="173" t="str">
        <f t="shared" si="34"/>
        <v/>
      </c>
      <c r="I131" s="173">
        <f>SUMIFS(Input_APM!N:N,Input_APM!L:L,Check!B131)</f>
        <v>0</v>
      </c>
      <c r="J131" s="175" t="str">
        <f t="shared" si="35"/>
        <v/>
      </c>
      <c r="K131" s="21" t="str">
        <f>IF(B131="","",SUMIFS('Input_APM (Zenith)'!N:N,'Input_APM (Zenith)'!L:L,Check!B131,'Input_APM (Zenith)'!M:M,Check!$F$1))</f>
        <v/>
      </c>
      <c r="L131" s="21" t="str">
        <f>IF(B131="","",SUMIFS('Input_APM (Zenith)'!N:N,'Input_APM (Zenith)'!L:L,Check!B131,'Input_APM (Zenith)'!M:M,Check!$G$1))</f>
        <v/>
      </c>
      <c r="M131" s="173" t="str">
        <f t="shared" si="36"/>
        <v/>
      </c>
      <c r="O131"/>
      <c r="P131" s="173" t="str">
        <f>IF(O131="","",IF(OR(LEFT(O131,4)="Cash",LEFT(O131,4)="Prov"),0,SUMIFS(Input_APM!N:N,Input_APM!L:L,Check!O131)))</f>
        <v/>
      </c>
      <c r="Q131" s="21" t="str">
        <f>IF(O131="","",IF(LEN(O131)&gt;9,SUMIFS(Options!$H$3:$H$28,Options!$B$3:$B$28,Check!O131),SUMIFS('Master P&amp;L'!$H$11:$H$101,'Master P&amp;L'!$B$11:$B$101,Check!O131)))</f>
        <v/>
      </c>
      <c r="R131" s="173" t="str">
        <f t="shared" si="32"/>
        <v/>
      </c>
      <c r="S131" s="288" t="str">
        <f t="shared" si="11"/>
        <v/>
      </c>
    </row>
    <row r="132" spans="3:20">
      <c r="C132" s="187" t="str">
        <f>IF(B132="","",IF(LEN(B132)&gt;9,SUMIFS(Options!$H$3:$H$28,Options!$B$3:$B$28,Check!B132),SUMIFS('Master P&amp;L'!$H$11:$H$101,'Master P&amp;L'!$B$11:$B$101,Check!B132)))</f>
        <v/>
      </c>
      <c r="D132" s="187" t="str">
        <f>IF(B132="","",SUMIFS(Input_APM!N:N,Input_APM!L:L,Check!B132,Input_APM!M:M,Check!$F$1))</f>
        <v/>
      </c>
      <c r="E132" s="173" t="str">
        <f t="shared" si="33"/>
        <v/>
      </c>
      <c r="F132" s="187" t="str">
        <f>IF(B132="","",SUMIFS(Input_APM!N:N,Input_APM!M:M,Check!$F$1,Input_APM!L:L,Check!B132))</f>
        <v/>
      </c>
      <c r="G132" s="187" t="str">
        <f>IF(B132="","",SUMIFS(Input_APM!N:N,Input_APM!M:M,Check!$G$1,Input_APM!L:L,Check!B132))</f>
        <v/>
      </c>
      <c r="H132" s="173" t="str">
        <f t="shared" si="34"/>
        <v/>
      </c>
      <c r="I132" s="173">
        <f>SUMIFS(Input_APM!N:N,Input_APM!L:L,Check!B132)</f>
        <v>0</v>
      </c>
      <c r="J132" s="175" t="str">
        <f t="shared" si="35"/>
        <v/>
      </c>
      <c r="K132" s="21" t="str">
        <f>IF(B132="","",SUMIFS('Input_APM (Zenith)'!N:N,'Input_APM (Zenith)'!L:L,Check!B132,'Input_APM (Zenith)'!M:M,Check!$F$1))</f>
        <v/>
      </c>
      <c r="L132" s="21" t="str">
        <f>IF(B132="","",SUMIFS('Input_APM (Zenith)'!N:N,'Input_APM (Zenith)'!L:L,Check!B132,'Input_APM (Zenith)'!M:M,Check!$G$1))</f>
        <v/>
      </c>
      <c r="M132" s="173" t="str">
        <f t="shared" si="36"/>
        <v/>
      </c>
      <c r="O132"/>
      <c r="P132" s="173" t="str">
        <f>IF(O132="","",IF(OR(LEFT(O132,4)="Cash",LEFT(O132,4)="Prov"),0,SUMIFS(Input_APM!N:N,Input_APM!L:L,Check!O132)))</f>
        <v/>
      </c>
      <c r="Q132" s="21" t="str">
        <f>IF(O132="","",IF(LEN(O132)&gt;9,SUMIFS(Options!$H$3:$H$28,Options!$B$3:$B$28,Check!O132),SUMIFS('Master P&amp;L'!$H$11:$H$101,'Master P&amp;L'!$B$11:$B$101,Check!O132)))</f>
        <v/>
      </c>
      <c r="R132" s="173" t="str">
        <f t="shared" si="32"/>
        <v/>
      </c>
      <c r="S132" s="288" t="str">
        <f t="shared" si="11"/>
        <v/>
      </c>
    </row>
    <row r="133" spans="3:20">
      <c r="C133" s="187" t="str">
        <f>IF(B133="","",IF(LEN(B133)&gt;9,SUMIFS(Options!$H$3:$H$28,Options!$B$3:$B$28,Check!B133),SUMIFS('Master P&amp;L'!$H$11:$H$101,'Master P&amp;L'!$B$11:$B$101,Check!B133)))</f>
        <v/>
      </c>
      <c r="D133" s="187" t="str">
        <f>IF(B133="","",SUMIFS(Input_APM!N:N,Input_APM!L:L,Check!B133,Input_APM!M:M,Check!$F$1))</f>
        <v/>
      </c>
      <c r="E133" s="173" t="str">
        <f t="shared" si="33"/>
        <v/>
      </c>
      <c r="F133" s="187" t="str">
        <f>IF(B133="","",SUMIFS(Input_APM!N:N,Input_APM!M:M,Check!$F$1,Input_APM!L:L,Check!B133))</f>
        <v/>
      </c>
      <c r="G133" s="187" t="str">
        <f>IF(B133="","",SUMIFS(Input_APM!N:N,Input_APM!M:M,Check!$G$1,Input_APM!L:L,Check!B133))</f>
        <v/>
      </c>
      <c r="H133" s="173" t="str">
        <f t="shared" si="34"/>
        <v/>
      </c>
      <c r="I133" s="173">
        <f>SUMIFS(Input_APM!N:N,Input_APM!L:L,Check!B133)</f>
        <v>0</v>
      </c>
      <c r="J133" s="175" t="str">
        <f t="shared" si="35"/>
        <v/>
      </c>
      <c r="K133" s="21" t="str">
        <f>IF(B133="","",SUMIFS('Input_APM (Zenith)'!N:N,'Input_APM (Zenith)'!L:L,Check!B133,'Input_APM (Zenith)'!M:M,Check!$F$1))</f>
        <v/>
      </c>
      <c r="L133" s="21" t="str">
        <f>IF(B133="","",SUMIFS('Input_APM (Zenith)'!N:N,'Input_APM (Zenith)'!L:L,Check!B133,'Input_APM (Zenith)'!M:M,Check!$G$1))</f>
        <v/>
      </c>
      <c r="M133" s="173" t="str">
        <f t="shared" si="36"/>
        <v/>
      </c>
      <c r="O133"/>
      <c r="P133" s="173" t="str">
        <f>IF(O133="","",IF(OR(LEFT(O133,4)="Cash",LEFT(O133,4)="Prov"),0,SUMIFS(Input_APM!N:N,Input_APM!L:L,Check!O133)))</f>
        <v/>
      </c>
      <c r="Q133" s="21" t="str">
        <f>IF(O133="","",IF(LEN(O133)&gt;9,SUMIFS(Options!$H$3:$H$28,Options!$B$3:$B$28,Check!O133),SUMIFS('Master P&amp;L'!$H$11:$H$101,'Master P&amp;L'!$B$11:$B$101,Check!O133)))</f>
        <v/>
      </c>
      <c r="R133" s="173" t="str">
        <f t="shared" si="32"/>
        <v/>
      </c>
      <c r="S133" s="288" t="str">
        <f t="shared" si="11"/>
        <v/>
      </c>
    </row>
    <row r="134" spans="3:20">
      <c r="C134" s="187" t="str">
        <f>IF(B134="","",IF(LEN(B134)&gt;9,SUMIFS(Options!$H$3:$H$28,Options!$B$3:$B$28,Check!B134),SUMIFS('Master P&amp;L'!$H$11:$H$101,'Master P&amp;L'!$B$11:$B$101,Check!B134)))</f>
        <v/>
      </c>
      <c r="D134" s="187" t="str">
        <f>IF(B134="","",SUMIFS(Input_APM!N:N,Input_APM!L:L,Check!B134,Input_APM!M:M,Check!$F$1))</f>
        <v/>
      </c>
      <c r="E134" s="173" t="str">
        <f t="shared" si="33"/>
        <v/>
      </c>
      <c r="F134" s="187" t="str">
        <f>IF(B134="","",SUMIFS(Input_APM!N:N,Input_APM!M:M,Check!$F$1,Input_APM!L:L,Check!B134))</f>
        <v/>
      </c>
      <c r="G134" s="187" t="str">
        <f>IF(B134="","",SUMIFS(Input_APM!N:N,Input_APM!M:M,Check!$G$1,Input_APM!L:L,Check!B134))</f>
        <v/>
      </c>
      <c r="H134" s="173" t="str">
        <f t="shared" si="34"/>
        <v/>
      </c>
      <c r="I134" s="173">
        <f>SUMIFS(Input_APM!N:N,Input_APM!L:L,Check!B134)</f>
        <v>0</v>
      </c>
      <c r="J134" s="175" t="str">
        <f t="shared" si="35"/>
        <v/>
      </c>
      <c r="K134" s="21" t="str">
        <f>IF(B134="","",SUMIFS('Input_APM (Zenith)'!N:N,'Input_APM (Zenith)'!L:L,Check!B134,'Input_APM (Zenith)'!M:M,Check!$F$1))</f>
        <v/>
      </c>
      <c r="L134" s="21" t="str">
        <f>IF(B134="","",SUMIFS('Input_APM (Zenith)'!N:N,'Input_APM (Zenith)'!L:L,Check!B134,'Input_APM (Zenith)'!M:M,Check!$G$1))</f>
        <v/>
      </c>
      <c r="M134" s="173" t="str">
        <f t="shared" si="36"/>
        <v/>
      </c>
      <c r="O134"/>
      <c r="P134" s="173" t="str">
        <f>IF(O134="","",IF(OR(LEFT(O134,4)="Cash",LEFT(O134,4)="Prov"),0,SUMIFS(Input_APM!N:N,Input_APM!L:L,Check!O134)))</f>
        <v/>
      </c>
      <c r="Q134" s="21" t="str">
        <f>IF(O134="","",IF(LEN(O134)&gt;9,SUMIFS(Options!$H$3:$H$28,Options!$B$3:$B$28,Check!O134),SUMIFS('Master P&amp;L'!$H$11:$H$101,'Master P&amp;L'!$B$11:$B$101,Check!O134)))</f>
        <v/>
      </c>
      <c r="R134" s="173" t="str">
        <f>IF(O134="","",P134-Q134)</f>
        <v/>
      </c>
      <c r="S134" s="288" t="str">
        <f t="shared" ref="S134:S197" si="37">IF(O134="","",IF((P134+Q134)=0,"Ok",IF(OR(P134=0,Q134=0),"Erro",P134/Q134)))</f>
        <v/>
      </c>
    </row>
    <row r="135" spans="3:20">
      <c r="C135" s="187" t="str">
        <f>IF(B135="","",IF(LEN(B135)&gt;9,SUMIFS(Options!$H$3:$H$28,Options!$B$3:$B$28,Check!B135),SUMIFS('Master P&amp;L'!$H$11:$H$101,'Master P&amp;L'!$B$11:$B$101,Check!B135)))</f>
        <v/>
      </c>
      <c r="D135" s="187" t="str">
        <f>IF(B135="","",SUMIFS(Input_APM!N:N,Input_APM!L:L,Check!B135,Input_APM!M:M,Check!$F$1))</f>
        <v/>
      </c>
      <c r="E135" s="173" t="str">
        <f t="shared" si="33"/>
        <v/>
      </c>
      <c r="F135" s="187" t="str">
        <f>IF(B135="","",SUMIFS(Input_APM!N:N,Input_APM!M:M,Check!$F$1,Input_APM!L:L,Check!B135))</f>
        <v/>
      </c>
      <c r="G135" s="187" t="str">
        <f>IF(B135="","",SUMIFS(Input_APM!N:N,Input_APM!M:M,Check!$G$1,Input_APM!L:L,Check!B135))</f>
        <v/>
      </c>
      <c r="H135" s="173" t="str">
        <f t="shared" si="34"/>
        <v/>
      </c>
      <c r="I135" s="173">
        <f>SUMIFS(Input_APM!N:N,Input_APM!L:L,Check!B135)</f>
        <v>0</v>
      </c>
      <c r="J135" s="175" t="str">
        <f t="shared" si="35"/>
        <v/>
      </c>
      <c r="K135" s="21" t="str">
        <f>IF(B135="","",SUMIFS('Input_APM (Zenith)'!N:N,'Input_APM (Zenith)'!L:L,Check!B135,'Input_APM (Zenith)'!M:M,Check!$F$1))</f>
        <v/>
      </c>
      <c r="L135" s="21" t="str">
        <f>IF(B135="","",SUMIFS('Input_APM (Zenith)'!N:N,'Input_APM (Zenith)'!L:L,Check!B135,'Input_APM (Zenith)'!M:M,Check!$G$1))</f>
        <v/>
      </c>
      <c r="M135" s="173" t="str">
        <f t="shared" si="36"/>
        <v/>
      </c>
      <c r="O135"/>
      <c r="P135" s="173" t="str">
        <f>IF(O135="","",IF(OR(LEFT(O135,4)="Cash",LEFT(O135,4)="Prov"),0,SUMIFS(Input_APM!N:N,Input_APM!L:L,Check!O135)))</f>
        <v/>
      </c>
      <c r="Q135" s="21" t="str">
        <f>IF(O135="","",IF(LEN(O135)&gt;9,SUMIFS(Options!$H$3:$H$28,Options!$B$3:$B$28,Check!O135),SUMIFS('Master P&amp;L'!$H$11:$H$101,'Master P&amp;L'!$B$11:$B$101,Check!O135)))</f>
        <v/>
      </c>
      <c r="R135" s="173" t="str">
        <f>IF(O135="","",P135-Q135)</f>
        <v/>
      </c>
      <c r="S135" s="288" t="str">
        <f t="shared" si="37"/>
        <v/>
      </c>
    </row>
    <row r="136" spans="3:20">
      <c r="C136" s="187" t="str">
        <f>IF(B136="","",IF(LEN(B136)&gt;9,SUMIFS(Options!$H$3:$H$28,Options!$B$3:$B$28,Check!B136),SUMIFS('Master P&amp;L'!$H$11:$H$101,'Master P&amp;L'!$B$11:$B$101,Check!B136)))</f>
        <v/>
      </c>
      <c r="D136" s="187" t="str">
        <f>IF(B136="","",SUMIFS(Input_APM!N:N,Input_APM!L:L,Check!B136,Input_APM!M:M,Check!$F$1))</f>
        <v/>
      </c>
      <c r="E136" s="173" t="str">
        <f t="shared" ref="E136:E150" si="38">IF(B136="","",C136-M136)</f>
        <v/>
      </c>
      <c r="F136" s="187" t="str">
        <f>IF(B136="","",SUMIFS(Input_APM!N:N,Input_APM!M:M,Check!$F$1,Input_APM!L:L,Check!B136))</f>
        <v/>
      </c>
      <c r="G136" s="187" t="str">
        <f>IF(B136="","",SUMIFS(Input_APM!N:N,Input_APM!M:M,Check!$G$1,Input_APM!L:L,Check!B136))</f>
        <v/>
      </c>
      <c r="H136" s="173" t="str">
        <f t="shared" ref="H136:H150" si="39">IF(B136="","",F136-G136)</f>
        <v/>
      </c>
      <c r="I136" s="173">
        <f>SUMIFS(Input_APM!N:N,Input_APM!L:L,Check!B136)</f>
        <v>0</v>
      </c>
      <c r="J136" s="175" t="str">
        <f t="shared" ref="J136:J150" si="40">IF(B136="","",(F136+G136)-I136)</f>
        <v/>
      </c>
      <c r="K136" s="21" t="str">
        <f>IF(B136="","",SUMIFS('Input_APM (Zenith)'!N:N,'Input_APM (Zenith)'!L:L,Check!B136,'Input_APM (Zenith)'!M:M,Check!$F$1))</f>
        <v/>
      </c>
      <c r="L136" s="21" t="str">
        <f>IF(B136="","",SUMIFS('Input_APM (Zenith)'!N:N,'Input_APM (Zenith)'!L:L,Check!B136,'Input_APM (Zenith)'!M:M,Check!$G$1))</f>
        <v/>
      </c>
      <c r="M136" s="173" t="str">
        <f t="shared" ref="M136:M150" si="41">IF(B136="","",F136+G136+K136+L136)</f>
        <v/>
      </c>
      <c r="O136"/>
      <c r="P136" s="173" t="str">
        <f>IF(O136="","",IF(OR(LEFT(O136,4)="Cash",LEFT(O136,4)="Prov"),0,SUMIFS(Input_APM!N:N,Input_APM!L:L,Check!O136)))</f>
        <v/>
      </c>
      <c r="Q136" s="21" t="str">
        <f>IF(O136="","",IF(LEN(O136)&gt;9,SUMIFS(Options!$H$3:$H$28,Options!$B$3:$B$28,Check!O136),SUMIFS('Master P&amp;L'!$H$11:$H$101,'Master P&amp;L'!$B$11:$B$101,Check!O136)))</f>
        <v/>
      </c>
      <c r="R136" s="173" t="str">
        <f t="shared" ref="R136:R142" si="42">IF(O136="","",P136-Q136)</f>
        <v/>
      </c>
      <c r="S136" s="288" t="str">
        <f t="shared" si="37"/>
        <v/>
      </c>
    </row>
    <row r="137" spans="3:20">
      <c r="C137" s="187" t="str">
        <f>IF(B137="","",IF(LEN(B137)&gt;9,SUMIFS(Options!$H$3:$H$28,Options!$B$3:$B$28,Check!B137),SUMIFS('Master P&amp;L'!$H$11:$H$101,'Master P&amp;L'!$B$11:$B$101,Check!B137)))</f>
        <v/>
      </c>
      <c r="D137" s="187" t="str">
        <f>IF(B137="","",SUMIFS(Input_APM!N:N,Input_APM!L:L,Check!B137,Input_APM!M:M,Check!$F$1))</f>
        <v/>
      </c>
      <c r="E137" s="173" t="str">
        <f t="shared" si="38"/>
        <v/>
      </c>
      <c r="F137" s="187" t="str">
        <f>IF(B137="","",SUMIFS(Input_APM!N:N,Input_APM!M:M,Check!$F$1,Input_APM!L:L,Check!B137))</f>
        <v/>
      </c>
      <c r="G137" s="187" t="str">
        <f>IF(B137="","",SUMIFS(Input_APM!N:N,Input_APM!M:M,Check!$G$1,Input_APM!L:L,Check!B137))</f>
        <v/>
      </c>
      <c r="H137" s="173" t="str">
        <f t="shared" si="39"/>
        <v/>
      </c>
      <c r="I137" s="173">
        <f>SUMIFS(Input_APM!N:N,Input_APM!L:L,Check!B137)</f>
        <v>0</v>
      </c>
      <c r="J137" s="175" t="str">
        <f t="shared" si="40"/>
        <v/>
      </c>
      <c r="K137" s="21" t="str">
        <f>IF(B137="","",SUMIFS('Input_APM (Zenith)'!N:N,'Input_APM (Zenith)'!L:L,Check!B137,'Input_APM (Zenith)'!M:M,Check!$F$1))</f>
        <v/>
      </c>
      <c r="L137" s="21" t="str">
        <f>IF(B137="","",SUMIFS('Input_APM (Zenith)'!N:N,'Input_APM (Zenith)'!L:L,Check!B137,'Input_APM (Zenith)'!M:M,Check!$G$1))</f>
        <v/>
      </c>
      <c r="M137" s="173" t="str">
        <f t="shared" si="41"/>
        <v/>
      </c>
      <c r="O137"/>
      <c r="P137" s="173" t="str">
        <f>IF(O137="","",IF(OR(LEFT(O137,4)="Cash",LEFT(O137,4)="Prov"),0,SUMIFS(Input_APM!N:N,Input_APM!L:L,Check!O137)))</f>
        <v/>
      </c>
      <c r="Q137" s="21" t="str">
        <f>IF(O137="","",IF(LEN(O137)&gt;9,SUMIFS(Options!$H$3:$H$28,Options!$B$3:$B$28,Check!O137),SUMIFS('Master P&amp;L'!$H$11:$H$101,'Master P&amp;L'!$B$11:$B$101,Check!O137)))</f>
        <v/>
      </c>
      <c r="R137" s="173" t="str">
        <f t="shared" si="42"/>
        <v/>
      </c>
      <c r="S137" s="288" t="str">
        <f t="shared" si="37"/>
        <v/>
      </c>
    </row>
    <row r="138" spans="3:20">
      <c r="C138" s="187" t="str">
        <f>IF(B138="","",IF(LEN(B138)&gt;9,SUMIFS(Options!$H$3:$H$28,Options!$B$3:$B$28,Check!B138),SUMIFS('Master P&amp;L'!$H$11:$H$101,'Master P&amp;L'!$B$11:$B$101,Check!B138)))</f>
        <v/>
      </c>
      <c r="D138" s="187" t="str">
        <f>IF(B138="","",SUMIFS(Input_APM!N:N,Input_APM!L:L,Check!B138,Input_APM!M:M,Check!$F$1))</f>
        <v/>
      </c>
      <c r="E138" s="173" t="str">
        <f t="shared" si="38"/>
        <v/>
      </c>
      <c r="F138" s="187" t="str">
        <f>IF(B138="","",SUMIFS(Input_APM!N:N,Input_APM!M:M,Check!$F$1,Input_APM!L:L,Check!B138))</f>
        <v/>
      </c>
      <c r="G138" s="187" t="str">
        <f>IF(B138="","",SUMIFS(Input_APM!N:N,Input_APM!M:M,Check!$G$1,Input_APM!L:L,Check!B138))</f>
        <v/>
      </c>
      <c r="H138" s="173" t="str">
        <f t="shared" si="39"/>
        <v/>
      </c>
      <c r="I138" s="173">
        <f>SUMIFS(Input_APM!N:N,Input_APM!L:L,Check!B138)</f>
        <v>0</v>
      </c>
      <c r="J138" s="175" t="str">
        <f t="shared" si="40"/>
        <v/>
      </c>
      <c r="K138" s="21" t="str">
        <f>IF(B138="","",SUMIFS('Input_APM (Zenith)'!N:N,'Input_APM (Zenith)'!L:L,Check!B138,'Input_APM (Zenith)'!M:M,Check!$F$1))</f>
        <v/>
      </c>
      <c r="L138" s="21" t="str">
        <f>IF(B138="","",SUMIFS('Input_APM (Zenith)'!N:N,'Input_APM (Zenith)'!L:L,Check!B138,'Input_APM (Zenith)'!M:M,Check!$G$1))</f>
        <v/>
      </c>
      <c r="M138" s="173" t="str">
        <f t="shared" si="41"/>
        <v/>
      </c>
      <c r="O138"/>
      <c r="P138" s="173" t="str">
        <f>IF(O138="","",IF(OR(LEFT(O138,4)="Cash",LEFT(O138,4)="Prov"),0,SUMIFS(Input_APM!N:N,Input_APM!L:L,Check!O138)))</f>
        <v/>
      </c>
      <c r="Q138" s="21" t="str">
        <f>IF(O138="","",IF(LEN(O138)&gt;9,SUMIFS(Options!$H$3:$H$28,Options!$B$3:$B$28,Check!O138),SUMIFS('Master P&amp;L'!$H$11:$H$101,'Master P&amp;L'!$B$11:$B$101,Check!O138)))</f>
        <v/>
      </c>
      <c r="R138" s="173" t="str">
        <f t="shared" si="42"/>
        <v/>
      </c>
      <c r="S138" s="288" t="str">
        <f t="shared" si="37"/>
        <v/>
      </c>
    </row>
    <row r="139" spans="3:20">
      <c r="C139" s="187" t="str">
        <f>IF(B139="","",IF(LEN(B139)&gt;9,SUMIFS(Options!$H$3:$H$28,Options!$B$3:$B$28,Check!B139),SUMIFS('Master P&amp;L'!$H$11:$H$101,'Master P&amp;L'!$B$11:$B$101,Check!B139)))</f>
        <v/>
      </c>
      <c r="D139" s="187" t="str">
        <f>IF(B139="","",SUMIFS(Input_APM!N:N,Input_APM!L:L,Check!B139,Input_APM!M:M,Check!$F$1))</f>
        <v/>
      </c>
      <c r="E139" s="173" t="str">
        <f t="shared" si="38"/>
        <v/>
      </c>
      <c r="F139" s="187" t="str">
        <f>IF(B139="","",SUMIFS(Input_APM!N:N,Input_APM!M:M,Check!$F$1,Input_APM!L:L,Check!B139))</f>
        <v/>
      </c>
      <c r="G139" s="187" t="str">
        <f>IF(B139="","",SUMIFS(Input_APM!N:N,Input_APM!M:M,Check!$G$1,Input_APM!L:L,Check!B139))</f>
        <v/>
      </c>
      <c r="H139" s="173" t="str">
        <f t="shared" si="39"/>
        <v/>
      </c>
      <c r="I139" s="173">
        <f>SUMIFS(Input_APM!N:N,Input_APM!L:L,Check!B139)</f>
        <v>0</v>
      </c>
      <c r="J139" s="175" t="str">
        <f t="shared" si="40"/>
        <v/>
      </c>
      <c r="K139" s="21" t="str">
        <f>IF(B139="","",SUMIFS('Input_APM (Zenith)'!N:N,'Input_APM (Zenith)'!L:L,Check!B139,'Input_APM (Zenith)'!M:M,Check!$F$1))</f>
        <v/>
      </c>
      <c r="L139" s="21" t="str">
        <f>IF(B139="","",SUMIFS('Input_APM (Zenith)'!N:N,'Input_APM (Zenith)'!L:L,Check!B139,'Input_APM (Zenith)'!M:M,Check!$G$1))</f>
        <v/>
      </c>
      <c r="M139" s="173" t="str">
        <f t="shared" si="41"/>
        <v/>
      </c>
      <c r="O139"/>
      <c r="P139" s="173" t="str">
        <f>IF(O139="","",IF(OR(LEFT(O139,4)="Cash",LEFT(O139,4)="Prov"),0,SUMIFS(Input_APM!N:N,Input_APM!L:L,Check!O139)))</f>
        <v/>
      </c>
      <c r="Q139" s="21" t="str">
        <f>IF(O139="","",IF(LEN(O139)&gt;9,SUMIFS(Options!$H$3:$H$28,Options!$B$3:$B$28,Check!O139),SUMIFS('Master P&amp;L'!$H$11:$H$101,'Master P&amp;L'!$B$11:$B$101,Check!O139)))</f>
        <v/>
      </c>
      <c r="R139" s="173" t="str">
        <f t="shared" si="42"/>
        <v/>
      </c>
      <c r="S139" s="288" t="str">
        <f t="shared" si="37"/>
        <v/>
      </c>
    </row>
    <row r="140" spans="3:20">
      <c r="C140" s="187" t="str">
        <f>IF(B140="","",IF(LEN(B140)&gt;9,SUMIFS(Options!$H$3:$H$28,Options!$B$3:$B$28,Check!B140),SUMIFS('Master P&amp;L'!$H$11:$H$101,'Master P&amp;L'!$B$11:$B$101,Check!B140)))</f>
        <v/>
      </c>
      <c r="D140" s="187" t="str">
        <f>IF(B140="","",SUMIFS(Input_APM!N:N,Input_APM!L:L,Check!B140,Input_APM!M:M,Check!$F$1))</f>
        <v/>
      </c>
      <c r="E140" s="173" t="str">
        <f t="shared" si="38"/>
        <v/>
      </c>
      <c r="F140" s="187" t="str">
        <f>IF(B140="","",SUMIFS(Input_APM!N:N,Input_APM!M:M,Check!$F$1,Input_APM!L:L,Check!B140))</f>
        <v/>
      </c>
      <c r="G140" s="187" t="str">
        <f>IF(B140="","",SUMIFS(Input_APM!N:N,Input_APM!M:M,Check!$G$1,Input_APM!L:L,Check!B140))</f>
        <v/>
      </c>
      <c r="H140" s="173" t="str">
        <f t="shared" si="39"/>
        <v/>
      </c>
      <c r="I140" s="173">
        <f>SUMIFS(Input_APM!N:N,Input_APM!L:L,Check!B140)</f>
        <v>0</v>
      </c>
      <c r="J140" s="175" t="str">
        <f t="shared" si="40"/>
        <v/>
      </c>
      <c r="K140" s="21" t="str">
        <f>IF(B140="","",SUMIFS('Input_APM (Zenith)'!N:N,'Input_APM (Zenith)'!L:L,Check!B140,'Input_APM (Zenith)'!M:M,Check!$F$1))</f>
        <v/>
      </c>
      <c r="L140" s="21" t="str">
        <f>IF(B140="","",SUMIFS('Input_APM (Zenith)'!N:N,'Input_APM (Zenith)'!L:L,Check!B140,'Input_APM (Zenith)'!M:M,Check!$G$1))</f>
        <v/>
      </c>
      <c r="M140" s="173" t="str">
        <f t="shared" si="41"/>
        <v/>
      </c>
      <c r="O140"/>
      <c r="P140" s="173" t="str">
        <f>IF(O140="","",IF(OR(LEFT(O140,4)="Cash",LEFT(O140,4)="Prov"),0,SUMIFS(Input_APM!N:N,Input_APM!L:L,Check!O140)))</f>
        <v/>
      </c>
      <c r="Q140" s="21" t="str">
        <f>IF(O140="","",IF(LEN(O140)&gt;9,SUMIFS(Options!$H$3:$H$28,Options!$B$3:$B$28,Check!O140),SUMIFS('Master P&amp;L'!$H$11:$H$101,'Master P&amp;L'!$B$11:$B$101,Check!O140)))</f>
        <v/>
      </c>
      <c r="R140" s="173" t="str">
        <f t="shared" si="42"/>
        <v/>
      </c>
      <c r="S140" s="288" t="str">
        <f t="shared" si="37"/>
        <v/>
      </c>
    </row>
    <row r="141" spans="3:20">
      <c r="C141" s="187" t="str">
        <f>IF(B141="","",IF(LEN(B141)&gt;9,SUMIFS(Options!$H$3:$H$28,Options!$B$3:$B$28,Check!B141),SUMIFS('Master P&amp;L'!$H$11:$H$101,'Master P&amp;L'!$B$11:$B$101,Check!B141)))</f>
        <v/>
      </c>
      <c r="D141" s="187" t="str">
        <f>IF(B141="","",SUMIFS(Input_APM!N:N,Input_APM!L:L,Check!B141,Input_APM!M:M,Check!$F$1))</f>
        <v/>
      </c>
      <c r="E141" s="173" t="str">
        <f t="shared" si="38"/>
        <v/>
      </c>
      <c r="F141" s="187" t="str">
        <f>IF(B141="","",SUMIFS(Input_APM!N:N,Input_APM!M:M,Check!$F$1,Input_APM!L:L,Check!B141))</f>
        <v/>
      </c>
      <c r="G141" s="187" t="str">
        <f>IF(B141="","",SUMIFS(Input_APM!N:N,Input_APM!M:M,Check!$G$1,Input_APM!L:L,Check!B141))</f>
        <v/>
      </c>
      <c r="H141" s="173" t="str">
        <f t="shared" si="39"/>
        <v/>
      </c>
      <c r="I141" s="173">
        <f>SUMIFS(Input_APM!N:N,Input_APM!L:L,Check!B141)</f>
        <v>0</v>
      </c>
      <c r="J141" s="175" t="str">
        <f t="shared" si="40"/>
        <v/>
      </c>
      <c r="K141" s="21" t="str">
        <f>IF(B141="","",SUMIFS('Input_APM (Zenith)'!N:N,'Input_APM (Zenith)'!L:L,Check!B141,'Input_APM (Zenith)'!M:M,Check!$F$1))</f>
        <v/>
      </c>
      <c r="L141" s="21" t="str">
        <f>IF(B141="","",SUMIFS('Input_APM (Zenith)'!N:N,'Input_APM (Zenith)'!L:L,Check!B141,'Input_APM (Zenith)'!M:M,Check!$G$1))</f>
        <v/>
      </c>
      <c r="M141" s="173" t="str">
        <f t="shared" si="41"/>
        <v/>
      </c>
      <c r="O141"/>
      <c r="P141" s="173" t="str">
        <f>IF(O141="","",IF(OR(LEFT(O141,4)="Cash",LEFT(O141,4)="Prov"),0,SUMIFS(Input_APM!N:N,Input_APM!L:L,Check!O141)))</f>
        <v/>
      </c>
      <c r="Q141" s="21" t="str">
        <f>IF(O141="","",IF(LEN(O141)&gt;9,SUMIFS(Options!$H$3:$H$28,Options!$B$3:$B$28,Check!O141),SUMIFS('Master P&amp;L'!$H$11:$H$101,'Master P&amp;L'!$B$11:$B$101,Check!O141)))</f>
        <v/>
      </c>
      <c r="R141" s="173" t="str">
        <f t="shared" si="42"/>
        <v/>
      </c>
      <c r="S141" s="288" t="str">
        <f t="shared" si="37"/>
        <v/>
      </c>
      <c r="T141" t="s">
        <v>441</v>
      </c>
    </row>
    <row r="142" spans="3:20">
      <c r="C142" s="187" t="str">
        <f>IF(B142="","",IF(LEN(B142)&gt;9,SUMIFS(Options!$H$3:$H$28,Options!$B$3:$B$28,Check!B142),SUMIFS('Master P&amp;L'!$H$11:$H$101,'Master P&amp;L'!$B$11:$B$101,Check!B142)))</f>
        <v/>
      </c>
      <c r="D142" s="187" t="str">
        <f>IF(B142="","",SUMIFS(Input_APM!N:N,Input_APM!L:L,Check!B142,Input_APM!M:M,Check!$F$1))</f>
        <v/>
      </c>
      <c r="E142" s="173" t="str">
        <f>IF(B142="","",C142-M142)</f>
        <v/>
      </c>
      <c r="F142" s="187" t="str">
        <f>IF(B142="","",SUMIFS(Input_APM!N:N,Input_APM!M:M,Check!$F$1,Input_APM!L:L,Check!B142))</f>
        <v/>
      </c>
      <c r="G142" s="187" t="str">
        <f>IF(B142="","",SUMIFS(Input_APM!N:N,Input_APM!M:M,Check!$G$1,Input_APM!L:L,Check!B142))</f>
        <v/>
      </c>
      <c r="H142" s="173" t="str">
        <f t="shared" si="39"/>
        <v/>
      </c>
      <c r="I142" s="173">
        <f>SUMIFS(Input_APM!N:N,Input_APM!L:L,Check!B142)</f>
        <v>0</v>
      </c>
      <c r="J142" s="175" t="str">
        <f t="shared" si="40"/>
        <v/>
      </c>
      <c r="K142" s="21" t="str">
        <f>IF(B142="","",SUMIFS('Input_APM (Zenith)'!N:N,'Input_APM (Zenith)'!L:L,Check!B142,'Input_APM (Zenith)'!M:M,Check!$F$1))</f>
        <v/>
      </c>
      <c r="L142" s="21" t="str">
        <f>IF(B142="","",SUMIFS('Input_APM (Zenith)'!N:N,'Input_APM (Zenith)'!L:L,Check!B142,'Input_APM (Zenith)'!M:M,Check!$G$1))</f>
        <v/>
      </c>
      <c r="M142" s="173" t="str">
        <f t="shared" si="41"/>
        <v/>
      </c>
      <c r="O142"/>
      <c r="P142" s="255" t="str">
        <f>IF(O142="","",IF(OR(LEFT(O142,4)="Cash",LEFT(O142,4)="Prov"),0,SUMIFS(Input_APM!N:N,Input_APM!L:L,Check!O142)))</f>
        <v/>
      </c>
      <c r="Q142" s="133" t="str">
        <f>IF(O142="","",IF(LEN(O142)&gt;9,SUMIFS(Options!$H$3:$H$28,Options!$B$3:$B$28,Check!O142),SUMIFS('Master P&amp;L'!$H$11:$H$101,'Master P&amp;L'!$B$11:$B$101,Check!O142)))</f>
        <v/>
      </c>
      <c r="R142" s="255" t="str">
        <f t="shared" si="42"/>
        <v/>
      </c>
      <c r="S142" s="288" t="str">
        <f t="shared" si="37"/>
        <v/>
      </c>
      <c r="T142" s="58" t="s">
        <v>441</v>
      </c>
    </row>
    <row r="143" spans="3:20">
      <c r="C143" s="187" t="str">
        <f>IF(B143="","",IF(LEN(B143)&gt;9,SUMIFS(Options!$H$3:$H$28,Options!$B$3:$B$28,Check!B143),SUMIFS('Master P&amp;L'!$H$11:$H$101,'Master P&amp;L'!$B$11:$B$101,Check!B143)))</f>
        <v/>
      </c>
      <c r="D143" s="187" t="str">
        <f>IF(B143="","",SUMIFS(Input_APM!N:N,Input_APM!L:L,Check!B143,Input_APM!M:M,Check!$F$1))</f>
        <v/>
      </c>
      <c r="E143" s="173" t="str">
        <f t="shared" si="38"/>
        <v/>
      </c>
      <c r="F143" s="187" t="str">
        <f>IF(B143="","",SUMIFS(Input_APM!N:N,Input_APM!M:M,Check!$F$1,Input_APM!L:L,Check!B143))</f>
        <v/>
      </c>
      <c r="G143" s="187" t="str">
        <f>IF(B143="","",SUMIFS(Input_APM!N:N,Input_APM!M:M,Check!$G$1,Input_APM!L:L,Check!B143))</f>
        <v/>
      </c>
      <c r="H143" s="173" t="str">
        <f t="shared" si="39"/>
        <v/>
      </c>
      <c r="I143" s="173">
        <f>SUMIFS(Input_APM!N:N,Input_APM!L:L,Check!B143)</f>
        <v>0</v>
      </c>
      <c r="J143" s="175" t="str">
        <f t="shared" si="40"/>
        <v/>
      </c>
      <c r="K143" s="21" t="str">
        <f>IF(B143="","",SUMIFS('Input_APM (Zenith)'!N:N,'Input_APM (Zenith)'!L:L,Check!B143,'Input_APM (Zenith)'!M:M,Check!$F$1))</f>
        <v/>
      </c>
      <c r="L143" s="21" t="str">
        <f>IF(B143="","",SUMIFS('Input_APM (Zenith)'!N:N,'Input_APM (Zenith)'!L:L,Check!B143,'Input_APM (Zenith)'!M:M,Check!$G$1))</f>
        <v/>
      </c>
      <c r="M143" s="173" t="str">
        <f t="shared" si="41"/>
        <v/>
      </c>
      <c r="O143"/>
      <c r="P143" s="173" t="str">
        <f>IF(O143="","",IF(OR(LEFT(O143,4)="Cash",LEFT(O143,4)="Prov"),0,SUMIFS(Input_APM!N:N,Input_APM!L:L,Check!O143)))</f>
        <v/>
      </c>
      <c r="Q143" s="21" t="str">
        <f>IF(O143="","",IF(LEN(O143)&gt;9,SUMIFS(Options!$H$3:$H$28,Options!$B$3:$B$28,Check!O143),SUMIFS('Master P&amp;L'!$H$11:$H$101,'Master P&amp;L'!$B$11:$B$101,Check!O143)))</f>
        <v/>
      </c>
      <c r="R143" s="173" t="str">
        <f t="shared" ref="R143:R150" si="43">IF(O143="","",P143-Q143)</f>
        <v/>
      </c>
      <c r="S143" s="288" t="str">
        <f t="shared" si="37"/>
        <v/>
      </c>
    </row>
    <row r="144" spans="3:20">
      <c r="C144" s="187" t="str">
        <f>IF(B144="","",IF(LEN(B144)&gt;9,SUMIFS(Options!$H$3:$H$28,Options!$B$3:$B$28,Check!B144),SUMIFS('Master P&amp;L'!$H$11:$H$101,'Master P&amp;L'!$B$11:$B$101,Check!B144)))</f>
        <v/>
      </c>
      <c r="D144" s="187" t="str">
        <f>IF(B144="","",SUMIFS(Input_APM!N:N,Input_APM!L:L,Check!B144,Input_APM!M:M,Check!$F$1))</f>
        <v/>
      </c>
      <c r="E144" s="173" t="str">
        <f t="shared" si="38"/>
        <v/>
      </c>
      <c r="F144" s="187" t="str">
        <f>IF(B144="","",SUMIFS(Input_APM!N:N,Input_APM!M:M,Check!$F$1,Input_APM!L:L,Check!B144))</f>
        <v/>
      </c>
      <c r="G144" s="187" t="str">
        <f>IF(B144="","",SUMIFS(Input_APM!N:N,Input_APM!M:M,Check!$G$1,Input_APM!L:L,Check!B144))</f>
        <v/>
      </c>
      <c r="H144" s="173" t="str">
        <f t="shared" si="39"/>
        <v/>
      </c>
      <c r="I144" s="173">
        <f>SUMIFS(Input_APM!N:N,Input_APM!L:L,Check!B144)</f>
        <v>0</v>
      </c>
      <c r="J144" s="175" t="str">
        <f t="shared" si="40"/>
        <v/>
      </c>
      <c r="K144" s="21" t="str">
        <f>IF(B144="","",SUMIFS('Input_APM (Zenith)'!N:N,'Input_APM (Zenith)'!L:L,Check!B144,'Input_APM (Zenith)'!M:M,Check!$F$1))</f>
        <v/>
      </c>
      <c r="L144" s="21" t="str">
        <f>IF(B144="","",SUMIFS('Input_APM (Zenith)'!N:N,'Input_APM (Zenith)'!L:L,Check!B144,'Input_APM (Zenith)'!M:M,Check!$G$1))</f>
        <v/>
      </c>
      <c r="M144" s="173" t="str">
        <f t="shared" si="41"/>
        <v/>
      </c>
      <c r="O144"/>
      <c r="P144" s="173" t="str">
        <f>IF(O144="","",IF(OR(LEFT(O144,4)="Cash",LEFT(O144,4)="Prov"),0,SUMIFS(Input_APM!N:N,Input_APM!L:L,Check!O144)))</f>
        <v/>
      </c>
      <c r="Q144" s="21" t="str">
        <f>IF(O144="","",IF(LEN(O144)&gt;9,SUMIFS(Options!$H$3:$H$28,Options!$B$3:$B$28,Check!O144),SUMIFS('Master P&amp;L'!$H$11:$H$101,'Master P&amp;L'!$B$11:$B$101,Check!O144)))</f>
        <v/>
      </c>
      <c r="R144" s="173" t="str">
        <f t="shared" si="43"/>
        <v/>
      </c>
      <c r="S144" s="288" t="str">
        <f t="shared" si="37"/>
        <v/>
      </c>
    </row>
    <row r="145" spans="3:20">
      <c r="C145" s="187" t="str">
        <f>IF(B145="","",IF(LEN(B145)&gt;9,SUMIFS(Options!$H$3:$H$28,Options!$B$3:$B$28,Check!B145),SUMIFS('Master P&amp;L'!$H$11:$H$101,'Master P&amp;L'!$B$11:$B$101,Check!B145)))</f>
        <v/>
      </c>
      <c r="D145" s="187" t="str">
        <f>IF(B145="","",SUMIFS(Input_APM!N:N,Input_APM!L:L,Check!B145,Input_APM!M:M,Check!$F$1))</f>
        <v/>
      </c>
      <c r="E145" s="173" t="str">
        <f t="shared" si="38"/>
        <v/>
      </c>
      <c r="F145" s="187" t="str">
        <f>IF(B145="","",SUMIFS(Input_APM!N:N,Input_APM!M:M,Check!$F$1,Input_APM!L:L,Check!B145))</f>
        <v/>
      </c>
      <c r="G145" s="187" t="str">
        <f>IF(B145="","",SUMIFS(Input_APM!N:N,Input_APM!M:M,Check!$G$1,Input_APM!L:L,Check!B145))</f>
        <v/>
      </c>
      <c r="H145" s="173" t="str">
        <f t="shared" si="39"/>
        <v/>
      </c>
      <c r="I145" s="173">
        <f>SUMIFS(Input_APM!N:N,Input_APM!L:L,Check!B145)</f>
        <v>0</v>
      </c>
      <c r="J145" s="175" t="str">
        <f t="shared" si="40"/>
        <v/>
      </c>
      <c r="K145" s="21" t="str">
        <f>IF(B145="","",SUMIFS('Input_APM (Zenith)'!N:N,'Input_APM (Zenith)'!L:L,Check!B145,'Input_APM (Zenith)'!M:M,Check!$F$1))</f>
        <v/>
      </c>
      <c r="L145" s="21" t="str">
        <f>IF(B145="","",SUMIFS('Input_APM (Zenith)'!N:N,'Input_APM (Zenith)'!L:L,Check!B145,'Input_APM (Zenith)'!M:M,Check!$G$1))</f>
        <v/>
      </c>
      <c r="M145" s="173" t="str">
        <f t="shared" si="41"/>
        <v/>
      </c>
      <c r="O145"/>
      <c r="P145" s="255" t="str">
        <f>IF(O145="","",IF(OR(LEFT(O145,4)="Cash",LEFT(O145,4)="Prov"),0,SUMIFS(Input_APM!N:N,Input_APM!L:L,Check!O145)))</f>
        <v/>
      </c>
      <c r="Q145" s="133" t="str">
        <f>IF(O145="","",IF(LEN(O145)&gt;9,SUMIFS(Options!$H$3:$H$28,Options!$B$3:$B$28,Check!O145),SUMIFS('Master P&amp;L'!$H$11:$H$101,'Master P&amp;L'!$B$11:$B$101,Check!O145)))</f>
        <v/>
      </c>
      <c r="R145" s="255" t="str">
        <f t="shared" si="43"/>
        <v/>
      </c>
      <c r="S145" s="288" t="str">
        <f t="shared" si="37"/>
        <v/>
      </c>
      <c r="T145" s="58" t="s">
        <v>441</v>
      </c>
    </row>
    <row r="146" spans="3:20">
      <c r="C146" s="187" t="str">
        <f>IF(B146="","",IF(LEN(B146)&gt;9,SUMIFS(Options!$H$3:$H$28,Options!$B$3:$B$28,Check!B146),SUMIFS('Master P&amp;L'!$H$11:$H$101,'Master P&amp;L'!$B$11:$B$101,Check!B146)))</f>
        <v/>
      </c>
      <c r="D146" s="187" t="str">
        <f>IF(B146="","",SUMIFS(Input_APM!N:N,Input_APM!L:L,Check!B146,Input_APM!M:M,Check!$F$1))</f>
        <v/>
      </c>
      <c r="E146" s="173" t="str">
        <f t="shared" si="38"/>
        <v/>
      </c>
      <c r="F146" s="187" t="str">
        <f>IF(B146="","",SUMIFS(Input_APM!N:N,Input_APM!M:M,Check!$F$1,Input_APM!L:L,Check!B146))</f>
        <v/>
      </c>
      <c r="G146" s="187" t="str">
        <f>IF(B146="","",SUMIFS(Input_APM!N:N,Input_APM!M:M,Check!$G$1,Input_APM!L:L,Check!B146))</f>
        <v/>
      </c>
      <c r="H146" s="173" t="str">
        <f t="shared" si="39"/>
        <v/>
      </c>
      <c r="I146" s="173">
        <f>SUMIFS(Input_APM!N:N,Input_APM!L:L,Check!B146)</f>
        <v>0</v>
      </c>
      <c r="J146" s="175" t="str">
        <f t="shared" si="40"/>
        <v/>
      </c>
      <c r="K146" s="21" t="str">
        <f>IF(B146="","",SUMIFS('Input_APM (Zenith)'!N:N,'Input_APM (Zenith)'!L:L,Check!B146,'Input_APM (Zenith)'!M:M,Check!$F$1))</f>
        <v/>
      </c>
      <c r="L146" s="21" t="str">
        <f>IF(B146="","",SUMIFS('Input_APM (Zenith)'!N:N,'Input_APM (Zenith)'!L:L,Check!B146,'Input_APM (Zenith)'!M:M,Check!$G$1))</f>
        <v/>
      </c>
      <c r="M146" s="173" t="str">
        <f t="shared" si="41"/>
        <v/>
      </c>
      <c r="O146"/>
      <c r="P146" s="255" t="str">
        <f>IF(O146="","",IF(OR(LEFT(O146,4)="Cash",LEFT(O146,4)="Prov"),0,SUMIFS(Input_APM!N:N,Input_APM!L:L,Check!O146)))</f>
        <v/>
      </c>
      <c r="Q146" s="133" t="str">
        <f>IF(O146="","",IF(LEN(O146)&gt;9,SUMIFS(Options!$H$3:$H$28,Options!$B$3:$B$28,Check!O146),SUMIFS('Master P&amp;L'!$H$11:$H$101,'Master P&amp;L'!$B$11:$B$101,Check!O146)))</f>
        <v/>
      </c>
      <c r="R146" s="255" t="str">
        <f t="shared" si="43"/>
        <v/>
      </c>
      <c r="S146" s="288" t="str">
        <f t="shared" si="37"/>
        <v/>
      </c>
      <c r="T146" s="58" t="s">
        <v>441</v>
      </c>
    </row>
    <row r="147" spans="3:20">
      <c r="C147" s="187" t="str">
        <f>IF(B147="","",IF(LEN(B147)&gt;9,SUMIFS(Options!$H$3:$H$28,Options!$B$3:$B$28,Check!B147),SUMIFS('Master P&amp;L'!$H$11:$H$101,'Master P&amp;L'!$B$11:$B$101,Check!B147)))</f>
        <v/>
      </c>
      <c r="D147" s="187" t="str">
        <f>IF(B147="","",SUMIFS(Input_APM!N:N,Input_APM!L:L,Check!B147,Input_APM!M:M,Check!$F$1))</f>
        <v/>
      </c>
      <c r="E147" s="173" t="str">
        <f t="shared" si="38"/>
        <v/>
      </c>
      <c r="F147" s="187" t="str">
        <f>IF(B147="","",SUMIFS(Input_APM!N:N,Input_APM!M:M,Check!$F$1,Input_APM!L:L,Check!B147))</f>
        <v/>
      </c>
      <c r="G147" s="187" t="str">
        <f>IF(B147="","",SUMIFS(Input_APM!N:N,Input_APM!M:M,Check!$G$1,Input_APM!L:L,Check!B147))</f>
        <v/>
      </c>
      <c r="H147" s="173" t="str">
        <f t="shared" si="39"/>
        <v/>
      </c>
      <c r="I147" s="173">
        <f>SUMIFS(Input_APM!N:N,Input_APM!L:L,Check!B147)</f>
        <v>0</v>
      </c>
      <c r="J147" s="175" t="str">
        <f t="shared" si="40"/>
        <v/>
      </c>
      <c r="K147" s="21" t="str">
        <f>IF(B147="","",SUMIFS('Input_APM (Zenith)'!N:N,'Input_APM (Zenith)'!L:L,Check!B147,'Input_APM (Zenith)'!M:M,Check!$F$1))</f>
        <v/>
      </c>
      <c r="L147" s="21" t="str">
        <f>IF(B147="","",SUMIFS('Input_APM (Zenith)'!N:N,'Input_APM (Zenith)'!L:L,Check!B147,'Input_APM (Zenith)'!M:M,Check!$G$1))</f>
        <v/>
      </c>
      <c r="M147" s="173" t="str">
        <f t="shared" si="41"/>
        <v/>
      </c>
      <c r="O147"/>
      <c r="P147" s="173" t="str">
        <f>IF(O147="","",IF(OR(LEFT(O147,4)="Cash",LEFT(O147,4)="Prov"),0,SUMIFS(Input_APM!N:N,Input_APM!L:L,Check!O147)))</f>
        <v/>
      </c>
      <c r="Q147" s="21" t="str">
        <f>IF(O147="","",IF(LEN(O147)&gt;9,SUMIFS(Options!$H$3:$H$28,Options!$B$3:$B$28,Check!O147),SUMIFS('Master P&amp;L'!$H$11:$H$101,'Master P&amp;L'!$B$11:$B$101,Check!O147)))</f>
        <v/>
      </c>
      <c r="R147" s="173" t="str">
        <f t="shared" si="43"/>
        <v/>
      </c>
      <c r="S147" s="288" t="str">
        <f t="shared" si="37"/>
        <v/>
      </c>
    </row>
    <row r="148" spans="3:20">
      <c r="C148" s="187" t="str">
        <f>IF(B148="","",IF(LEN(B148)&gt;9,SUMIFS(Options!$H$3:$H$28,Options!$B$3:$B$28,Check!B148),SUMIFS('Master P&amp;L'!$H$11:$H$101,'Master P&amp;L'!$B$11:$B$101,Check!B148)))</f>
        <v/>
      </c>
      <c r="D148" s="187" t="str">
        <f>IF(B148="","",SUMIFS(Input_APM!N:N,Input_APM!L:L,Check!B148,Input_APM!M:M,Check!$F$1))</f>
        <v/>
      </c>
      <c r="E148" s="173" t="str">
        <f t="shared" si="38"/>
        <v/>
      </c>
      <c r="F148" s="187" t="str">
        <f>IF(B148="","",SUMIFS(Input_APM!N:N,Input_APM!M:M,Check!$F$1,Input_APM!L:L,Check!B148))</f>
        <v/>
      </c>
      <c r="G148" s="187" t="str">
        <f>IF(B148="","",SUMIFS(Input_APM!N:N,Input_APM!M:M,Check!$G$1,Input_APM!L:L,Check!B148))</f>
        <v/>
      </c>
      <c r="H148" s="173" t="str">
        <f t="shared" si="39"/>
        <v/>
      </c>
      <c r="I148" s="173">
        <f>SUMIFS(Input_APM!N:N,Input_APM!L:L,Check!B148)</f>
        <v>0</v>
      </c>
      <c r="J148" s="175" t="str">
        <f t="shared" si="40"/>
        <v/>
      </c>
      <c r="K148" s="21" t="str">
        <f>IF(B148="","",SUMIFS('Input_APM (Zenith)'!N:N,'Input_APM (Zenith)'!L:L,Check!B148,'Input_APM (Zenith)'!M:M,Check!$F$1))</f>
        <v/>
      </c>
      <c r="L148" s="21" t="str">
        <f>IF(B148="","",SUMIFS('Input_APM (Zenith)'!N:N,'Input_APM (Zenith)'!L:L,Check!B148,'Input_APM (Zenith)'!M:M,Check!$G$1))</f>
        <v/>
      </c>
      <c r="M148" s="173" t="str">
        <f t="shared" si="41"/>
        <v/>
      </c>
      <c r="O148"/>
      <c r="P148" s="173" t="str">
        <f>IF(O148="","",IF(OR(LEFT(O148,4)="Cash",LEFT(O148,4)="Prov"),0,SUMIFS(Input_APM!N:N,Input_APM!L:L,Check!O148)))</f>
        <v/>
      </c>
      <c r="Q148" s="21" t="str">
        <f>IF(O148="","",IF(LEN(O148)&gt;9,SUMIFS(Options!$H$3:$H$28,Options!$B$3:$B$28,Check!O148),SUMIFS('Master P&amp;L'!$H$11:$H$101,'Master P&amp;L'!$B$11:$B$101,Check!O148)))</f>
        <v/>
      </c>
      <c r="R148" s="173" t="str">
        <f t="shared" si="43"/>
        <v/>
      </c>
      <c r="S148" s="288" t="str">
        <f t="shared" si="37"/>
        <v/>
      </c>
    </row>
    <row r="149" spans="3:20">
      <c r="C149" s="187" t="str">
        <f>IF(B149="","",IF(LEN(B149)&gt;9,SUMIFS(Options!$H$3:$H$28,Options!$B$3:$B$28,Check!B149),SUMIFS('Master P&amp;L'!$H$11:$H$101,'Master P&amp;L'!$B$11:$B$101,Check!B149)))</f>
        <v/>
      </c>
      <c r="D149" s="187" t="str">
        <f>IF(B149="","",SUMIFS(Input_APM!N:N,Input_APM!L:L,Check!B149,Input_APM!M:M,Check!$F$1))</f>
        <v/>
      </c>
      <c r="E149" s="173" t="str">
        <f t="shared" si="38"/>
        <v/>
      </c>
      <c r="F149" s="187" t="str">
        <f>IF(B149="","",SUMIFS(Input_APM!N:N,Input_APM!M:M,Check!$F$1,Input_APM!L:L,Check!B149))</f>
        <v/>
      </c>
      <c r="G149" s="187" t="str">
        <f>IF(B149="","",SUMIFS(Input_APM!N:N,Input_APM!M:M,Check!$G$1,Input_APM!L:L,Check!B149))</f>
        <v/>
      </c>
      <c r="H149" s="173" t="str">
        <f t="shared" si="39"/>
        <v/>
      </c>
      <c r="I149" s="173">
        <f>SUMIFS(Input_APM!N:N,Input_APM!L:L,Check!B149)</f>
        <v>0</v>
      </c>
      <c r="J149" s="175" t="str">
        <f t="shared" si="40"/>
        <v/>
      </c>
      <c r="K149" s="21" t="str">
        <f>IF(B149="","",SUMIFS('Input_APM (Zenith)'!N:N,'Input_APM (Zenith)'!L:L,Check!B149,'Input_APM (Zenith)'!M:M,Check!$F$1))</f>
        <v/>
      </c>
      <c r="L149" s="21" t="str">
        <f>IF(B149="","",SUMIFS('Input_APM (Zenith)'!N:N,'Input_APM (Zenith)'!L:L,Check!B149,'Input_APM (Zenith)'!M:M,Check!$G$1))</f>
        <v/>
      </c>
      <c r="M149" s="173" t="str">
        <f t="shared" si="41"/>
        <v/>
      </c>
      <c r="O149"/>
      <c r="P149" s="173" t="str">
        <f>IF(O149="","",IF(OR(LEFT(O149,4)="Cash",LEFT(O149,4)="Prov"),0,SUMIFS(Input_APM!N:N,Input_APM!L:L,Check!O149)))</f>
        <v/>
      </c>
      <c r="Q149" s="21" t="str">
        <f>IF(O149="","",IF(LEN(O149)&gt;9,SUMIFS(Options!$H$3:$H$28,Options!$B$3:$B$28,Check!O149),SUMIFS('Master P&amp;L'!$H$11:$H$101,'Master P&amp;L'!$B$11:$B$101,Check!O149)))</f>
        <v/>
      </c>
      <c r="R149" s="173" t="str">
        <f t="shared" si="43"/>
        <v/>
      </c>
      <c r="S149" s="288" t="str">
        <f t="shared" si="37"/>
        <v/>
      </c>
    </row>
    <row r="150" spans="3:20">
      <c r="C150" s="187" t="str">
        <f>IF(B150="","",IF(LEN(B150)&gt;9,SUMIFS(Options!$H$3:$H$28,Options!$B$3:$B$28,Check!B150),SUMIFS('Master P&amp;L'!$H$11:$H$101,'Master P&amp;L'!$B$11:$B$101,Check!B150)))</f>
        <v/>
      </c>
      <c r="D150" s="187" t="str">
        <f>IF(B150="","",SUMIFS(Input_APM!N:N,Input_APM!L:L,Check!B150,Input_APM!M:M,Check!$F$1))</f>
        <v/>
      </c>
      <c r="E150" s="173" t="str">
        <f t="shared" si="38"/>
        <v/>
      </c>
      <c r="F150" s="187" t="str">
        <f>IF(B150="","",SUMIFS(Input_APM!N:N,Input_APM!M:M,Check!$F$1,Input_APM!L:L,Check!B150))</f>
        <v/>
      </c>
      <c r="G150" s="187" t="str">
        <f>IF(B150="","",SUMIFS(Input_APM!N:N,Input_APM!M:M,Check!$G$1,Input_APM!L:L,Check!B150))</f>
        <v/>
      </c>
      <c r="H150" s="173" t="str">
        <f t="shared" si="39"/>
        <v/>
      </c>
      <c r="I150" s="173">
        <f>SUMIFS(Input_APM!N:N,Input_APM!L:L,Check!B150)</f>
        <v>0</v>
      </c>
      <c r="J150" s="175" t="str">
        <f t="shared" si="40"/>
        <v/>
      </c>
      <c r="K150" s="21" t="str">
        <f>IF(B150="","",SUMIFS('Input_APM (Zenith)'!N:N,'Input_APM (Zenith)'!L:L,Check!B150,'Input_APM (Zenith)'!M:M,Check!$F$1))</f>
        <v/>
      </c>
      <c r="L150" s="21" t="str">
        <f>IF(B150="","",SUMIFS('Input_APM (Zenith)'!N:N,'Input_APM (Zenith)'!L:L,Check!B150,'Input_APM (Zenith)'!M:M,Check!$G$1))</f>
        <v/>
      </c>
      <c r="M150" s="173" t="str">
        <f t="shared" si="41"/>
        <v/>
      </c>
      <c r="O150"/>
      <c r="P150" s="173" t="str">
        <f>IF(O150="","",IF(OR(LEFT(O150,4)="Cash",LEFT(O150,4)="Prov"),0,SUMIFS(Input_APM!N:N,Input_APM!L:L,Check!O150)))</f>
        <v/>
      </c>
      <c r="Q150" s="21" t="str">
        <f>IF(O150="","",IF(LEN(O150)&gt;9,SUMIFS(Options!$H$3:$H$28,Options!$B$3:$B$28,Check!O150),SUMIFS('Master P&amp;L'!$H$11:$H$101,'Master P&amp;L'!$B$11:$B$101,Check!O150)))</f>
        <v/>
      </c>
      <c r="R150" s="173" t="str">
        <f t="shared" si="43"/>
        <v/>
      </c>
      <c r="S150" s="288" t="str">
        <f t="shared" si="37"/>
        <v/>
      </c>
    </row>
    <row r="151" spans="3:20">
      <c r="C151" s="187" t="str">
        <f>IF(B151="","",IF(LEN(B151)&gt;9,SUMIFS(Options!$H$3:$H$28,Options!$B$3:$B$28,Check!B151),SUMIFS('Master P&amp;L'!$H$11:$H$101,'Master P&amp;L'!$B$11:$B$101,Check!B151)))</f>
        <v/>
      </c>
      <c r="D151" s="187" t="str">
        <f>IF(B151="","",SUMIFS(Input_APM!N:N,Input_APM!L:L,Check!B151,Input_APM!M:M,Check!$F$1))</f>
        <v/>
      </c>
      <c r="E151" s="173" t="str">
        <f t="shared" ref="E151:E157" si="44">IF(B151="","",C151-M151)</f>
        <v/>
      </c>
      <c r="F151" s="187" t="str">
        <f>IF(B151="","",SUMIFS(Input_APM!N:N,Input_APM!M:M,Check!$F$1,Input_APM!L:L,Check!B151))</f>
        <v/>
      </c>
      <c r="G151" s="187" t="str">
        <f>IF(B151="","",SUMIFS(Input_APM!N:N,Input_APM!M:M,Check!$G$1,Input_APM!L:L,Check!B151))</f>
        <v/>
      </c>
      <c r="H151" s="173" t="str">
        <f t="shared" ref="H151:H158" si="45">IF(B151="","",F151-G151)</f>
        <v/>
      </c>
      <c r="I151" s="173">
        <f>SUMIFS(Input_APM!N:N,Input_APM!L:L,Check!B151)</f>
        <v>0</v>
      </c>
      <c r="J151" s="175" t="str">
        <f t="shared" ref="J151:J158" si="46">IF(B151="","",(F151+G151)-I151)</f>
        <v/>
      </c>
      <c r="K151" s="21" t="str">
        <f>IF(B151="","",SUMIFS('Input_APM (Zenith)'!N:N,'Input_APM (Zenith)'!L:L,Check!B151,'Input_APM (Zenith)'!M:M,Check!$F$1))</f>
        <v/>
      </c>
      <c r="L151" s="21" t="str">
        <f>IF(B151="","",SUMIFS('Input_APM (Zenith)'!N:N,'Input_APM (Zenith)'!L:L,Check!B151,'Input_APM (Zenith)'!M:M,Check!$G$1))</f>
        <v/>
      </c>
      <c r="M151" s="173" t="str">
        <f t="shared" ref="M151:M158" si="47">IF(B151="","",F151+G151+K151+L151)</f>
        <v/>
      </c>
      <c r="O151"/>
      <c r="P151" s="173" t="str">
        <f>IF(O151="","",IF(OR(LEFT(O151,4)="Cash",LEFT(O151,4)="Prov"),0,SUMIFS(Input_APM!N:N,Input_APM!L:L,Check!O151)))</f>
        <v/>
      </c>
      <c r="Q151" s="21" t="str">
        <f>IF(O151="","",IF(LEN(O151)&gt;9,SUMIFS(Options!$H$3:$H$28,Options!$B$3:$B$28,Check!O151),SUMIFS('Master P&amp;L'!$H$11:$H$101,'Master P&amp;L'!$B$11:$B$101,Check!O151)))</f>
        <v/>
      </c>
      <c r="R151" s="173" t="str">
        <f>IF(O151="","",P151-Q151)</f>
        <v/>
      </c>
      <c r="S151" s="288" t="str">
        <f t="shared" si="37"/>
        <v/>
      </c>
    </row>
    <row r="152" spans="3:20">
      <c r="C152" s="187" t="str">
        <f>IF(B152="","",IF(LEN(B152)&gt;9,SUMIFS(Options!$H$3:$H$28,Options!$B$3:$B$28,Check!B152),SUMIFS('Master P&amp;L'!$H$11:$H$101,'Master P&amp;L'!$B$11:$B$101,Check!B152)))</f>
        <v/>
      </c>
      <c r="D152" s="187" t="str">
        <f>IF(B152="","",SUMIFS(Input_APM!N:N,Input_APM!L:L,Check!B152,Input_APM!M:M,Check!$F$1))</f>
        <v/>
      </c>
      <c r="E152" s="173" t="str">
        <f t="shared" si="44"/>
        <v/>
      </c>
      <c r="F152" s="187" t="str">
        <f>IF(B152="","",SUMIFS(Input_APM!N:N,Input_APM!M:M,Check!$F$1,Input_APM!L:L,Check!B152))</f>
        <v/>
      </c>
      <c r="G152" s="187" t="str">
        <f>IF(B152="","",SUMIFS(Input_APM!N:N,Input_APM!M:M,Check!$G$1,Input_APM!L:L,Check!B152))</f>
        <v/>
      </c>
      <c r="H152" s="173" t="str">
        <f t="shared" si="45"/>
        <v/>
      </c>
      <c r="I152" s="173">
        <f>SUMIFS(Input_APM!N:N,Input_APM!L:L,Check!B152)</f>
        <v>0</v>
      </c>
      <c r="J152" s="175" t="str">
        <f t="shared" si="46"/>
        <v/>
      </c>
      <c r="K152" s="21" t="str">
        <f>IF(B152="","",SUMIFS('Input_APM (Zenith)'!N:N,'Input_APM (Zenith)'!L:L,Check!B152,'Input_APM (Zenith)'!M:M,Check!$F$1))</f>
        <v/>
      </c>
      <c r="L152" s="21" t="str">
        <f>IF(B152="","",SUMIFS('Input_APM (Zenith)'!N:N,'Input_APM (Zenith)'!L:L,Check!B152,'Input_APM (Zenith)'!M:M,Check!$G$1))</f>
        <v/>
      </c>
      <c r="M152" s="173" t="str">
        <f t="shared" si="47"/>
        <v/>
      </c>
      <c r="O152"/>
      <c r="P152" s="173" t="str">
        <f>IF(O152="","",IF(OR(LEFT(O152,4)="Cash",LEFT(O152,4)="Prov"),0,SUMIFS(Input_APM!N:N,Input_APM!L:L,Check!O152)))</f>
        <v/>
      </c>
      <c r="Q152" s="21" t="str">
        <f>IF(O152="","",IF(LEN(O152)&gt;9,SUMIFS(Options!$H$3:$H$28,Options!$B$3:$B$28,Check!O152),SUMIFS('Master P&amp;L'!$H$11:$H$101,'Master P&amp;L'!$B$11:$B$101,Check!O152)))</f>
        <v/>
      </c>
      <c r="R152" s="173" t="str">
        <f>IF(O152="","",P152-Q152)</f>
        <v/>
      </c>
      <c r="S152" s="288" t="str">
        <f t="shared" si="37"/>
        <v/>
      </c>
    </row>
    <row r="153" spans="3:20">
      <c r="C153" s="187" t="str">
        <f>IF(B153="","",IF(LEN(B153)&gt;9,SUMIFS(Options!$H$3:$H$28,Options!$B$3:$B$28,Check!B153),SUMIFS('Master P&amp;L'!$H$11:$H$101,'Master P&amp;L'!$B$11:$B$101,Check!B153)))</f>
        <v/>
      </c>
      <c r="D153" s="187" t="str">
        <f>IF(B153="","",SUMIFS(Input_APM!N:N,Input_APM!L:L,Check!B153,Input_APM!M:M,Check!$F$1))</f>
        <v/>
      </c>
      <c r="E153" s="173" t="str">
        <f t="shared" si="44"/>
        <v/>
      </c>
      <c r="F153" s="187" t="str">
        <f>IF(B153="","",SUMIFS(Input_APM!N:N,Input_APM!M:M,Check!$F$1,Input_APM!L:L,Check!B153))</f>
        <v/>
      </c>
      <c r="G153" s="187" t="str">
        <f>IF(B153="","",SUMIFS(Input_APM!N:N,Input_APM!M:M,Check!$G$1,Input_APM!L:L,Check!B153))</f>
        <v/>
      </c>
      <c r="H153" s="173" t="str">
        <f t="shared" si="45"/>
        <v/>
      </c>
      <c r="I153" s="173">
        <f>SUMIFS(Input_APM!N:N,Input_APM!L:L,Check!B153)</f>
        <v>0</v>
      </c>
      <c r="J153" s="175" t="str">
        <f t="shared" si="46"/>
        <v/>
      </c>
      <c r="K153" s="21" t="str">
        <f>IF(B153="","",SUMIFS('Input_APM (Zenith)'!N:N,'Input_APM (Zenith)'!L:L,Check!B153,'Input_APM (Zenith)'!M:M,Check!$F$1))</f>
        <v/>
      </c>
      <c r="L153" s="21" t="str">
        <f>IF(B153="","",SUMIFS('Input_APM (Zenith)'!N:N,'Input_APM (Zenith)'!L:L,Check!B153,'Input_APM (Zenith)'!M:M,Check!$G$1))</f>
        <v/>
      </c>
      <c r="M153" s="173" t="str">
        <f t="shared" si="47"/>
        <v/>
      </c>
      <c r="O153"/>
      <c r="P153" s="173" t="str">
        <f>IF(O153="","",IF(OR(LEFT(O153,4)="Cash",LEFT(O153,4)="Prov"),0,SUMIFS(Input_APM!N:N,Input_APM!L:L,Check!O153)))</f>
        <v/>
      </c>
      <c r="Q153" s="21" t="str">
        <f>IF(O153="","",IF(LEN(O153)&gt;9,SUMIFS(Options!$H$3:$H$28,Options!$B$3:$B$28,Check!O153),SUMIFS('Master P&amp;L'!$H$11:$H$101,'Master P&amp;L'!$B$11:$B$101,Check!O153)))</f>
        <v/>
      </c>
      <c r="R153" s="173" t="str">
        <f>IF(O153="","",P153-Q153)</f>
        <v/>
      </c>
      <c r="S153" s="288" t="str">
        <f t="shared" si="37"/>
        <v/>
      </c>
    </row>
    <row r="154" spans="3:20">
      <c r="C154" s="187" t="str">
        <f>IF(B154="","",IF(LEN(B154)&gt;9,SUMIFS(Options!$H$3:$H$28,Options!$B$3:$B$28,Check!B154),SUMIFS('Master P&amp;L'!$H$11:$H$101,'Master P&amp;L'!$B$11:$B$101,Check!B154)))</f>
        <v/>
      </c>
      <c r="D154" s="187" t="str">
        <f>IF(B154="","",SUMIFS(Input_APM!N:N,Input_APM!L:L,Check!B154,Input_APM!M:M,Check!$F$1))</f>
        <v/>
      </c>
      <c r="E154" s="173" t="str">
        <f t="shared" si="44"/>
        <v/>
      </c>
      <c r="F154" s="187" t="str">
        <f>IF(B154="","",SUMIFS(Input_APM!N:N,Input_APM!M:M,Check!$F$1,Input_APM!L:L,Check!B154))</f>
        <v/>
      </c>
      <c r="G154" s="187" t="str">
        <f>IF(B154="","",SUMIFS(Input_APM!N:N,Input_APM!M:M,Check!$G$1,Input_APM!L:L,Check!B154))</f>
        <v/>
      </c>
      <c r="H154" s="173" t="str">
        <f t="shared" si="45"/>
        <v/>
      </c>
      <c r="I154" s="173">
        <f>SUMIFS(Input_APM!N:N,Input_APM!L:L,Check!B154)</f>
        <v>0</v>
      </c>
      <c r="J154" s="175" t="str">
        <f t="shared" si="46"/>
        <v/>
      </c>
      <c r="K154" s="21" t="str">
        <f>IF(B154="","",SUMIFS('Input_APM (Zenith)'!N:N,'Input_APM (Zenith)'!L:L,Check!B154,'Input_APM (Zenith)'!M:M,Check!$F$1))</f>
        <v/>
      </c>
      <c r="L154" s="21" t="str">
        <f>IF(B154="","",SUMIFS('Input_APM (Zenith)'!N:N,'Input_APM (Zenith)'!L:L,Check!B154,'Input_APM (Zenith)'!M:M,Check!$G$1))</f>
        <v/>
      </c>
      <c r="M154" s="173" t="str">
        <f t="shared" si="47"/>
        <v/>
      </c>
      <c r="O154"/>
      <c r="P154" s="173" t="str">
        <f>IF(O154="","",IF(OR(LEFT(O154,4)="Cash",LEFT(O154,4)="Prov"),0,SUMIFS(Input_APM!N:N,Input_APM!L:L,Check!O154)))</f>
        <v/>
      </c>
      <c r="Q154" s="21" t="str">
        <f>IF(O154="","",IF(LEN(O154)&gt;9,SUMIFS(Options!$H$3:$H$28,Options!$B$3:$B$28,Check!O154),SUMIFS('Master P&amp;L'!$H$11:$H$101,'Master P&amp;L'!$B$11:$B$101,Check!O154)))</f>
        <v/>
      </c>
      <c r="R154" s="173" t="str">
        <f>IF(O154="","",P154-Q154)</f>
        <v/>
      </c>
      <c r="S154" s="288" t="str">
        <f t="shared" si="37"/>
        <v/>
      </c>
    </row>
    <row r="155" spans="3:20">
      <c r="C155" s="187" t="str">
        <f>IF(B155="","",IF(LEN(B155)&gt;9,SUMIFS(Options!$H$3:$H$28,Options!$B$3:$B$28,Check!B155),SUMIFS('Master P&amp;L'!$H$11:$H$101,'Master P&amp;L'!$B$11:$B$101,Check!B155)))</f>
        <v/>
      </c>
      <c r="D155" s="187" t="str">
        <f>IF(B155="","",SUMIFS(Input_APM!N:N,Input_APM!L:L,Check!B155,Input_APM!M:M,Check!$F$1))</f>
        <v/>
      </c>
      <c r="E155" s="173" t="str">
        <f t="shared" si="44"/>
        <v/>
      </c>
      <c r="F155" s="187" t="str">
        <f>IF(B155="","",SUMIFS(Input_APM!N:N,Input_APM!M:M,Check!$F$1,Input_APM!L:L,Check!B155))</f>
        <v/>
      </c>
      <c r="G155" s="187" t="str">
        <f>IF(B155="","",SUMIFS(Input_APM!N:N,Input_APM!M:M,Check!$G$1,Input_APM!L:L,Check!B155))</f>
        <v/>
      </c>
      <c r="H155" s="173" t="str">
        <f t="shared" si="45"/>
        <v/>
      </c>
      <c r="I155" s="173">
        <f>SUMIFS(Input_APM!N:N,Input_APM!L:L,Check!B155)</f>
        <v>0</v>
      </c>
      <c r="J155" s="175" t="str">
        <f t="shared" si="46"/>
        <v/>
      </c>
      <c r="K155" s="21" t="str">
        <f>IF(B155="","",SUMIFS('Input_APM (Zenith)'!N:N,'Input_APM (Zenith)'!L:L,Check!B155,'Input_APM (Zenith)'!M:M,Check!$F$1))</f>
        <v/>
      </c>
      <c r="L155" s="21" t="str">
        <f>IF(B155="","",SUMIFS('Input_APM (Zenith)'!N:N,'Input_APM (Zenith)'!L:L,Check!B155,'Input_APM (Zenith)'!M:M,Check!$G$1))</f>
        <v/>
      </c>
      <c r="M155" s="173" t="str">
        <f t="shared" si="47"/>
        <v/>
      </c>
      <c r="O155"/>
      <c r="P155" s="173" t="str">
        <f>IF(O155="","",IF(OR(LEFT(O155,4)="Cash",LEFT(O155,4)="Prov"),0,SUMIFS(Input_APM!N:N,Input_APM!L:L,Check!O155)))</f>
        <v/>
      </c>
      <c r="Q155" s="21" t="str">
        <f>IF(O155="","",IF(LEN(O155)&gt;9,SUMIFS(Options!$H$3:$H$28,Options!$B$3:$B$28,Check!O155),SUMIFS('Master P&amp;L'!$H$11:$H$101,'Master P&amp;L'!$B$11:$B$101,Check!O155)))</f>
        <v/>
      </c>
      <c r="R155" s="173" t="str">
        <f t="shared" ref="R155:R166" si="48">IF(O155="","",P155-Q155)</f>
        <v/>
      </c>
      <c r="S155" s="288" t="str">
        <f t="shared" si="37"/>
        <v/>
      </c>
    </row>
    <row r="156" spans="3:20">
      <c r="C156" s="187" t="str">
        <f>IF(B156="","",IF(LEN(B156)&gt;9,SUMIFS(Options!$H$3:$H$28,Options!$B$3:$B$28,Check!B156),SUMIFS('Master P&amp;L'!$H$11:$H$101,'Master P&amp;L'!$B$11:$B$101,Check!B156)))</f>
        <v/>
      </c>
      <c r="D156" s="187" t="str">
        <f>IF(B156="","",SUMIFS(Input_APM!N:N,Input_APM!L:L,Check!B156,Input_APM!M:M,Check!$F$1))</f>
        <v/>
      </c>
      <c r="E156" s="173" t="str">
        <f t="shared" si="44"/>
        <v/>
      </c>
      <c r="F156" s="187" t="str">
        <f>IF(B156="","",SUMIFS(Input_APM!N:N,Input_APM!M:M,Check!$F$1,Input_APM!L:L,Check!B156))</f>
        <v/>
      </c>
      <c r="G156" s="187" t="str">
        <f>IF(B156="","",SUMIFS(Input_APM!N:N,Input_APM!M:M,Check!$G$1,Input_APM!L:L,Check!B156))</f>
        <v/>
      </c>
      <c r="H156" s="173" t="str">
        <f t="shared" si="45"/>
        <v/>
      </c>
      <c r="I156" s="173">
        <f>SUMIFS(Input_APM!N:N,Input_APM!L:L,Check!B156)</f>
        <v>0</v>
      </c>
      <c r="J156" s="175" t="str">
        <f t="shared" si="46"/>
        <v/>
      </c>
      <c r="K156" s="21" t="str">
        <f>IF(B156="","",SUMIFS('Input_APM (Zenith)'!N:N,'Input_APM (Zenith)'!L:L,Check!B156,'Input_APM (Zenith)'!M:M,Check!$F$1))</f>
        <v/>
      </c>
      <c r="L156" s="21" t="str">
        <f>IF(B156="","",SUMIFS('Input_APM (Zenith)'!N:N,'Input_APM (Zenith)'!L:L,Check!B156,'Input_APM (Zenith)'!M:M,Check!$G$1))</f>
        <v/>
      </c>
      <c r="M156" s="173" t="str">
        <f t="shared" si="47"/>
        <v/>
      </c>
      <c r="O156"/>
      <c r="P156" s="173" t="str">
        <f>IF(O156="","",IF(OR(LEFT(O156,4)="Cash",LEFT(O156,4)="Prov"),0,SUMIFS(Input_APM!N:N,Input_APM!L:L,Check!O156)))</f>
        <v/>
      </c>
      <c r="Q156" s="21" t="str">
        <f>IF(O156="","",IF(LEN(O156)&gt;9,SUMIFS(Options!$H$3:$H$28,Options!$B$3:$B$28,Check!O156),SUMIFS('Master P&amp;L'!$H$11:$H$101,'Master P&amp;L'!$B$11:$B$101,Check!O156)))</f>
        <v/>
      </c>
      <c r="R156" s="173" t="str">
        <f t="shared" si="48"/>
        <v/>
      </c>
      <c r="S156" s="288" t="str">
        <f t="shared" si="37"/>
        <v/>
      </c>
    </row>
    <row r="157" spans="3:20">
      <c r="C157" s="187" t="str">
        <f>IF(B157="","",IF(LEN(B157)&gt;9,SUMIFS(Options!$H$3:$H$28,Options!$B$3:$B$28,Check!B157),SUMIFS('Master P&amp;L'!$H$11:$H$101,'Master P&amp;L'!$B$11:$B$101,Check!B157)))</f>
        <v/>
      </c>
      <c r="D157" s="187" t="str">
        <f>IF(B157="","",SUMIFS(Input_APM!N:N,Input_APM!L:L,Check!B157,Input_APM!M:M,Check!$F$1))</f>
        <v/>
      </c>
      <c r="E157" s="173" t="str">
        <f t="shared" si="44"/>
        <v/>
      </c>
      <c r="F157" s="187" t="str">
        <f>IF(B157="","",SUMIFS(Input_APM!N:N,Input_APM!M:M,Check!$F$1,Input_APM!L:L,Check!B157))</f>
        <v/>
      </c>
      <c r="G157" s="187" t="str">
        <f>IF(B157="","",SUMIFS(Input_APM!N:N,Input_APM!M:M,Check!$G$1,Input_APM!L:L,Check!B157))</f>
        <v/>
      </c>
      <c r="H157" s="173" t="str">
        <f t="shared" si="45"/>
        <v/>
      </c>
      <c r="I157" s="173">
        <f>SUMIFS(Input_APM!N:N,Input_APM!L:L,Check!B157)</f>
        <v>0</v>
      </c>
      <c r="J157" s="175" t="str">
        <f t="shared" si="46"/>
        <v/>
      </c>
      <c r="K157" s="21" t="str">
        <f>IF(B157="","",SUMIFS('Input_APM (Zenith)'!N:N,'Input_APM (Zenith)'!L:L,Check!B157,'Input_APM (Zenith)'!M:M,Check!$F$1))</f>
        <v/>
      </c>
      <c r="L157" s="21" t="str">
        <f>IF(B157="","",SUMIFS('Input_APM (Zenith)'!N:N,'Input_APM (Zenith)'!L:L,Check!B157,'Input_APM (Zenith)'!M:M,Check!$G$1))</f>
        <v/>
      </c>
      <c r="M157" s="173" t="str">
        <f t="shared" si="47"/>
        <v/>
      </c>
      <c r="O157"/>
      <c r="P157" s="173" t="str">
        <f>IF(O157="","",IF(OR(LEFT(O157,4)="Cash",LEFT(O157,4)="Prov"),0,SUMIFS(Input_APM!N:N,Input_APM!L:L,Check!O157)))</f>
        <v/>
      </c>
      <c r="Q157" s="21" t="str">
        <f>IF(O157="","",IF(LEN(O157)&gt;9,SUMIFS(Options!$H$3:$H$28,Options!$B$3:$B$28,Check!O157),SUMIFS('Master P&amp;L'!$H$11:$H$101,'Master P&amp;L'!$B$11:$B$101,Check!O157)))</f>
        <v/>
      </c>
      <c r="R157" s="173" t="str">
        <f t="shared" si="48"/>
        <v/>
      </c>
      <c r="S157" s="288" t="str">
        <f t="shared" si="37"/>
        <v/>
      </c>
    </row>
    <row r="158" spans="3:20">
      <c r="C158" s="187" t="str">
        <f>IF(B158="","",IF(LEN(B158)&gt;9,SUMIFS(Options!$H$3:$H$28,Options!$B$3:$B$28,Check!B158),SUMIFS('Master P&amp;L'!$H$11:$H$101,'Master P&amp;L'!$B$11:$B$101,Check!B158)))</f>
        <v/>
      </c>
      <c r="D158" s="187" t="str">
        <f>IF(B158="","",SUMIFS(Input_APM!N:N,Input_APM!L:L,Check!B158,Input_APM!M:M,Check!$F$1))</f>
        <v/>
      </c>
      <c r="E158" s="173" t="str">
        <f>IF(B158="","",C158-M158)</f>
        <v/>
      </c>
      <c r="F158" s="187" t="str">
        <f>IF(B158="","",SUMIFS(Input_APM!N:N,Input_APM!M:M,Check!$F$1,Input_APM!L:L,Check!B158))</f>
        <v/>
      </c>
      <c r="G158" s="187" t="str">
        <f>IF(B158="","",SUMIFS(Input_APM!N:N,Input_APM!M:M,Check!$G$1,Input_APM!L:L,Check!B158))</f>
        <v/>
      </c>
      <c r="H158" s="173" t="str">
        <f t="shared" si="45"/>
        <v/>
      </c>
      <c r="I158" s="173">
        <f>SUMIFS(Input_APM!N:N,Input_APM!L:L,Check!B158)</f>
        <v>0</v>
      </c>
      <c r="J158" s="175" t="str">
        <f t="shared" si="46"/>
        <v/>
      </c>
      <c r="K158" s="21" t="str">
        <f>IF(B158="","",SUMIFS('Input_APM (Zenith)'!N:N,'Input_APM (Zenith)'!L:L,Check!B158,'Input_APM (Zenith)'!M:M,Check!$F$1))</f>
        <v/>
      </c>
      <c r="L158" s="21" t="str">
        <f>IF(B158="","",SUMIFS('Input_APM (Zenith)'!N:N,'Input_APM (Zenith)'!L:L,Check!B158,'Input_APM (Zenith)'!M:M,Check!$G$1))</f>
        <v/>
      </c>
      <c r="M158" s="173" t="str">
        <f t="shared" si="47"/>
        <v/>
      </c>
      <c r="O158"/>
      <c r="P158" s="173" t="str">
        <f>IF(O158="","",IF(OR(LEFT(O158,4)="Cash",LEFT(O158,4)="Prov"),0,SUMIFS(Input_APM!N:N,Input_APM!L:L,Check!O158)))</f>
        <v/>
      </c>
      <c r="Q158" s="21" t="str">
        <f>IF(O158="","",IF(LEN(O158)&gt;9,SUMIFS(Options!$H$3:$H$28,Options!$B$3:$B$28,Check!O158),SUMIFS('Master P&amp;L'!$H$11:$H$101,'Master P&amp;L'!$B$11:$B$101,Check!O158)))</f>
        <v/>
      </c>
      <c r="R158" s="173" t="str">
        <f t="shared" si="48"/>
        <v/>
      </c>
      <c r="S158" s="288" t="str">
        <f t="shared" si="37"/>
        <v/>
      </c>
    </row>
    <row r="159" spans="3:20">
      <c r="C159" s="187" t="str">
        <f>IF(B159="","",IF(LEN(B159)&gt;9,SUMIFS(Options!$H$3:$H$28,Options!$B$3:$B$28,Check!B159),SUMIFS('Master P&amp;L'!$H$11:$H$101,'Master P&amp;L'!$B$11:$B$101,Check!B159)))</f>
        <v/>
      </c>
      <c r="D159" s="187" t="str">
        <f>IF(B159="","",SUMIFS(Input_APM!N:N,Input_APM!L:L,Check!B159,Input_APM!M:M,Check!$F$1))</f>
        <v/>
      </c>
      <c r="E159" s="173" t="str">
        <f t="shared" ref="E159:E165" si="49">IF(B159="","",C159-M159)</f>
        <v/>
      </c>
      <c r="F159" s="187" t="str">
        <f>IF(B159="","",SUMIFS(Input_APM!N:N,Input_APM!M:M,Check!$F$1,Input_APM!L:L,Check!B159))</f>
        <v/>
      </c>
      <c r="G159" s="187" t="str">
        <f>IF(B159="","",SUMIFS(Input_APM!N:N,Input_APM!M:M,Check!$G$1,Input_APM!L:L,Check!B159))</f>
        <v/>
      </c>
      <c r="H159" s="173" t="str">
        <f t="shared" ref="H159:H165" si="50">IF(B159="","",F159-G159)</f>
        <v/>
      </c>
      <c r="I159" s="173">
        <f>SUMIFS(Input_APM!N:N,Input_APM!L:L,Check!B159)</f>
        <v>0</v>
      </c>
      <c r="J159" s="175" t="str">
        <f t="shared" ref="J159:J165" si="51">IF(B159="","",(F159+G159)-I159)</f>
        <v/>
      </c>
      <c r="K159" s="21" t="str">
        <f>IF(B159="","",SUMIFS('Input_APM (Zenith)'!N:N,'Input_APM (Zenith)'!L:L,Check!B159,'Input_APM (Zenith)'!M:M,Check!$F$1))</f>
        <v/>
      </c>
      <c r="L159" s="21" t="str">
        <f>IF(B159="","",SUMIFS('Input_APM (Zenith)'!N:N,'Input_APM (Zenith)'!L:L,Check!B159,'Input_APM (Zenith)'!M:M,Check!$G$1))</f>
        <v/>
      </c>
      <c r="M159" s="173" t="str">
        <f t="shared" ref="M159:M165" si="52">IF(B159="","",F159+G159+K159+L159)</f>
        <v/>
      </c>
      <c r="O159"/>
      <c r="P159" s="173" t="str">
        <f>IF(O159="","",IF(OR(LEFT(O159,4)="Cash",LEFT(O159,4)="Prov"),0,SUMIFS(Input_APM!N:N,Input_APM!L:L,Check!O159)))</f>
        <v/>
      </c>
      <c r="Q159" s="21" t="str">
        <f>IF(O159="","",IF(LEN(O159)&gt;9,SUMIFS(Options!$H$3:$H$28,Options!$B$3:$B$28,Check!O159),SUMIFS('Master P&amp;L'!$H$11:$H$101,'Master P&amp;L'!$B$11:$B$101,Check!O159)))</f>
        <v/>
      </c>
      <c r="R159" s="173" t="str">
        <f t="shared" si="48"/>
        <v/>
      </c>
      <c r="S159" s="288" t="str">
        <f t="shared" si="37"/>
        <v/>
      </c>
    </row>
    <row r="160" spans="3:20">
      <c r="C160" s="187" t="str">
        <f>IF(B160="","",IF(LEN(B160)&gt;9,SUMIFS(Options!$H$3:$H$28,Options!$B$3:$B$28,Check!B160),SUMIFS('Master P&amp;L'!$H$11:$H$101,'Master P&amp;L'!$B$11:$B$101,Check!B160)))</f>
        <v/>
      </c>
      <c r="D160" s="187" t="str">
        <f>IF(B160="","",SUMIFS(Input_APM!N:N,Input_APM!L:L,Check!B160,Input_APM!M:M,Check!$F$1))</f>
        <v/>
      </c>
      <c r="E160" s="173" t="str">
        <f t="shared" si="49"/>
        <v/>
      </c>
      <c r="F160" s="187" t="str">
        <f>IF(B160="","",SUMIFS(Input_APM!N:N,Input_APM!M:M,Check!$F$1,Input_APM!L:L,Check!B160))</f>
        <v/>
      </c>
      <c r="G160" s="187" t="str">
        <f>IF(B160="","",SUMIFS(Input_APM!N:N,Input_APM!M:M,Check!$G$1,Input_APM!L:L,Check!B160))</f>
        <v/>
      </c>
      <c r="H160" s="173" t="str">
        <f t="shared" si="50"/>
        <v/>
      </c>
      <c r="I160" s="173">
        <f>SUMIFS(Input_APM!N:N,Input_APM!L:L,Check!B160)</f>
        <v>0</v>
      </c>
      <c r="J160" s="175" t="str">
        <f t="shared" si="51"/>
        <v/>
      </c>
      <c r="K160" s="21" t="str">
        <f>IF(B160="","",SUMIFS('Input_APM (Zenith)'!N:N,'Input_APM (Zenith)'!L:L,Check!B160,'Input_APM (Zenith)'!M:M,Check!$F$1))</f>
        <v/>
      </c>
      <c r="L160" s="21" t="str">
        <f>IF(B160="","",SUMIFS('Input_APM (Zenith)'!N:N,'Input_APM (Zenith)'!L:L,Check!B160,'Input_APM (Zenith)'!M:M,Check!$G$1))</f>
        <v/>
      </c>
      <c r="M160" s="173" t="str">
        <f t="shared" si="52"/>
        <v/>
      </c>
      <c r="O160"/>
      <c r="P160" s="173" t="str">
        <f>IF(O160="","",IF(OR(LEFT(O160,4)="Cash",LEFT(O160,4)="Prov"),0,SUMIFS(Input_APM!N:N,Input_APM!L:L,Check!O160)))</f>
        <v/>
      </c>
      <c r="Q160" s="21" t="str">
        <f>IF(O160="","",IF(LEN(O160)&gt;9,SUMIFS(Options!$H$3:$H$28,Options!$B$3:$B$28,Check!O160),SUMIFS('Master P&amp;L'!$H$11:$H$101,'Master P&amp;L'!$B$11:$B$101,Check!O160)))</f>
        <v/>
      </c>
      <c r="R160" s="173" t="str">
        <f t="shared" si="48"/>
        <v/>
      </c>
      <c r="S160" s="288" t="str">
        <f t="shared" si="37"/>
        <v/>
      </c>
    </row>
    <row r="161" spans="3:19">
      <c r="C161" s="187" t="str">
        <f>IF(B161="","",IF(LEN(B161)&gt;9,SUMIFS(Options!$H$3:$H$28,Options!$B$3:$B$28,Check!B161),SUMIFS('Master P&amp;L'!$H$11:$H$101,'Master P&amp;L'!$B$11:$B$101,Check!B161)))</f>
        <v/>
      </c>
      <c r="D161" s="187" t="str">
        <f>IF(B161="","",SUMIFS(Input_APM!N:N,Input_APM!L:L,Check!B161,Input_APM!M:M,Check!$F$1))</f>
        <v/>
      </c>
      <c r="E161" s="173" t="str">
        <f t="shared" si="49"/>
        <v/>
      </c>
      <c r="F161" s="187" t="str">
        <f>IF(B161="","",SUMIFS(Input_APM!N:N,Input_APM!M:M,Check!$F$1,Input_APM!L:L,Check!B161))</f>
        <v/>
      </c>
      <c r="G161" s="187" t="str">
        <f>IF(B161="","",SUMIFS(Input_APM!N:N,Input_APM!M:M,Check!$G$1,Input_APM!L:L,Check!B161))</f>
        <v/>
      </c>
      <c r="H161" s="173" t="str">
        <f t="shared" si="50"/>
        <v/>
      </c>
      <c r="I161" s="173">
        <f>SUMIFS(Input_APM!N:N,Input_APM!L:L,Check!B161)</f>
        <v>0</v>
      </c>
      <c r="J161" s="175" t="str">
        <f t="shared" si="51"/>
        <v/>
      </c>
      <c r="K161" s="21" t="str">
        <f>IF(B161="","",SUMIFS('Input_APM (Zenith)'!N:N,'Input_APM (Zenith)'!L:L,Check!B161,'Input_APM (Zenith)'!M:M,Check!$F$1))</f>
        <v/>
      </c>
      <c r="L161" s="21" t="str">
        <f>IF(B161="","",SUMIFS('Input_APM (Zenith)'!N:N,'Input_APM (Zenith)'!L:L,Check!B161,'Input_APM (Zenith)'!M:M,Check!$G$1))</f>
        <v/>
      </c>
      <c r="M161" s="173" t="str">
        <f t="shared" si="52"/>
        <v/>
      </c>
      <c r="O161"/>
      <c r="P161" s="173" t="str">
        <f>IF(O161="","",IF(OR(LEFT(O161,4)="Cash",LEFT(O161,4)="Prov"),0,SUMIFS(Input_APM!N:N,Input_APM!L:L,Check!O161)))</f>
        <v/>
      </c>
      <c r="Q161" s="21" t="str">
        <f>IF(O161="","",IF(LEN(O161)&gt;9,SUMIFS(Options!$H$3:$H$28,Options!$B$3:$B$28,Check!O161),SUMIFS('Master P&amp;L'!$H$11:$H$101,'Master P&amp;L'!$B$11:$B$101,Check!O161)))</f>
        <v/>
      </c>
      <c r="R161" s="173" t="str">
        <f t="shared" si="48"/>
        <v/>
      </c>
      <c r="S161" s="288" t="str">
        <f t="shared" si="37"/>
        <v/>
      </c>
    </row>
    <row r="162" spans="3:19">
      <c r="C162" s="187" t="str">
        <f>IF(B162="","",IF(LEN(B162)&gt;9,SUMIFS(Options!$H$3:$H$28,Options!$B$3:$B$28,Check!B162),SUMIFS('Master P&amp;L'!$H$11:$H$101,'Master P&amp;L'!$B$11:$B$101,Check!B162)))</f>
        <v/>
      </c>
      <c r="D162" s="187" t="str">
        <f>IF(B162="","",SUMIFS(Input_APM!N:N,Input_APM!L:L,Check!B162,Input_APM!M:M,Check!$F$1))</f>
        <v/>
      </c>
      <c r="E162" s="173" t="str">
        <f t="shared" si="49"/>
        <v/>
      </c>
      <c r="F162" s="187" t="str">
        <f>IF(B162="","",SUMIFS(Input_APM!N:N,Input_APM!M:M,Check!$F$1,Input_APM!L:L,Check!B162))</f>
        <v/>
      </c>
      <c r="G162" s="187" t="str">
        <f>IF(B162="","",SUMIFS(Input_APM!N:N,Input_APM!M:M,Check!$G$1,Input_APM!L:L,Check!B162))</f>
        <v/>
      </c>
      <c r="H162" s="173" t="str">
        <f t="shared" si="50"/>
        <v/>
      </c>
      <c r="I162" s="173">
        <f>SUMIFS(Input_APM!N:N,Input_APM!L:L,Check!B162)</f>
        <v>0</v>
      </c>
      <c r="J162" s="175" t="str">
        <f t="shared" si="51"/>
        <v/>
      </c>
      <c r="K162" s="21" t="str">
        <f>IF(B162="","",SUMIFS('Input_APM (Zenith)'!N:N,'Input_APM (Zenith)'!L:L,Check!B162,'Input_APM (Zenith)'!M:M,Check!$F$1))</f>
        <v/>
      </c>
      <c r="L162" s="21" t="str">
        <f>IF(B162="","",SUMIFS('Input_APM (Zenith)'!N:N,'Input_APM (Zenith)'!L:L,Check!B162,'Input_APM (Zenith)'!M:M,Check!$G$1))</f>
        <v/>
      </c>
      <c r="M162" s="173" t="str">
        <f t="shared" si="52"/>
        <v/>
      </c>
      <c r="O162"/>
      <c r="P162" s="173" t="str">
        <f>IF(O162="","",IF(OR(LEFT(O162,4)="Cash",LEFT(O162,4)="Prov"),0,SUMIFS(Input_APM!N:N,Input_APM!L:L,Check!O162)))</f>
        <v/>
      </c>
      <c r="Q162" s="21" t="str">
        <f>IF(O162="","",IF(LEN(O162)&gt;9,SUMIFS(Options!$H$3:$H$28,Options!$B$3:$B$28,Check!O162),SUMIFS('Master P&amp;L'!$H$11:$H$101,'Master P&amp;L'!$B$11:$B$101,Check!O162)))</f>
        <v/>
      </c>
      <c r="R162" s="173" t="str">
        <f t="shared" si="48"/>
        <v/>
      </c>
      <c r="S162" s="288" t="str">
        <f t="shared" si="37"/>
        <v/>
      </c>
    </row>
    <row r="163" spans="3:19">
      <c r="C163" s="187" t="str">
        <f>IF(B163="","",IF(LEN(B163)&gt;9,SUMIFS(Options!$H$3:$H$28,Options!$B$3:$B$28,Check!B163),SUMIFS('Master P&amp;L'!$H$11:$H$101,'Master P&amp;L'!$B$11:$B$101,Check!B163)))</f>
        <v/>
      </c>
      <c r="D163" s="187" t="str">
        <f>IF(B163="","",SUMIFS(Input_APM!N:N,Input_APM!L:L,Check!B163,Input_APM!M:M,Check!$F$1))</f>
        <v/>
      </c>
      <c r="E163" s="173" t="str">
        <f t="shared" si="49"/>
        <v/>
      </c>
      <c r="F163" s="187" t="str">
        <f>IF(B163="","",SUMIFS(Input_APM!N:N,Input_APM!M:M,Check!$F$1,Input_APM!L:L,Check!B163))</f>
        <v/>
      </c>
      <c r="G163" s="187" t="str">
        <f>IF(B163="","",SUMIFS(Input_APM!N:N,Input_APM!M:M,Check!$G$1,Input_APM!L:L,Check!B163))</f>
        <v/>
      </c>
      <c r="H163" s="173" t="str">
        <f t="shared" si="50"/>
        <v/>
      </c>
      <c r="I163" s="173">
        <f>SUMIFS(Input_APM!N:N,Input_APM!L:L,Check!B163)</f>
        <v>0</v>
      </c>
      <c r="J163" s="175" t="str">
        <f t="shared" si="51"/>
        <v/>
      </c>
      <c r="K163" s="21" t="str">
        <f>IF(B163="","",SUMIFS('Input_APM (Zenith)'!N:N,'Input_APM (Zenith)'!L:L,Check!B163,'Input_APM (Zenith)'!M:M,Check!$F$1))</f>
        <v/>
      </c>
      <c r="L163" s="21" t="str">
        <f>IF(B163="","",SUMIFS('Input_APM (Zenith)'!N:N,'Input_APM (Zenith)'!L:L,Check!B163,'Input_APM (Zenith)'!M:M,Check!$G$1))</f>
        <v/>
      </c>
      <c r="M163" s="173" t="str">
        <f t="shared" si="52"/>
        <v/>
      </c>
      <c r="O163"/>
      <c r="P163" s="173" t="str">
        <f>IF(O163="","",IF(OR(LEFT(O163,4)="Cash",LEFT(O163,4)="Prov"),0,SUMIFS(Input_APM!N:N,Input_APM!L:L,Check!O163)))</f>
        <v/>
      </c>
      <c r="Q163" s="21" t="str">
        <f>IF(O163="","",IF(LEN(O163)&gt;9,SUMIFS(Options!$H$3:$H$28,Options!$B$3:$B$28,Check!O163),SUMIFS('Master P&amp;L'!$H$11:$H$101,'Master P&amp;L'!$B$11:$B$101,Check!O163)))</f>
        <v/>
      </c>
      <c r="R163" s="173" t="str">
        <f t="shared" si="48"/>
        <v/>
      </c>
      <c r="S163" s="288" t="str">
        <f t="shared" si="37"/>
        <v/>
      </c>
    </row>
    <row r="164" spans="3:19">
      <c r="C164" s="187" t="str">
        <f>IF(B164="","",IF(LEN(B164)&gt;9,SUMIFS(Options!$H$3:$H$28,Options!$B$3:$B$28,Check!B164),SUMIFS('Master P&amp;L'!$H$11:$H$101,'Master P&amp;L'!$B$11:$B$101,Check!B164)))</f>
        <v/>
      </c>
      <c r="D164" s="187" t="str">
        <f>IF(B164="","",SUMIFS(Input_APM!N:N,Input_APM!L:L,Check!B164,Input_APM!M:M,Check!$F$1))</f>
        <v/>
      </c>
      <c r="E164" s="173" t="str">
        <f t="shared" si="49"/>
        <v/>
      </c>
      <c r="F164" s="187" t="str">
        <f>IF(B164="","",SUMIFS(Input_APM!N:N,Input_APM!M:M,Check!$F$1,Input_APM!L:L,Check!B164))</f>
        <v/>
      </c>
      <c r="G164" s="187" t="str">
        <f>IF(B164="","",SUMIFS(Input_APM!N:N,Input_APM!M:M,Check!$G$1,Input_APM!L:L,Check!B164))</f>
        <v/>
      </c>
      <c r="H164" s="173" t="str">
        <f t="shared" si="50"/>
        <v/>
      </c>
      <c r="I164" s="173">
        <f>SUMIFS(Input_APM!N:N,Input_APM!L:L,Check!B164)</f>
        <v>0</v>
      </c>
      <c r="J164" s="175" t="str">
        <f t="shared" si="51"/>
        <v/>
      </c>
      <c r="K164" s="21" t="str">
        <f>IF(B164="","",SUMIFS('Input_APM (Zenith)'!N:N,'Input_APM (Zenith)'!L:L,Check!B164,'Input_APM (Zenith)'!M:M,Check!$F$1))</f>
        <v/>
      </c>
      <c r="L164" s="21" t="str">
        <f>IF(B164="","",SUMIFS('Input_APM (Zenith)'!N:N,'Input_APM (Zenith)'!L:L,Check!B164,'Input_APM (Zenith)'!M:M,Check!$G$1))</f>
        <v/>
      </c>
      <c r="M164" s="173" t="str">
        <f t="shared" si="52"/>
        <v/>
      </c>
      <c r="O164"/>
      <c r="P164" s="173" t="str">
        <f>IF(O164="","",IF(OR(LEFT(O164,4)="Cash",LEFT(O164,4)="Prov"),0,SUMIFS(Input_APM!N:N,Input_APM!L:L,Check!O164)))</f>
        <v/>
      </c>
      <c r="Q164" s="21" t="str">
        <f>IF(O164="","",IF(LEN(O164)&gt;9,SUMIFS(Options!$H$3:$H$28,Options!$B$3:$B$28,Check!O164),SUMIFS('Master P&amp;L'!$H$11:$H$101,'Master P&amp;L'!$B$11:$B$101,Check!O164)))</f>
        <v/>
      </c>
      <c r="R164" s="173" t="str">
        <f t="shared" si="48"/>
        <v/>
      </c>
      <c r="S164" s="288" t="str">
        <f t="shared" si="37"/>
        <v/>
      </c>
    </row>
    <row r="165" spans="3:19">
      <c r="C165" s="187" t="str">
        <f>IF(B165="","",IF(LEN(B165)&gt;9,SUMIFS(Options!$H$3:$H$28,Options!$B$3:$B$28,Check!B165),SUMIFS('Master P&amp;L'!$H$11:$H$101,'Master P&amp;L'!$B$11:$B$101,Check!B165)))</f>
        <v/>
      </c>
      <c r="D165" s="187" t="str">
        <f>IF(B165="","",SUMIFS(Input_APM!N:N,Input_APM!L:L,Check!B165,Input_APM!M:M,Check!$F$1))</f>
        <v/>
      </c>
      <c r="E165" s="173" t="str">
        <f t="shared" si="49"/>
        <v/>
      </c>
      <c r="F165" s="187" t="str">
        <f>IF(B165="","",SUMIFS(Input_APM!N:N,Input_APM!M:M,Check!$F$1,Input_APM!L:L,Check!B165))</f>
        <v/>
      </c>
      <c r="G165" s="187" t="str">
        <f>IF(B165="","",SUMIFS(Input_APM!N:N,Input_APM!M:M,Check!$G$1,Input_APM!L:L,Check!B165))</f>
        <v/>
      </c>
      <c r="H165" s="173" t="str">
        <f t="shared" si="50"/>
        <v/>
      </c>
      <c r="I165" s="173">
        <f>SUMIFS(Input_APM!N:N,Input_APM!L:L,Check!B165)</f>
        <v>0</v>
      </c>
      <c r="J165" s="175" t="str">
        <f t="shared" si="51"/>
        <v/>
      </c>
      <c r="K165" s="21" t="str">
        <f>IF(B165="","",SUMIFS('Input_APM (Zenith)'!N:N,'Input_APM (Zenith)'!L:L,Check!B165,'Input_APM (Zenith)'!M:M,Check!$F$1))</f>
        <v/>
      </c>
      <c r="L165" s="21" t="str">
        <f>IF(B165="","",SUMIFS('Input_APM (Zenith)'!N:N,'Input_APM (Zenith)'!L:L,Check!B165,'Input_APM (Zenith)'!M:M,Check!$G$1))</f>
        <v/>
      </c>
      <c r="M165" s="173" t="str">
        <f t="shared" si="52"/>
        <v/>
      </c>
      <c r="O165"/>
      <c r="P165" s="173" t="str">
        <f>IF(O165="","",IF(OR(LEFT(O165,4)="Cash",LEFT(O165,4)="Prov"),0,SUMIFS(Input_APM!N:N,Input_APM!L:L,Check!O165)))</f>
        <v/>
      </c>
      <c r="Q165" s="21" t="str">
        <f>IF(O165="","",IF(LEN(O165)&gt;9,SUMIFS(Options!$H$3:$H$28,Options!$B$3:$B$28,Check!O165),SUMIFS('Master P&amp;L'!$H$11:$H$101,'Master P&amp;L'!$B$11:$B$101,Check!O165)))</f>
        <v/>
      </c>
      <c r="R165" s="173" t="str">
        <f t="shared" si="48"/>
        <v/>
      </c>
      <c r="S165" s="288" t="str">
        <f t="shared" si="37"/>
        <v/>
      </c>
    </row>
    <row r="166" spans="3:19">
      <c r="C166" s="187" t="str">
        <f>IF(B166="","",IF(LEN(B166)&gt;9,SUMIFS(Options!$H$3:$H$28,Options!$B$3:$B$28,Check!B166),SUMIFS('Master P&amp;L'!$H$11:$H$101,'Master P&amp;L'!$B$11:$B$101,Check!B166)))</f>
        <v/>
      </c>
      <c r="D166" s="187" t="str">
        <f>IF(B166="","",SUMIFS(Input_APM!N:N,Input_APM!L:L,Check!B166,Input_APM!M:M,Check!$F$1))</f>
        <v/>
      </c>
      <c r="E166" s="173" t="str">
        <f>IF(B166="","",C166-M166)</f>
        <v/>
      </c>
      <c r="F166" s="187" t="str">
        <f>IF(B166="","",SUMIFS(Input_APM!N:N,Input_APM!M:M,Check!$F$1,Input_APM!L:L,Check!B166))</f>
        <v/>
      </c>
      <c r="G166" s="187" t="str">
        <f>IF(B166="","",SUMIFS(Input_APM!N:N,Input_APM!M:M,Check!$G$1,Input_APM!L:L,Check!B166))</f>
        <v/>
      </c>
      <c r="H166" s="173" t="str">
        <f>IF(B166="","",F166-G166)</f>
        <v/>
      </c>
      <c r="I166" s="173">
        <f>SUMIFS(Input_APM!N:N,Input_APM!L:L,Check!B166)</f>
        <v>0</v>
      </c>
      <c r="J166" s="175" t="str">
        <f>IF(B166="","",(F166+G166)-I166)</f>
        <v/>
      </c>
      <c r="K166" s="21" t="str">
        <f>IF(B166="","",SUMIFS('Input_APM (Zenith)'!N:N,'Input_APM (Zenith)'!L:L,Check!B166,'Input_APM (Zenith)'!M:M,Check!$F$1))</f>
        <v/>
      </c>
      <c r="L166" s="21" t="str">
        <f>IF(B166="","",SUMIFS('Input_APM (Zenith)'!N:N,'Input_APM (Zenith)'!L:L,Check!B166,'Input_APM (Zenith)'!M:M,Check!$G$1))</f>
        <v/>
      </c>
      <c r="M166" s="173" t="str">
        <f>IF(B166="","",F166+G166+K166+L166)</f>
        <v/>
      </c>
      <c r="O166"/>
      <c r="P166" s="173" t="str">
        <f>IF(O166="","",IF(OR(LEFT(O166,4)="Cash",LEFT(O166,4)="Prov"),0,SUMIFS(Input_APM!N:N,Input_APM!L:L,Check!O166)))</f>
        <v/>
      </c>
      <c r="Q166" s="21" t="str">
        <f>IF(O166="","",IF(LEN(O166)&gt;9,SUMIFS(Options!$H$3:$H$28,Options!$B$3:$B$28,Check!O166),SUMIFS('Master P&amp;L'!$H$11:$H$101,'Master P&amp;L'!$B$11:$B$101,Check!O166)))</f>
        <v/>
      </c>
      <c r="R166" s="173" t="str">
        <f t="shared" si="48"/>
        <v/>
      </c>
      <c r="S166" s="288" t="str">
        <f t="shared" si="37"/>
        <v/>
      </c>
    </row>
    <row r="167" spans="3:19">
      <c r="C167" s="187" t="str">
        <f>IF(B167="","",IF(LEN(B167)&gt;9,SUMIFS(Options!$H$3:$H$28,Options!$B$3:$B$28,Check!B167),SUMIFS('Master P&amp;L'!$H$11:$H$101,'Master P&amp;L'!$B$11:$B$101,Check!B167)))</f>
        <v/>
      </c>
      <c r="D167" s="187" t="str">
        <f>IF(B167="","",SUMIFS(Input_APM!N:N,Input_APM!L:L,Check!B167,Input_APM!M:M,Check!$F$1))</f>
        <v/>
      </c>
      <c r="E167" s="173" t="str">
        <f>IF(B167="","",C167-M167)</f>
        <v/>
      </c>
      <c r="F167" s="187" t="str">
        <f>IF(B167="","",SUMIFS(Input_APM!N:N,Input_APM!M:M,Check!$F$1,Input_APM!L:L,Check!B167))</f>
        <v/>
      </c>
      <c r="G167" s="187" t="str">
        <f>IF(B167="","",SUMIFS(Input_APM!N:N,Input_APM!M:M,Check!$G$1,Input_APM!L:L,Check!B167))</f>
        <v/>
      </c>
      <c r="H167" s="173" t="str">
        <f>IF(B167="","",F167-G167)</f>
        <v/>
      </c>
      <c r="I167" s="173">
        <f>SUMIFS(Input_APM!N:N,Input_APM!L:L,Check!B167)</f>
        <v>0</v>
      </c>
      <c r="J167" s="175" t="str">
        <f>IF(B167="","",(F167+G167)-I167)</f>
        <v/>
      </c>
      <c r="K167" s="21" t="str">
        <f>IF(B167="","",SUMIFS('Input_APM (Zenith)'!N:N,'Input_APM (Zenith)'!L:L,Check!B167,'Input_APM (Zenith)'!M:M,Check!$F$1))</f>
        <v/>
      </c>
      <c r="L167" s="21" t="str">
        <f>IF(B167="","",SUMIFS('Input_APM (Zenith)'!N:N,'Input_APM (Zenith)'!L:L,Check!B167,'Input_APM (Zenith)'!M:M,Check!$G$1))</f>
        <v/>
      </c>
      <c r="M167" s="173" t="str">
        <f>IF(B167="","",F167+G167+K167+L167)</f>
        <v/>
      </c>
      <c r="O167"/>
      <c r="P167" s="173" t="str">
        <f>IF(O167="","",IF(OR(LEFT(O167,4)="Cash",LEFT(O167,4)="Prov"),0,SUMIFS(Input_APM!N:N,Input_APM!L:L,Check!O167)))</f>
        <v/>
      </c>
      <c r="Q167" s="21" t="str">
        <f>IF(O167="","",IF(LEN(O167)&gt;9,SUMIFS(Options!$H$3:$H$28,Options!$B$3:$B$28,Check!O167),SUMIFS('Master P&amp;L'!$H$11:$H$101,'Master P&amp;L'!$B$11:$B$101,Check!O167)))</f>
        <v/>
      </c>
      <c r="R167" s="173" t="str">
        <f t="shared" ref="R167:R177" si="53">IF(O167="","",P167-Q167)</f>
        <v/>
      </c>
      <c r="S167" s="288" t="str">
        <f t="shared" si="37"/>
        <v/>
      </c>
    </row>
    <row r="168" spans="3:19">
      <c r="C168" s="187" t="str">
        <f>IF(B168="","",IF(LEN(B168)&gt;9,SUMIFS(Options!$H$3:$H$28,Options!$B$3:$B$28,Check!B168),SUMIFS('Master P&amp;L'!$H$11:$H$101,'Master P&amp;L'!$B$11:$B$101,Check!B168)))</f>
        <v/>
      </c>
      <c r="D168" s="187" t="str">
        <f>IF(B168="","",SUMIFS(Input_APM!N:N,Input_APM!L:L,Check!B168,Input_APM!M:M,Check!$F$1))</f>
        <v/>
      </c>
      <c r="E168" s="173" t="str">
        <f t="shared" ref="E168:E175" si="54">IF(B168="","",C168-M168)</f>
        <v/>
      </c>
      <c r="F168" s="187" t="str">
        <f>IF(B168="","",SUMIFS(Input_APM!N:N,Input_APM!M:M,Check!$F$1,Input_APM!L:L,Check!B168))</f>
        <v/>
      </c>
      <c r="G168" s="187" t="str">
        <f>IF(B168="","",SUMIFS(Input_APM!N:N,Input_APM!M:M,Check!$G$1,Input_APM!L:L,Check!B168))</f>
        <v/>
      </c>
      <c r="H168" s="173" t="str">
        <f t="shared" ref="H168:H175" si="55">IF(B168="","",F168-G168)</f>
        <v/>
      </c>
      <c r="I168" s="173">
        <f>SUMIFS(Input_APM!N:N,Input_APM!L:L,Check!B168)</f>
        <v>0</v>
      </c>
      <c r="J168" s="175" t="str">
        <f t="shared" ref="J168:J175" si="56">IF(B168="","",(F168+G168)-I168)</f>
        <v/>
      </c>
      <c r="K168" s="21" t="str">
        <f>IF(B168="","",SUMIFS('Input_APM (Zenith)'!N:N,'Input_APM (Zenith)'!L:L,Check!B168,'Input_APM (Zenith)'!M:M,Check!$F$1))</f>
        <v/>
      </c>
      <c r="L168" s="21" t="str">
        <f>IF(B168="","",SUMIFS('Input_APM (Zenith)'!N:N,'Input_APM (Zenith)'!L:L,Check!B168,'Input_APM (Zenith)'!M:M,Check!$G$1))</f>
        <v/>
      </c>
      <c r="M168" s="173" t="str">
        <f t="shared" ref="M168:M175" si="57">IF(B168="","",F168+G168+K168+L168)</f>
        <v/>
      </c>
      <c r="O168"/>
      <c r="P168" s="173" t="str">
        <f>IF(O168="","",IF(OR(LEFT(O168,4)="Cash",LEFT(O168,4)="Prov"),0,SUMIFS(Input_APM!N:N,Input_APM!L:L,Check!O168)))</f>
        <v/>
      </c>
      <c r="Q168" s="21" t="str">
        <f>IF(O168="","",IF(LEN(O168)&gt;9,SUMIFS(Options!$H$3:$H$28,Options!$B$3:$B$28,Check!O168),SUMIFS('Master P&amp;L'!$H$11:$H$101,'Master P&amp;L'!$B$11:$B$101,Check!O168)))</f>
        <v/>
      </c>
      <c r="R168" s="173" t="str">
        <f t="shared" si="53"/>
        <v/>
      </c>
      <c r="S168" s="288" t="str">
        <f t="shared" si="37"/>
        <v/>
      </c>
    </row>
    <row r="169" spans="3:19">
      <c r="C169" s="187" t="str">
        <f>IF(B169="","",IF(LEN(B169)&gt;9,SUMIFS(Options!$H$3:$H$28,Options!$B$3:$B$28,Check!B169),SUMIFS('Master P&amp;L'!$H$11:$H$101,'Master P&amp;L'!$B$11:$B$101,Check!B169)))</f>
        <v/>
      </c>
      <c r="D169" s="187" t="str">
        <f>IF(B169="","",SUMIFS(Input_APM!N:N,Input_APM!L:L,Check!B169,Input_APM!M:M,Check!$F$1))</f>
        <v/>
      </c>
      <c r="E169" s="173" t="str">
        <f t="shared" si="54"/>
        <v/>
      </c>
      <c r="F169" s="187" t="str">
        <f>IF(B169="","",SUMIFS(Input_APM!N:N,Input_APM!M:M,Check!$F$1,Input_APM!L:L,Check!B169))</f>
        <v/>
      </c>
      <c r="G169" s="187" t="str">
        <f>IF(B169="","",SUMIFS(Input_APM!N:N,Input_APM!M:M,Check!$G$1,Input_APM!L:L,Check!B169))</f>
        <v/>
      </c>
      <c r="H169" s="173" t="str">
        <f t="shared" si="55"/>
        <v/>
      </c>
      <c r="I169" s="173">
        <f>SUMIFS(Input_APM!N:N,Input_APM!L:L,Check!B169)</f>
        <v>0</v>
      </c>
      <c r="J169" s="175" t="str">
        <f t="shared" si="56"/>
        <v/>
      </c>
      <c r="K169" s="21" t="str">
        <f>IF(B169="","",SUMIFS('Input_APM (Zenith)'!N:N,'Input_APM (Zenith)'!L:L,Check!B169,'Input_APM (Zenith)'!M:M,Check!$F$1))</f>
        <v/>
      </c>
      <c r="L169" s="21" t="str">
        <f>IF(B169="","",SUMIFS('Input_APM (Zenith)'!N:N,'Input_APM (Zenith)'!L:L,Check!B169,'Input_APM (Zenith)'!M:M,Check!$G$1))</f>
        <v/>
      </c>
      <c r="M169" s="173" t="str">
        <f t="shared" si="57"/>
        <v/>
      </c>
      <c r="O169"/>
      <c r="P169" s="173" t="str">
        <f>IF(O169="","",IF(OR(LEFT(O169,4)="Cash",LEFT(O169,4)="Prov"),0,SUMIFS(Input_APM!N:N,Input_APM!L:L,Check!O169)))</f>
        <v/>
      </c>
      <c r="Q169" s="21" t="str">
        <f>IF(O169="","",IF(LEN(O169)&gt;9,SUMIFS(Options!$H$3:$H$28,Options!$B$3:$B$28,Check!O169),SUMIFS('Master P&amp;L'!$H$11:$H$101,'Master P&amp;L'!$B$11:$B$101,Check!O169)))</f>
        <v/>
      </c>
      <c r="R169" s="173" t="str">
        <f t="shared" si="53"/>
        <v/>
      </c>
      <c r="S169" s="288" t="str">
        <f t="shared" si="37"/>
        <v/>
      </c>
    </row>
    <row r="170" spans="3:19">
      <c r="C170" s="187" t="str">
        <f>IF(B170="","",IF(LEN(B170)&gt;9,SUMIFS(Options!$H$3:$H$28,Options!$B$3:$B$28,Check!B170),SUMIFS('Master P&amp;L'!$H$11:$H$101,'Master P&amp;L'!$B$11:$B$101,Check!B170)))</f>
        <v/>
      </c>
      <c r="D170" s="187" t="str">
        <f>IF(B170="","",SUMIFS(Input_APM!N:N,Input_APM!L:L,Check!B170,Input_APM!M:M,Check!$F$1))</f>
        <v/>
      </c>
      <c r="E170" s="173" t="str">
        <f t="shared" si="54"/>
        <v/>
      </c>
      <c r="F170" s="187" t="str">
        <f>IF(B170="","",SUMIFS(Input_APM!N:N,Input_APM!M:M,Check!$F$1,Input_APM!L:L,Check!B170))</f>
        <v/>
      </c>
      <c r="G170" s="187" t="str">
        <f>IF(B170="","",SUMIFS(Input_APM!N:N,Input_APM!M:M,Check!$G$1,Input_APM!L:L,Check!B170))</f>
        <v/>
      </c>
      <c r="H170" s="173" t="str">
        <f t="shared" si="55"/>
        <v/>
      </c>
      <c r="I170" s="173">
        <f>SUMIFS(Input_APM!N:N,Input_APM!L:L,Check!B170)</f>
        <v>0</v>
      </c>
      <c r="J170" s="175" t="str">
        <f t="shared" si="56"/>
        <v/>
      </c>
      <c r="K170" s="21" t="str">
        <f>IF(B170="","",SUMIFS('Input_APM (Zenith)'!N:N,'Input_APM (Zenith)'!L:L,Check!B170,'Input_APM (Zenith)'!M:M,Check!$F$1))</f>
        <v/>
      </c>
      <c r="L170" s="21" t="str">
        <f>IF(B170="","",SUMIFS('Input_APM (Zenith)'!N:N,'Input_APM (Zenith)'!L:L,Check!B170,'Input_APM (Zenith)'!M:M,Check!$G$1))</f>
        <v/>
      </c>
      <c r="M170" s="173" t="str">
        <f t="shared" si="57"/>
        <v/>
      </c>
      <c r="O170"/>
      <c r="P170" s="173" t="str">
        <f>IF(O170="","",IF(OR(LEFT(O170,4)="Cash",LEFT(O170,4)="Prov"),0,SUMIFS(Input_APM!N:N,Input_APM!L:L,Check!O170)))</f>
        <v/>
      </c>
      <c r="Q170" s="21" t="str">
        <f>IF(O170="","",IF(LEN(O170)&gt;9,SUMIFS(Options!$H$3:$H$28,Options!$B$3:$B$28,Check!O170),SUMIFS('Master P&amp;L'!$H$11:$H$101,'Master P&amp;L'!$B$11:$B$101,Check!O170)))</f>
        <v/>
      </c>
      <c r="R170" s="173" t="str">
        <f t="shared" si="53"/>
        <v/>
      </c>
      <c r="S170" s="288" t="str">
        <f t="shared" si="37"/>
        <v/>
      </c>
    </row>
    <row r="171" spans="3:19">
      <c r="C171" s="187" t="str">
        <f>IF(B171="","",IF(LEN(B171)&gt;9,SUMIFS(Options!$H$3:$H$28,Options!$B$3:$B$28,Check!B171),SUMIFS('Master P&amp;L'!$H$11:$H$101,'Master P&amp;L'!$B$11:$B$101,Check!B171)))</f>
        <v/>
      </c>
      <c r="D171" s="187" t="str">
        <f>IF(B171="","",SUMIFS(Input_APM!N:N,Input_APM!L:L,Check!B171,Input_APM!M:M,Check!$F$1))</f>
        <v/>
      </c>
      <c r="E171" s="173" t="str">
        <f t="shared" si="54"/>
        <v/>
      </c>
      <c r="F171" s="187" t="str">
        <f>IF(B171="","",SUMIFS(Input_APM!N:N,Input_APM!M:M,Check!$F$1,Input_APM!L:L,Check!B171))</f>
        <v/>
      </c>
      <c r="G171" s="187" t="str">
        <f>IF(B171="","",SUMIFS(Input_APM!N:N,Input_APM!M:M,Check!$G$1,Input_APM!L:L,Check!B171))</f>
        <v/>
      </c>
      <c r="H171" s="173" t="str">
        <f t="shared" si="55"/>
        <v/>
      </c>
      <c r="I171" s="173">
        <f>SUMIFS(Input_APM!N:N,Input_APM!L:L,Check!B171)</f>
        <v>0</v>
      </c>
      <c r="J171" s="175" t="str">
        <f t="shared" si="56"/>
        <v/>
      </c>
      <c r="K171" s="21" t="str">
        <f>IF(B171="","",SUMIFS('Input_APM (Zenith)'!N:N,'Input_APM (Zenith)'!L:L,Check!B171,'Input_APM (Zenith)'!M:M,Check!$F$1))</f>
        <v/>
      </c>
      <c r="L171" s="21" t="str">
        <f>IF(B171="","",SUMIFS('Input_APM (Zenith)'!N:N,'Input_APM (Zenith)'!L:L,Check!B171,'Input_APM (Zenith)'!M:M,Check!$G$1))</f>
        <v/>
      </c>
      <c r="M171" s="173" t="str">
        <f t="shared" si="57"/>
        <v/>
      </c>
      <c r="O171"/>
      <c r="P171" s="173" t="str">
        <f>IF(O171="","",IF(OR(LEFT(O171,4)="Cash",LEFT(O171,4)="Prov"),0,SUMIFS(Input_APM!N:N,Input_APM!L:L,Check!O171)))</f>
        <v/>
      </c>
      <c r="Q171" s="21" t="str">
        <f>IF(O171="","",IF(LEN(O171)&gt;9,SUMIFS(Options!$H$3:$H$28,Options!$B$3:$B$28,Check!O171),SUMIFS('Master P&amp;L'!$H$11:$H$101,'Master P&amp;L'!$B$11:$B$101,Check!O171)))</f>
        <v/>
      </c>
      <c r="R171" s="173" t="str">
        <f t="shared" si="53"/>
        <v/>
      </c>
      <c r="S171" s="288" t="str">
        <f t="shared" si="37"/>
        <v/>
      </c>
    </row>
    <row r="172" spans="3:19">
      <c r="C172" s="187" t="str">
        <f>IF(B172="","",IF(LEN(B172)&gt;9,SUMIFS(Options!$H$3:$H$28,Options!$B$3:$B$28,Check!B172),SUMIFS('Master P&amp;L'!$H$11:$H$101,'Master P&amp;L'!$B$11:$B$101,Check!B172)))</f>
        <v/>
      </c>
      <c r="D172" s="187" t="str">
        <f>IF(B172="","",SUMIFS(Input_APM!N:N,Input_APM!L:L,Check!B172,Input_APM!M:M,Check!$F$1))</f>
        <v/>
      </c>
      <c r="E172" s="173" t="str">
        <f t="shared" si="54"/>
        <v/>
      </c>
      <c r="F172" s="187" t="str">
        <f>IF(B172="","",SUMIFS(Input_APM!N:N,Input_APM!M:M,Check!$F$1,Input_APM!L:L,Check!B172))</f>
        <v/>
      </c>
      <c r="G172" s="187" t="str">
        <f>IF(B172="","",SUMIFS(Input_APM!N:N,Input_APM!M:M,Check!$G$1,Input_APM!L:L,Check!B172))</f>
        <v/>
      </c>
      <c r="H172" s="173" t="str">
        <f t="shared" si="55"/>
        <v/>
      </c>
      <c r="I172" s="173">
        <f>SUMIFS(Input_APM!N:N,Input_APM!L:L,Check!B172)</f>
        <v>0</v>
      </c>
      <c r="J172" s="175" t="str">
        <f t="shared" si="56"/>
        <v/>
      </c>
      <c r="K172" s="21" t="str">
        <f>IF(B172="","",SUMIFS('Input_APM (Zenith)'!N:N,'Input_APM (Zenith)'!L:L,Check!B172,'Input_APM (Zenith)'!M:M,Check!$F$1))</f>
        <v/>
      </c>
      <c r="L172" s="21" t="str">
        <f>IF(B172="","",SUMIFS('Input_APM (Zenith)'!N:N,'Input_APM (Zenith)'!L:L,Check!B172,'Input_APM (Zenith)'!M:M,Check!$G$1))</f>
        <v/>
      </c>
      <c r="M172" s="173" t="str">
        <f t="shared" si="57"/>
        <v/>
      </c>
      <c r="O172"/>
      <c r="P172" s="173" t="str">
        <f>IF(O172="","",IF(OR(LEFT(O172,4)="Cash",LEFT(O172,4)="Prov"),0,SUMIFS(Input_APM!N:N,Input_APM!L:L,Check!O172)))</f>
        <v/>
      </c>
      <c r="Q172" s="21" t="str">
        <f>IF(O172="","",IF(LEN(O172)&gt;9,SUMIFS(Options!$H$3:$H$28,Options!$B$3:$B$28,Check!O172),SUMIFS('Master P&amp;L'!$H$11:$H$101,'Master P&amp;L'!$B$11:$B$101,Check!O172)))</f>
        <v/>
      </c>
      <c r="R172" s="173" t="str">
        <f t="shared" si="53"/>
        <v/>
      </c>
      <c r="S172" s="288" t="str">
        <f t="shared" si="37"/>
        <v/>
      </c>
    </row>
    <row r="173" spans="3:19">
      <c r="C173" s="187" t="str">
        <f>IF(B173="","",IF(LEN(B173)&gt;9,SUMIFS(Options!$H$3:$H$28,Options!$B$3:$B$28,Check!B173),SUMIFS('Master P&amp;L'!$H$11:$H$101,'Master P&amp;L'!$B$11:$B$101,Check!B173)))</f>
        <v/>
      </c>
      <c r="D173" s="187" t="str">
        <f>IF(B173="","",SUMIFS(Input_APM!N:N,Input_APM!L:L,Check!B173,Input_APM!M:M,Check!$F$1))</f>
        <v/>
      </c>
      <c r="E173" s="173" t="str">
        <f t="shared" si="54"/>
        <v/>
      </c>
      <c r="F173" s="187" t="str">
        <f>IF(B173="","",SUMIFS(Input_APM!N:N,Input_APM!M:M,Check!$F$1,Input_APM!L:L,Check!B173))</f>
        <v/>
      </c>
      <c r="G173" s="187" t="str">
        <f>IF(B173="","",SUMIFS(Input_APM!N:N,Input_APM!M:M,Check!$G$1,Input_APM!L:L,Check!B173))</f>
        <v/>
      </c>
      <c r="H173" s="173" t="str">
        <f t="shared" si="55"/>
        <v/>
      </c>
      <c r="I173" s="173">
        <f>SUMIFS(Input_APM!N:N,Input_APM!L:L,Check!B173)</f>
        <v>0</v>
      </c>
      <c r="J173" s="175" t="str">
        <f t="shared" si="56"/>
        <v/>
      </c>
      <c r="K173" s="21" t="str">
        <f>IF(B173="","",SUMIFS('Input_APM (Zenith)'!N:N,'Input_APM (Zenith)'!L:L,Check!B173,'Input_APM (Zenith)'!M:M,Check!$F$1))</f>
        <v/>
      </c>
      <c r="L173" s="21" t="str">
        <f>IF(B173="","",SUMIFS('Input_APM (Zenith)'!N:N,'Input_APM (Zenith)'!L:L,Check!B173,'Input_APM (Zenith)'!M:M,Check!$G$1))</f>
        <v/>
      </c>
      <c r="M173" s="173" t="str">
        <f t="shared" si="57"/>
        <v/>
      </c>
      <c r="O173"/>
      <c r="P173" s="173" t="str">
        <f>IF(O173="","",IF(OR(LEFT(O173,4)="Cash",LEFT(O173,4)="Prov"),0,SUMIFS(Input_APM!N:N,Input_APM!L:L,Check!O173)))</f>
        <v/>
      </c>
      <c r="Q173" s="21" t="str">
        <f>IF(O173="","",IF(LEN(O173)&gt;9,SUMIFS(Options!$H$3:$H$28,Options!$B$3:$B$28,Check!O173),SUMIFS('Master P&amp;L'!$H$11:$H$101,'Master P&amp;L'!$B$11:$B$101,Check!O173)))</f>
        <v/>
      </c>
      <c r="R173" s="173" t="str">
        <f t="shared" si="53"/>
        <v/>
      </c>
      <c r="S173" s="288" t="str">
        <f t="shared" si="37"/>
        <v/>
      </c>
    </row>
    <row r="174" spans="3:19">
      <c r="C174" s="187" t="str">
        <f>IF(B174="","",IF(LEN(B174)&gt;9,SUMIFS(Options!$H$3:$H$28,Options!$B$3:$B$28,Check!B174),SUMIFS('Master P&amp;L'!$H$11:$H$101,'Master P&amp;L'!$B$11:$B$101,Check!B174)))</f>
        <v/>
      </c>
      <c r="D174" s="187" t="str">
        <f>IF(B174="","",SUMIFS(Input_APM!N:N,Input_APM!L:L,Check!B174,Input_APM!M:M,Check!$F$1))</f>
        <v/>
      </c>
      <c r="E174" s="173" t="str">
        <f t="shared" si="54"/>
        <v/>
      </c>
      <c r="F174" s="187" t="str">
        <f>IF(B174="","",SUMIFS(Input_APM!N:N,Input_APM!M:M,Check!$F$1,Input_APM!L:L,Check!B174))</f>
        <v/>
      </c>
      <c r="G174" s="187" t="str">
        <f>IF(B174="","",SUMIFS(Input_APM!N:N,Input_APM!M:M,Check!$G$1,Input_APM!L:L,Check!B174))</f>
        <v/>
      </c>
      <c r="H174" s="173" t="str">
        <f t="shared" si="55"/>
        <v/>
      </c>
      <c r="I174" s="173">
        <f>SUMIFS(Input_APM!N:N,Input_APM!L:L,Check!B174)</f>
        <v>0</v>
      </c>
      <c r="J174" s="175" t="str">
        <f t="shared" si="56"/>
        <v/>
      </c>
      <c r="K174" s="21" t="str">
        <f>IF(B174="","",SUMIFS('Input_APM (Zenith)'!N:N,'Input_APM (Zenith)'!L:L,Check!B174,'Input_APM (Zenith)'!M:M,Check!$F$1))</f>
        <v/>
      </c>
      <c r="L174" s="21" t="str">
        <f>IF(B174="","",SUMIFS('Input_APM (Zenith)'!N:N,'Input_APM (Zenith)'!L:L,Check!B174,'Input_APM (Zenith)'!M:M,Check!$G$1))</f>
        <v/>
      </c>
      <c r="M174" s="173" t="str">
        <f t="shared" si="57"/>
        <v/>
      </c>
      <c r="O174"/>
      <c r="P174" s="173" t="str">
        <f>IF(O174="","",IF(OR(LEFT(O174,4)="Cash",LEFT(O174,4)="Prov"),0,SUMIFS(Input_APM!N:N,Input_APM!L:L,Check!O174)))</f>
        <v/>
      </c>
      <c r="Q174" s="21" t="str">
        <f>IF(O174="","",IF(LEN(O174)&gt;9,SUMIFS(Options!$H$3:$H$28,Options!$B$3:$B$28,Check!O174),SUMIFS('Master P&amp;L'!$H$11:$H$101,'Master P&amp;L'!$B$11:$B$101,Check!O174)))</f>
        <v/>
      </c>
      <c r="R174" s="173" t="str">
        <f t="shared" si="53"/>
        <v/>
      </c>
      <c r="S174" s="288" t="str">
        <f t="shared" si="37"/>
        <v/>
      </c>
    </row>
    <row r="175" spans="3:19">
      <c r="C175" s="187" t="str">
        <f>IF(B175="","",IF(LEN(B175)&gt;9,SUMIFS(Options!$H$3:$H$28,Options!$B$3:$B$28,Check!B175),SUMIFS('Master P&amp;L'!$H$11:$H$101,'Master P&amp;L'!$B$11:$B$101,Check!B175)))</f>
        <v/>
      </c>
      <c r="D175" s="187" t="str">
        <f>IF(B175="","",SUMIFS(Input_APM!N:N,Input_APM!L:L,Check!B175,Input_APM!M:M,Check!$F$1))</f>
        <v/>
      </c>
      <c r="E175" s="173" t="str">
        <f t="shared" si="54"/>
        <v/>
      </c>
      <c r="F175" s="187" t="str">
        <f>IF(B175="","",SUMIFS(Input_APM!N:N,Input_APM!M:M,Check!$F$1,Input_APM!L:L,Check!B175))</f>
        <v/>
      </c>
      <c r="G175" s="187" t="str">
        <f>IF(B175="","",SUMIFS(Input_APM!N:N,Input_APM!M:M,Check!$G$1,Input_APM!L:L,Check!B175))</f>
        <v/>
      </c>
      <c r="H175" s="173" t="str">
        <f t="shared" si="55"/>
        <v/>
      </c>
      <c r="I175" s="173">
        <f>SUMIFS(Input_APM!N:N,Input_APM!L:L,Check!B175)</f>
        <v>0</v>
      </c>
      <c r="J175" s="175" t="str">
        <f t="shared" si="56"/>
        <v/>
      </c>
      <c r="K175" s="21" t="str">
        <f>IF(B175="","",SUMIFS('Input_APM (Zenith)'!N:N,'Input_APM (Zenith)'!L:L,Check!B175,'Input_APM (Zenith)'!M:M,Check!$F$1))</f>
        <v/>
      </c>
      <c r="L175" s="21" t="str">
        <f>IF(B175="","",SUMIFS('Input_APM (Zenith)'!N:N,'Input_APM (Zenith)'!L:L,Check!B175,'Input_APM (Zenith)'!M:M,Check!$G$1))</f>
        <v/>
      </c>
      <c r="M175" s="173" t="str">
        <f t="shared" si="57"/>
        <v/>
      </c>
      <c r="O175"/>
      <c r="P175" s="173" t="str">
        <f>IF(O175="","",IF(OR(LEFT(O175,4)="Cash",LEFT(O175,4)="Prov"),0,SUMIFS(Input_APM!N:N,Input_APM!L:L,Check!O175)))</f>
        <v/>
      </c>
      <c r="Q175" s="21" t="str">
        <f>IF(O175="","",IF(LEN(O175)&gt;9,SUMIFS(Options!$H$3:$H$28,Options!$B$3:$B$28,Check!O175),SUMIFS('Master P&amp;L'!$H$11:$H$101,'Master P&amp;L'!$B$11:$B$101,Check!O175)))</f>
        <v/>
      </c>
      <c r="R175" s="173" t="str">
        <f t="shared" si="53"/>
        <v/>
      </c>
      <c r="S175" s="288" t="str">
        <f t="shared" si="37"/>
        <v/>
      </c>
    </row>
    <row r="176" spans="3:19">
      <c r="C176" s="187" t="str">
        <f>IF(B176="","",IF(LEN(B176)&gt;9,SUMIFS(Options!$H$3:$H$28,Options!$B$3:$B$28,Check!B176),SUMIFS('Master P&amp;L'!$H$11:$H$101,'Master P&amp;L'!$B$11:$B$101,Check!B176)))</f>
        <v/>
      </c>
      <c r="D176" s="187" t="str">
        <f>IF(B176="","",SUMIFS(Input_APM!N:N,Input_APM!L:L,Check!B176,Input_APM!M:M,Check!$F$1))</f>
        <v/>
      </c>
      <c r="E176" s="173" t="str">
        <f t="shared" ref="E176:E183" si="58">IF(B176="","",C176-M176)</f>
        <v/>
      </c>
      <c r="F176" s="187" t="str">
        <f>IF(B176="","",SUMIFS(Input_APM!N:N,Input_APM!M:M,Check!$F$1,Input_APM!L:L,Check!B176))</f>
        <v/>
      </c>
      <c r="G176" s="187" t="str">
        <f>IF(B176="","",SUMIFS(Input_APM!N:N,Input_APM!M:M,Check!$G$1,Input_APM!L:L,Check!B176))</f>
        <v/>
      </c>
      <c r="H176" s="173" t="str">
        <f t="shared" ref="H176:H183" si="59">IF(B176="","",F176-G176)</f>
        <v/>
      </c>
      <c r="I176" s="173">
        <f>SUMIFS(Input_APM!N:N,Input_APM!L:L,Check!B176)</f>
        <v>0</v>
      </c>
      <c r="J176" s="175" t="str">
        <f t="shared" ref="J176:J183" si="60">IF(B176="","",(F176+G176)-I176)</f>
        <v/>
      </c>
      <c r="K176" s="21" t="str">
        <f>IF(B176="","",SUMIFS('Input_APM (Zenith)'!N:N,'Input_APM (Zenith)'!L:L,Check!B176,'Input_APM (Zenith)'!M:M,Check!$F$1))</f>
        <v/>
      </c>
      <c r="L176" s="21" t="str">
        <f>IF(B176="","",SUMIFS('Input_APM (Zenith)'!N:N,'Input_APM (Zenith)'!L:L,Check!B176,'Input_APM (Zenith)'!M:M,Check!$G$1))</f>
        <v/>
      </c>
      <c r="M176" s="173" t="str">
        <f t="shared" ref="M176:M183" si="61">IF(B176="","",F176+G176+K176+L176)</f>
        <v/>
      </c>
      <c r="O176"/>
      <c r="P176" s="173" t="str">
        <f>IF(O176="","",IF(OR(LEFT(O176,4)="Cash",LEFT(O176,4)="Prov"),0,SUMIFS(Input_APM!N:N,Input_APM!L:L,Check!O176)))</f>
        <v/>
      </c>
      <c r="Q176" s="21" t="str">
        <f>IF(O176="","",IF(LEN(O176)&gt;9,SUMIFS(Options!$H$3:$H$28,Options!$B$3:$B$28,Check!O176),SUMIFS('Master P&amp;L'!$H$11:$H$101,'Master P&amp;L'!$B$11:$B$101,Check!O176)))</f>
        <v/>
      </c>
      <c r="R176" s="173" t="str">
        <f t="shared" si="53"/>
        <v/>
      </c>
      <c r="S176" s="288" t="str">
        <f t="shared" si="37"/>
        <v/>
      </c>
    </row>
    <row r="177" spans="3:19">
      <c r="C177" s="187" t="str">
        <f>IF(B177="","",IF(LEN(B177)&gt;9,SUMIFS(Options!$H$3:$H$28,Options!$B$3:$B$28,Check!B177),SUMIFS('Master P&amp;L'!$H$11:$H$101,'Master P&amp;L'!$B$11:$B$101,Check!B177)))</f>
        <v/>
      </c>
      <c r="D177" s="187" t="str">
        <f>IF(B177="","",SUMIFS(Input_APM!N:N,Input_APM!L:L,Check!B177,Input_APM!M:M,Check!$F$1))</f>
        <v/>
      </c>
      <c r="E177" s="173" t="str">
        <f t="shared" si="58"/>
        <v/>
      </c>
      <c r="F177" s="187" t="str">
        <f>IF(B177="","",SUMIFS(Input_APM!N:N,Input_APM!M:M,Check!$F$1,Input_APM!L:L,Check!B177))</f>
        <v/>
      </c>
      <c r="G177" s="187" t="str">
        <f>IF(B177="","",SUMIFS(Input_APM!N:N,Input_APM!M:M,Check!$G$1,Input_APM!L:L,Check!B177))</f>
        <v/>
      </c>
      <c r="H177" s="173" t="str">
        <f t="shared" si="59"/>
        <v/>
      </c>
      <c r="I177" s="173">
        <f>SUMIFS(Input_APM!N:N,Input_APM!L:L,Check!B177)</f>
        <v>0</v>
      </c>
      <c r="J177" s="175" t="str">
        <f t="shared" si="60"/>
        <v/>
      </c>
      <c r="K177" s="21" t="str">
        <f>IF(B177="","",SUMIFS('Input_APM (Zenith)'!N:N,'Input_APM (Zenith)'!L:L,Check!B177,'Input_APM (Zenith)'!M:M,Check!$F$1))</f>
        <v/>
      </c>
      <c r="L177" s="21" t="str">
        <f>IF(B177="","",SUMIFS('Input_APM (Zenith)'!N:N,'Input_APM (Zenith)'!L:L,Check!B177,'Input_APM (Zenith)'!M:M,Check!$G$1))</f>
        <v/>
      </c>
      <c r="M177" s="173" t="str">
        <f t="shared" si="61"/>
        <v/>
      </c>
      <c r="O177"/>
      <c r="P177" s="173" t="str">
        <f>IF(O177="","",IF(OR(LEFT(O177,4)="Cash",LEFT(O177,4)="Prov"),0,SUMIFS(Input_APM!N:N,Input_APM!L:L,Check!O177)))</f>
        <v/>
      </c>
      <c r="Q177" s="21" t="str">
        <f>IF(O177="","",IF(LEN(O177)&gt;9,SUMIFS(Options!$H$3:$H$28,Options!$B$3:$B$28,Check!O177),SUMIFS('Master P&amp;L'!$H$11:$H$101,'Master P&amp;L'!$B$11:$B$101,Check!O177)))</f>
        <v/>
      </c>
      <c r="R177" s="173" t="str">
        <f t="shared" si="53"/>
        <v/>
      </c>
      <c r="S177" s="288" t="str">
        <f t="shared" si="37"/>
        <v/>
      </c>
    </row>
    <row r="178" spans="3:19">
      <c r="C178" s="187" t="str">
        <f>IF(B178="","",IF(LEN(B178)&gt;9,SUMIFS(Options!$H$3:$H$28,Options!$B$3:$B$28,Check!B178),SUMIFS('Master P&amp;L'!$H$11:$H$101,'Master P&amp;L'!$B$11:$B$101,Check!B178)))</f>
        <v/>
      </c>
      <c r="D178" s="187" t="str">
        <f>IF(B178="","",SUMIFS(Input_APM!N:N,Input_APM!L:L,Check!B178,Input_APM!M:M,Check!$F$1))</f>
        <v/>
      </c>
      <c r="E178" s="173" t="str">
        <f t="shared" si="58"/>
        <v/>
      </c>
      <c r="F178" s="187" t="str">
        <f>IF(B178="","",SUMIFS(Input_APM!N:N,Input_APM!M:M,Check!$F$1,Input_APM!L:L,Check!B178))</f>
        <v/>
      </c>
      <c r="G178" s="187" t="str">
        <f>IF(B178="","",SUMIFS(Input_APM!N:N,Input_APM!M:M,Check!$G$1,Input_APM!L:L,Check!B178))</f>
        <v/>
      </c>
      <c r="H178" s="173" t="str">
        <f t="shared" si="59"/>
        <v/>
      </c>
      <c r="I178" s="173">
        <f>SUMIFS(Input_APM!N:N,Input_APM!L:L,Check!B178)</f>
        <v>0</v>
      </c>
      <c r="J178" s="175" t="str">
        <f t="shared" si="60"/>
        <v/>
      </c>
      <c r="K178" s="21" t="str">
        <f>IF(B178="","",SUMIFS('Input_APM (Zenith)'!N:N,'Input_APM (Zenith)'!L:L,Check!B178,'Input_APM (Zenith)'!M:M,Check!$F$1))</f>
        <v/>
      </c>
      <c r="L178" s="21" t="str">
        <f>IF(B178="","",SUMIFS('Input_APM (Zenith)'!N:N,'Input_APM (Zenith)'!L:L,Check!B178,'Input_APM (Zenith)'!M:M,Check!$G$1))</f>
        <v/>
      </c>
      <c r="M178" s="173" t="str">
        <f t="shared" si="61"/>
        <v/>
      </c>
      <c r="O178"/>
      <c r="P178" s="173" t="str">
        <f>IF(O178="","",IF(OR(LEFT(O178,4)="Cash",LEFT(O178,4)="Prov"),0,SUMIFS(Input_APM!N:N,Input_APM!L:L,Check!O178)))</f>
        <v/>
      </c>
      <c r="Q178" s="21" t="str">
        <f>IF(O178="","",IF(LEN(O178)&gt;9,SUMIFS(Options!$H$3:$H$28,Options!$B$3:$B$28,Check!O178),SUMIFS('Master P&amp;L'!$H$11:$H$101,'Master P&amp;L'!$B$11:$B$101,Check!O178)))</f>
        <v/>
      </c>
      <c r="R178" s="173" t="str">
        <f t="shared" ref="R178:R183" si="62">IF(O178="","",P178-Q178)</f>
        <v/>
      </c>
      <c r="S178" s="288" t="str">
        <f t="shared" si="37"/>
        <v/>
      </c>
    </row>
    <row r="179" spans="3:19">
      <c r="C179" s="187" t="str">
        <f>IF(B179="","",IF(LEN(B179)&gt;9,SUMIFS(Options!$H$3:$H$28,Options!$B$3:$B$28,Check!B179),SUMIFS('Master P&amp;L'!$H$11:$H$101,'Master P&amp;L'!$B$11:$B$101,Check!B179)))</f>
        <v/>
      </c>
      <c r="D179" s="187" t="str">
        <f>IF(B179="","",SUMIFS(Input_APM!N:N,Input_APM!L:L,Check!B179,Input_APM!M:M,Check!$F$1))</f>
        <v/>
      </c>
      <c r="E179" s="173" t="str">
        <f t="shared" si="58"/>
        <v/>
      </c>
      <c r="F179" s="187" t="str">
        <f>IF(B179="","",SUMIFS(Input_APM!N:N,Input_APM!M:M,Check!$F$1,Input_APM!L:L,Check!B179))</f>
        <v/>
      </c>
      <c r="G179" s="187" t="str">
        <f>IF(B179="","",SUMIFS(Input_APM!N:N,Input_APM!M:M,Check!$G$1,Input_APM!L:L,Check!B179))</f>
        <v/>
      </c>
      <c r="H179" s="173" t="str">
        <f t="shared" si="59"/>
        <v/>
      </c>
      <c r="I179" s="173">
        <f>SUMIFS(Input_APM!N:N,Input_APM!L:L,Check!B179)</f>
        <v>0</v>
      </c>
      <c r="J179" s="175" t="str">
        <f t="shared" si="60"/>
        <v/>
      </c>
      <c r="K179" s="21" t="str">
        <f>IF(B179="","",SUMIFS('Input_APM (Zenith)'!N:N,'Input_APM (Zenith)'!L:L,Check!B179,'Input_APM (Zenith)'!M:M,Check!$F$1))</f>
        <v/>
      </c>
      <c r="L179" s="21" t="str">
        <f>IF(B179="","",SUMIFS('Input_APM (Zenith)'!N:N,'Input_APM (Zenith)'!L:L,Check!B179,'Input_APM (Zenith)'!M:M,Check!$G$1))</f>
        <v/>
      </c>
      <c r="M179" s="173" t="str">
        <f t="shared" si="61"/>
        <v/>
      </c>
      <c r="O179"/>
      <c r="P179" s="173" t="str">
        <f>IF(O179="","",IF(OR(LEFT(O179,4)="Cash",LEFT(O179,4)="Prov"),0,SUMIFS(Input_APM!N:N,Input_APM!L:L,Check!O179)))</f>
        <v/>
      </c>
      <c r="Q179" s="21" t="str">
        <f>IF(O179="","",IF(LEN(O179)&gt;9,SUMIFS(Options!$H$3:$H$28,Options!$B$3:$B$28,Check!O179),SUMIFS('Master P&amp;L'!$H$11:$H$101,'Master P&amp;L'!$B$11:$B$101,Check!O179)))</f>
        <v/>
      </c>
      <c r="R179" s="173" t="str">
        <f t="shared" si="62"/>
        <v/>
      </c>
      <c r="S179" s="288" t="str">
        <f t="shared" si="37"/>
        <v/>
      </c>
    </row>
    <row r="180" spans="3:19">
      <c r="C180" s="187" t="str">
        <f>IF(B180="","",IF(LEN(B180)&gt;9,SUMIFS(Options!$H$3:$H$28,Options!$B$3:$B$28,Check!B180),SUMIFS('Master P&amp;L'!$H$11:$H$101,'Master P&amp;L'!$B$11:$B$101,Check!B180)))</f>
        <v/>
      </c>
      <c r="D180" s="187" t="str">
        <f>IF(B180="","",SUMIFS(Input_APM!N:N,Input_APM!L:L,Check!B180,Input_APM!M:M,Check!$F$1))</f>
        <v/>
      </c>
      <c r="E180" s="173" t="str">
        <f t="shared" si="58"/>
        <v/>
      </c>
      <c r="F180" s="187" t="str">
        <f>IF(B180="","",SUMIFS(Input_APM!N:N,Input_APM!M:M,Check!$F$1,Input_APM!L:L,Check!B180))</f>
        <v/>
      </c>
      <c r="G180" s="187" t="str">
        <f>IF(B180="","",SUMIFS(Input_APM!N:N,Input_APM!M:M,Check!$G$1,Input_APM!L:L,Check!B180))</f>
        <v/>
      </c>
      <c r="H180" s="173" t="str">
        <f t="shared" si="59"/>
        <v/>
      </c>
      <c r="I180" s="173">
        <f>SUMIFS(Input_APM!N:N,Input_APM!L:L,Check!B180)</f>
        <v>0</v>
      </c>
      <c r="J180" s="175" t="str">
        <f t="shared" si="60"/>
        <v/>
      </c>
      <c r="K180" s="21" t="str">
        <f>IF(B180="","",SUMIFS('Input_APM (Zenith)'!N:N,'Input_APM (Zenith)'!L:L,Check!B180,'Input_APM (Zenith)'!M:M,Check!$F$1))</f>
        <v/>
      </c>
      <c r="L180" s="21" t="str">
        <f>IF(B180="","",SUMIFS('Input_APM (Zenith)'!N:N,'Input_APM (Zenith)'!L:L,Check!B180,'Input_APM (Zenith)'!M:M,Check!$G$1))</f>
        <v/>
      </c>
      <c r="M180" s="173" t="str">
        <f t="shared" si="61"/>
        <v/>
      </c>
      <c r="O180"/>
      <c r="P180" s="173" t="str">
        <f>IF(O180="","",IF(OR(LEFT(O180,4)="Cash",LEFT(O180,4)="Prov"),0,SUMIFS(Input_APM!N:N,Input_APM!L:L,Check!O180)))</f>
        <v/>
      </c>
      <c r="Q180" s="21" t="str">
        <f>IF(O180="","",IF(LEN(O180)&gt;9,SUMIFS(Options!$H$3:$H$28,Options!$B$3:$B$28,Check!O180),SUMIFS('Master P&amp;L'!$H$11:$H$101,'Master P&amp;L'!$B$11:$B$101,Check!O180)))</f>
        <v/>
      </c>
      <c r="R180" s="173" t="str">
        <f t="shared" si="62"/>
        <v/>
      </c>
      <c r="S180" s="288" t="str">
        <f t="shared" si="37"/>
        <v/>
      </c>
    </row>
    <row r="181" spans="3:19">
      <c r="C181" s="187" t="str">
        <f>IF(B181="","",IF(LEN(B181)&gt;9,SUMIFS(Options!$H$3:$H$28,Options!$B$3:$B$28,Check!B181),SUMIFS('Master P&amp;L'!$H$11:$H$101,'Master P&amp;L'!$B$11:$B$101,Check!B181)))</f>
        <v/>
      </c>
      <c r="D181" s="187" t="str">
        <f>IF(B181="","",SUMIFS(Input_APM!N:N,Input_APM!L:L,Check!B181,Input_APM!M:M,Check!$F$1))</f>
        <v/>
      </c>
      <c r="E181" s="173" t="str">
        <f t="shared" si="58"/>
        <v/>
      </c>
      <c r="F181" s="187" t="str">
        <f>IF(B181="","",SUMIFS(Input_APM!N:N,Input_APM!M:M,Check!$F$1,Input_APM!L:L,Check!B181))</f>
        <v/>
      </c>
      <c r="G181" s="187" t="str">
        <f>IF(B181="","",SUMIFS(Input_APM!N:N,Input_APM!M:M,Check!$G$1,Input_APM!L:L,Check!B181))</f>
        <v/>
      </c>
      <c r="H181" s="173" t="str">
        <f t="shared" si="59"/>
        <v/>
      </c>
      <c r="I181" s="173">
        <f>SUMIFS(Input_APM!N:N,Input_APM!L:L,Check!B181)</f>
        <v>0</v>
      </c>
      <c r="J181" s="175" t="str">
        <f t="shared" si="60"/>
        <v/>
      </c>
      <c r="K181" s="21" t="str">
        <f>IF(B181="","",SUMIFS('Input_APM (Zenith)'!N:N,'Input_APM (Zenith)'!L:L,Check!B181,'Input_APM (Zenith)'!M:M,Check!$F$1))</f>
        <v/>
      </c>
      <c r="L181" s="21" t="str">
        <f>IF(B181="","",SUMIFS('Input_APM (Zenith)'!N:N,'Input_APM (Zenith)'!L:L,Check!B181,'Input_APM (Zenith)'!M:M,Check!$G$1))</f>
        <v/>
      </c>
      <c r="M181" s="173" t="str">
        <f t="shared" si="61"/>
        <v/>
      </c>
      <c r="O181"/>
      <c r="P181" s="173" t="str">
        <f>IF(O181="","",IF(OR(LEFT(O181,4)="Cash",LEFT(O181,4)="Prov"),0,SUMIFS(Input_APM!N:N,Input_APM!L:L,Check!O181)))</f>
        <v/>
      </c>
      <c r="Q181" s="21" t="str">
        <f>IF(O181="","",IF(LEN(O181)&gt;9,SUMIFS(Options!$H$3:$H$28,Options!$B$3:$B$28,Check!O181),SUMIFS('Master P&amp;L'!$H$11:$H$101,'Master P&amp;L'!$B$11:$B$101,Check!O181)))</f>
        <v/>
      </c>
      <c r="R181" s="173" t="str">
        <f t="shared" si="62"/>
        <v/>
      </c>
      <c r="S181" s="288" t="str">
        <f t="shared" si="37"/>
        <v/>
      </c>
    </row>
    <row r="182" spans="3:19">
      <c r="C182" s="187" t="str">
        <f>IF(B182="","",IF(LEN(B182)&gt;9,SUMIFS(Options!$H$3:$H$28,Options!$B$3:$B$28,Check!B182),SUMIFS('Master P&amp;L'!$H$11:$H$101,'Master P&amp;L'!$B$11:$B$101,Check!B182)))</f>
        <v/>
      </c>
      <c r="D182" s="187" t="str">
        <f>IF(B182="","",SUMIFS(Input_APM!N:N,Input_APM!L:L,Check!B182,Input_APM!M:M,Check!$F$1))</f>
        <v/>
      </c>
      <c r="E182" s="173" t="str">
        <f t="shared" si="58"/>
        <v/>
      </c>
      <c r="F182" s="187" t="str">
        <f>IF(B182="","",SUMIFS(Input_APM!N:N,Input_APM!M:M,Check!$F$1,Input_APM!L:L,Check!B182))</f>
        <v/>
      </c>
      <c r="G182" s="187" t="str">
        <f>IF(B182="","",SUMIFS(Input_APM!N:N,Input_APM!M:M,Check!$G$1,Input_APM!L:L,Check!B182))</f>
        <v/>
      </c>
      <c r="H182" s="173" t="str">
        <f t="shared" si="59"/>
        <v/>
      </c>
      <c r="I182" s="173">
        <f>SUMIFS(Input_APM!N:N,Input_APM!L:L,Check!B182)</f>
        <v>0</v>
      </c>
      <c r="J182" s="175" t="str">
        <f t="shared" si="60"/>
        <v/>
      </c>
      <c r="K182" s="21" t="str">
        <f>IF(B182="","",SUMIFS('Input_APM (Zenith)'!N:N,'Input_APM (Zenith)'!L:L,Check!B182,'Input_APM (Zenith)'!M:M,Check!$F$1))</f>
        <v/>
      </c>
      <c r="L182" s="21" t="str">
        <f>IF(B182="","",SUMIFS('Input_APM (Zenith)'!N:N,'Input_APM (Zenith)'!L:L,Check!B182,'Input_APM (Zenith)'!M:M,Check!$G$1))</f>
        <v/>
      </c>
      <c r="M182" s="173" t="str">
        <f t="shared" si="61"/>
        <v/>
      </c>
      <c r="O182"/>
      <c r="P182" s="173" t="str">
        <f>IF(O182="","",IF(OR(LEFT(O182,4)="Cash",LEFT(O182,4)="Prov"),0,SUMIFS(Input_APM!N:N,Input_APM!L:L,Check!O182)))</f>
        <v/>
      </c>
      <c r="Q182" s="21" t="str">
        <f>IF(O182="","",IF(LEN(O182)&gt;9,SUMIFS(Options!$H$3:$H$28,Options!$B$3:$B$28,Check!O182),SUMIFS('Master P&amp;L'!$H$11:$H$101,'Master P&amp;L'!$B$11:$B$101,Check!O182)))</f>
        <v/>
      </c>
      <c r="R182" s="173" t="str">
        <f t="shared" si="62"/>
        <v/>
      </c>
      <c r="S182" s="288" t="str">
        <f t="shared" si="37"/>
        <v/>
      </c>
    </row>
    <row r="183" spans="3:19">
      <c r="C183" s="187" t="str">
        <f>IF(B183="","",IF(LEN(B183)&gt;9,SUMIFS(Options!$H$3:$H$28,Options!$B$3:$B$28,Check!B183),SUMIFS('Master P&amp;L'!$H$11:$H$101,'Master P&amp;L'!$B$11:$B$101,Check!B183)))</f>
        <v/>
      </c>
      <c r="D183" s="187" t="str">
        <f>IF(B183="","",SUMIFS(Input_APM!N:N,Input_APM!L:L,Check!B183,Input_APM!M:M,Check!$F$1))</f>
        <v/>
      </c>
      <c r="E183" s="173" t="str">
        <f t="shared" si="58"/>
        <v/>
      </c>
      <c r="F183" s="187" t="str">
        <f>IF(B183="","",SUMIFS(Input_APM!N:N,Input_APM!M:M,Check!$F$1,Input_APM!L:L,Check!B183))</f>
        <v/>
      </c>
      <c r="G183" s="187" t="str">
        <f>IF(B183="","",SUMIFS(Input_APM!N:N,Input_APM!M:M,Check!$G$1,Input_APM!L:L,Check!B183))</f>
        <v/>
      </c>
      <c r="H183" s="173" t="str">
        <f t="shared" si="59"/>
        <v/>
      </c>
      <c r="I183" s="173">
        <f>SUMIFS(Input_APM!N:N,Input_APM!L:L,Check!B183)</f>
        <v>0</v>
      </c>
      <c r="J183" s="175" t="str">
        <f t="shared" si="60"/>
        <v/>
      </c>
      <c r="K183" s="21" t="str">
        <f>IF(B183="","",SUMIFS('Input_APM (Zenith)'!N:N,'Input_APM (Zenith)'!L:L,Check!B183,'Input_APM (Zenith)'!M:M,Check!$F$1))</f>
        <v/>
      </c>
      <c r="L183" s="21" t="str">
        <f>IF(B183="","",SUMIFS('Input_APM (Zenith)'!N:N,'Input_APM (Zenith)'!L:L,Check!B183,'Input_APM (Zenith)'!M:M,Check!$G$1))</f>
        <v/>
      </c>
      <c r="M183" s="173" t="str">
        <f t="shared" si="61"/>
        <v/>
      </c>
      <c r="O183"/>
      <c r="P183" s="173" t="str">
        <f>IF(O183="","",IF(OR(LEFT(O183,4)="Cash",LEFT(O183,4)="Prov"),0,SUMIFS(Input_APM!N:N,Input_APM!L:L,Check!O183)))</f>
        <v/>
      </c>
      <c r="Q183" s="21" t="str">
        <f>IF(O183="","",IF(LEN(O183)&gt;9,SUMIFS(Options!$H$3:$H$28,Options!$B$3:$B$28,Check!O183),SUMIFS('Master P&amp;L'!$H$11:$H$101,'Master P&amp;L'!$B$11:$B$101,Check!O183)))</f>
        <v/>
      </c>
      <c r="R183" s="173" t="str">
        <f t="shared" si="62"/>
        <v/>
      </c>
      <c r="S183" s="288" t="str">
        <f t="shared" si="37"/>
        <v/>
      </c>
    </row>
    <row r="184" spans="3:19">
      <c r="C184" s="187" t="str">
        <f>IF(B184="","",IF(LEN(B184)&gt;9,SUMIFS(Options!$H$3:$H$28,Options!$B$3:$B$28,Check!B184),SUMIFS('Master P&amp;L'!$H$11:$H$101,'Master P&amp;L'!$B$11:$B$101,Check!B184)))</f>
        <v/>
      </c>
      <c r="D184" s="187" t="str">
        <f>IF(B184="","",SUMIFS(Input_APM!N:N,Input_APM!L:L,Check!B184,Input_APM!M:M,Check!$F$1))</f>
        <v/>
      </c>
      <c r="E184" s="173" t="str">
        <f t="shared" ref="E184:E191" si="63">IF(B184="","",C184-M184)</f>
        <v/>
      </c>
      <c r="F184" s="187" t="str">
        <f>IF(B184="","",SUMIFS(Input_APM!N:N,Input_APM!M:M,Check!$F$1,Input_APM!L:L,Check!B184))</f>
        <v/>
      </c>
      <c r="G184" s="187" t="str">
        <f>IF(B184="","",SUMIFS(Input_APM!N:N,Input_APM!M:M,Check!$G$1,Input_APM!L:L,Check!B184))</f>
        <v/>
      </c>
      <c r="H184" s="173" t="str">
        <f t="shared" ref="H184:H191" si="64">IF(B184="","",F184-G184)</f>
        <v/>
      </c>
      <c r="I184" s="173">
        <f>SUMIFS(Input_APM!N:N,Input_APM!L:L,Check!B184)</f>
        <v>0</v>
      </c>
      <c r="J184" s="175" t="str">
        <f t="shared" ref="J184:J191" si="65">IF(B184="","",(F184+G184)-I184)</f>
        <v/>
      </c>
      <c r="K184" s="21" t="str">
        <f>IF(B184="","",SUMIFS('Input_APM (Zenith)'!N:N,'Input_APM (Zenith)'!L:L,Check!B184,'Input_APM (Zenith)'!M:M,Check!$F$1))</f>
        <v/>
      </c>
      <c r="L184" s="21" t="str">
        <f>IF(B184="","",SUMIFS('Input_APM (Zenith)'!N:N,'Input_APM (Zenith)'!L:L,Check!B184,'Input_APM (Zenith)'!M:M,Check!$G$1))</f>
        <v/>
      </c>
      <c r="M184" s="173" t="str">
        <f t="shared" ref="M184:M191" si="66">IF(B184="","",F184+G184+K184+L184)</f>
        <v/>
      </c>
      <c r="O184"/>
      <c r="P184" s="173" t="str">
        <f>IF(O184="","",IF(OR(LEFT(O184,4)="Cash",LEFT(O184,4)="Prov"),0,SUMIFS(Input_APM!N:N,Input_APM!L:L,Check!O184)))</f>
        <v/>
      </c>
      <c r="Q184" s="21" t="str">
        <f>IF(O184="","",IF(LEN(O184)&gt;9,SUMIFS(Options!$H$3:$H$28,Options!$B$3:$B$28,Check!O184),SUMIFS('Master P&amp;L'!$H$11:$H$101,'Master P&amp;L'!$B$11:$B$101,Check!O184)))</f>
        <v/>
      </c>
      <c r="R184" s="173" t="str">
        <f>IF(O184="","",P184-Q184)</f>
        <v/>
      </c>
      <c r="S184" s="288" t="str">
        <f t="shared" si="37"/>
        <v/>
      </c>
    </row>
    <row r="185" spans="3:19">
      <c r="C185" s="187" t="str">
        <f>IF(B185="","",IF(LEN(B185)&gt;9,SUMIFS(Options!$H$3:$H$28,Options!$B$3:$B$28,Check!B185),SUMIFS('Master P&amp;L'!$H$11:$H$101,'Master P&amp;L'!$B$11:$B$101,Check!B185)))</f>
        <v/>
      </c>
      <c r="D185" s="187" t="str">
        <f>IF(B185="","",SUMIFS(Input_APM!N:N,Input_APM!L:L,Check!B185,Input_APM!M:M,Check!$F$1))</f>
        <v/>
      </c>
      <c r="E185" s="173" t="str">
        <f t="shared" si="63"/>
        <v/>
      </c>
      <c r="F185" s="187" t="str">
        <f>IF(B185="","",SUMIFS(Input_APM!N:N,Input_APM!M:M,Check!$F$1,Input_APM!L:L,Check!B185))</f>
        <v/>
      </c>
      <c r="G185" s="187" t="str">
        <f>IF(B185="","",SUMIFS(Input_APM!N:N,Input_APM!M:M,Check!$G$1,Input_APM!L:L,Check!B185))</f>
        <v/>
      </c>
      <c r="H185" s="173" t="str">
        <f t="shared" si="64"/>
        <v/>
      </c>
      <c r="I185" s="173">
        <f>SUMIFS(Input_APM!N:N,Input_APM!L:L,Check!B185)</f>
        <v>0</v>
      </c>
      <c r="J185" s="175" t="str">
        <f t="shared" si="65"/>
        <v/>
      </c>
      <c r="K185" s="21" t="str">
        <f>IF(B185="","",SUMIFS('Input_APM (Zenith)'!N:N,'Input_APM (Zenith)'!L:L,Check!B185,'Input_APM (Zenith)'!M:M,Check!$F$1))</f>
        <v/>
      </c>
      <c r="L185" s="21" t="str">
        <f>IF(B185="","",SUMIFS('Input_APM (Zenith)'!N:N,'Input_APM (Zenith)'!L:L,Check!B185,'Input_APM (Zenith)'!M:M,Check!$G$1))</f>
        <v/>
      </c>
      <c r="M185" s="173" t="str">
        <f t="shared" si="66"/>
        <v/>
      </c>
      <c r="O185"/>
      <c r="P185" s="173" t="str">
        <f>IF(O185="","",IF(OR(LEFT(O185,4)="Cash",LEFT(O185,4)="Prov"),0,SUMIFS(Input_APM!N:N,Input_APM!L:L,Check!O185)))</f>
        <v/>
      </c>
      <c r="Q185" s="21" t="str">
        <f>IF(O185="","",IF(LEN(O185)&gt;9,SUMIFS(Options!$H$3:$H$28,Options!$B$3:$B$28,Check!O185),SUMIFS('Master P&amp;L'!$H$11:$H$101,'Master P&amp;L'!$B$11:$B$101,Check!O185)))</f>
        <v/>
      </c>
      <c r="R185" s="173" t="str">
        <f>IF(O185="","",P185-Q185)</f>
        <v/>
      </c>
      <c r="S185" s="288" t="str">
        <f t="shared" si="37"/>
        <v/>
      </c>
    </row>
    <row r="186" spans="3:19">
      <c r="C186" s="187" t="str">
        <f>IF(B186="","",IF(LEN(B186)&gt;9,SUMIFS(Options!$H$3:$H$28,Options!$B$3:$B$28,Check!B186),SUMIFS('Master P&amp;L'!$H$11:$H$101,'Master P&amp;L'!$B$11:$B$101,Check!B186)))</f>
        <v/>
      </c>
      <c r="D186" s="187" t="str">
        <f>IF(B186="","",SUMIFS(Input_APM!N:N,Input_APM!L:L,Check!B186,Input_APM!M:M,Check!$F$1))</f>
        <v/>
      </c>
      <c r="E186" s="173" t="str">
        <f t="shared" si="63"/>
        <v/>
      </c>
      <c r="F186" s="187" t="str">
        <f>IF(B186="","",SUMIFS(Input_APM!N:N,Input_APM!M:M,Check!$F$1,Input_APM!L:L,Check!B186))</f>
        <v/>
      </c>
      <c r="G186" s="187" t="str">
        <f>IF(B186="","",SUMIFS(Input_APM!N:N,Input_APM!M:M,Check!$G$1,Input_APM!L:L,Check!B186))</f>
        <v/>
      </c>
      <c r="H186" s="173" t="str">
        <f t="shared" si="64"/>
        <v/>
      </c>
      <c r="I186" s="173">
        <f>SUMIFS(Input_APM!N:N,Input_APM!L:L,Check!B186)</f>
        <v>0</v>
      </c>
      <c r="J186" s="175" t="str">
        <f t="shared" si="65"/>
        <v/>
      </c>
      <c r="K186" s="21" t="str">
        <f>IF(B186="","",SUMIFS('Input_APM (Zenith)'!N:N,'Input_APM (Zenith)'!L:L,Check!B186,'Input_APM (Zenith)'!M:M,Check!$F$1))</f>
        <v/>
      </c>
      <c r="L186" s="21" t="str">
        <f>IF(B186="","",SUMIFS('Input_APM (Zenith)'!N:N,'Input_APM (Zenith)'!L:L,Check!B186,'Input_APM (Zenith)'!M:M,Check!$G$1))</f>
        <v/>
      </c>
      <c r="M186" s="173" t="str">
        <f t="shared" si="66"/>
        <v/>
      </c>
      <c r="O186"/>
      <c r="P186" s="173" t="str">
        <f>IF(O186="","",IF(OR(LEFT(O186,4)="Cash",LEFT(O186,4)="Prov"),0,SUMIFS(Input_APM!N:N,Input_APM!L:L,Check!O186)))</f>
        <v/>
      </c>
      <c r="Q186" s="21" t="str">
        <f>IF(O186="","",IF(LEN(O186)&gt;9,SUMIFS(Options!$H$3:$H$28,Options!$B$3:$B$28,Check!O186),SUMIFS('Master P&amp;L'!$H$11:$H$101,'Master P&amp;L'!$B$11:$B$101,Check!O186)))</f>
        <v/>
      </c>
      <c r="R186" s="173" t="str">
        <f>IF(O186="","",P186-Q186)</f>
        <v/>
      </c>
      <c r="S186" s="288" t="str">
        <f t="shared" si="37"/>
        <v/>
      </c>
    </row>
    <row r="187" spans="3:19">
      <c r="C187" s="187" t="str">
        <f>IF(B187="","",IF(LEN(B187)&gt;9,SUMIFS(Options!$H$3:$H$28,Options!$B$3:$B$28,Check!B187),SUMIFS('Master P&amp;L'!$H$11:$H$101,'Master P&amp;L'!$B$11:$B$101,Check!B187)))</f>
        <v/>
      </c>
      <c r="D187" s="187" t="str">
        <f>IF(B187="","",SUMIFS(Input_APM!N:N,Input_APM!L:L,Check!B187,Input_APM!M:M,Check!$F$1))</f>
        <v/>
      </c>
      <c r="E187" s="173" t="str">
        <f t="shared" si="63"/>
        <v/>
      </c>
      <c r="F187" s="187" t="str">
        <f>IF(B187="","",SUMIFS(Input_APM!N:N,Input_APM!M:M,Check!$F$1,Input_APM!L:L,Check!B187))</f>
        <v/>
      </c>
      <c r="G187" s="187" t="str">
        <f>IF(B187="","",SUMIFS(Input_APM!N:N,Input_APM!M:M,Check!$G$1,Input_APM!L:L,Check!B187))</f>
        <v/>
      </c>
      <c r="H187" s="173" t="str">
        <f t="shared" si="64"/>
        <v/>
      </c>
      <c r="I187" s="173">
        <f>SUMIFS(Input_APM!N:N,Input_APM!L:L,Check!B187)</f>
        <v>0</v>
      </c>
      <c r="J187" s="175" t="str">
        <f t="shared" si="65"/>
        <v/>
      </c>
      <c r="K187" s="21" t="str">
        <f>IF(B187="","",SUMIFS('Input_APM (Zenith)'!N:N,'Input_APM (Zenith)'!L:L,Check!B187,'Input_APM (Zenith)'!M:M,Check!$F$1))</f>
        <v/>
      </c>
      <c r="L187" s="21" t="str">
        <f>IF(B187="","",SUMIFS('Input_APM (Zenith)'!N:N,'Input_APM (Zenith)'!L:L,Check!B187,'Input_APM (Zenith)'!M:M,Check!$G$1))</f>
        <v/>
      </c>
      <c r="M187" s="173" t="str">
        <f t="shared" si="66"/>
        <v/>
      </c>
      <c r="O187"/>
      <c r="P187" s="173" t="str">
        <f>IF(O187="","",IF(OR(LEFT(O187,4)="Cash",LEFT(O187,4)="Prov"),0,SUMIFS(Input_APM!N:N,Input_APM!L:L,Check!O187)))</f>
        <v/>
      </c>
      <c r="Q187" s="21" t="str">
        <f>IF(O187="","",IF(LEN(O187)&gt;9,SUMIFS(Options!$H$3:$H$28,Options!$B$3:$B$28,Check!O187),SUMIFS('Master P&amp;L'!$H$11:$H$101,'Master P&amp;L'!$B$11:$B$101,Check!O187)))</f>
        <v/>
      </c>
      <c r="R187" s="173" t="str">
        <f>IF(O187="","",P187-Q187)</f>
        <v/>
      </c>
      <c r="S187" s="288" t="str">
        <f t="shared" si="37"/>
        <v/>
      </c>
    </row>
    <row r="188" spans="3:19">
      <c r="C188" s="187" t="str">
        <f>IF(B188="","",IF(LEN(B188)&gt;9,SUMIFS(Options!$H$3:$H$28,Options!$B$3:$B$28,Check!B188),SUMIFS('Master P&amp;L'!$H$11:$H$101,'Master P&amp;L'!$B$11:$B$101,Check!B188)))</f>
        <v/>
      </c>
      <c r="D188" s="187" t="str">
        <f>IF(B188="","",SUMIFS(Input_APM!N:N,Input_APM!L:L,Check!B188,Input_APM!M:M,Check!$F$1))</f>
        <v/>
      </c>
      <c r="E188" s="173" t="str">
        <f t="shared" si="63"/>
        <v/>
      </c>
      <c r="F188" s="187" t="str">
        <f>IF(B188="","",SUMIFS(Input_APM!N:N,Input_APM!M:M,Check!$F$1,Input_APM!L:L,Check!B188))</f>
        <v/>
      </c>
      <c r="G188" s="187" t="str">
        <f>IF(B188="","",SUMIFS(Input_APM!N:N,Input_APM!M:M,Check!$G$1,Input_APM!L:L,Check!B188))</f>
        <v/>
      </c>
      <c r="H188" s="173" t="str">
        <f t="shared" si="64"/>
        <v/>
      </c>
      <c r="I188" s="173">
        <f>SUMIFS(Input_APM!N:N,Input_APM!L:L,Check!B188)</f>
        <v>0</v>
      </c>
      <c r="J188" s="175" t="str">
        <f t="shared" si="65"/>
        <v/>
      </c>
      <c r="K188" s="21" t="str">
        <f>IF(B188="","",SUMIFS('Input_APM (Zenith)'!N:N,'Input_APM (Zenith)'!L:L,Check!B188,'Input_APM (Zenith)'!M:M,Check!$F$1))</f>
        <v/>
      </c>
      <c r="L188" s="21" t="str">
        <f>IF(B188="","",SUMIFS('Input_APM (Zenith)'!N:N,'Input_APM (Zenith)'!L:L,Check!B188,'Input_APM (Zenith)'!M:M,Check!$G$1))</f>
        <v/>
      </c>
      <c r="M188" s="173" t="str">
        <f t="shared" si="66"/>
        <v/>
      </c>
      <c r="O188"/>
      <c r="P188" s="173" t="str">
        <f>IF(O188="","",IF(OR(LEFT(O188,4)="Cash",LEFT(O188,4)="Prov"),0,SUMIFS(Input_APM!N:N,Input_APM!L:L,Check!O188)))</f>
        <v/>
      </c>
      <c r="Q188" s="21" t="str">
        <f>IF(O188="","",IF(LEN(O188)&gt;9,SUMIFS(Options!$H$3:$H$28,Options!$B$3:$B$28,Check!O188),SUMIFS('Master P&amp;L'!$H$11:$H$101,'Master P&amp;L'!$B$11:$B$101,Check!O188)))</f>
        <v/>
      </c>
      <c r="R188" s="173" t="str">
        <f t="shared" ref="R188:R205" si="67">IF(O188="","",P188-Q188)</f>
        <v/>
      </c>
      <c r="S188" s="288" t="str">
        <f t="shared" si="37"/>
        <v/>
      </c>
    </row>
    <row r="189" spans="3:19">
      <c r="C189" s="187" t="str">
        <f>IF(B189="","",IF(LEN(B189)&gt;9,SUMIFS(Options!$H$3:$H$28,Options!$B$3:$B$28,Check!B189),SUMIFS('Master P&amp;L'!$H$11:$H$101,'Master P&amp;L'!$B$11:$B$101,Check!B189)))</f>
        <v/>
      </c>
      <c r="D189" s="187" t="str">
        <f>IF(B189="","",SUMIFS(Input_APM!N:N,Input_APM!L:L,Check!B189,Input_APM!M:M,Check!$F$1))</f>
        <v/>
      </c>
      <c r="E189" s="173" t="str">
        <f t="shared" si="63"/>
        <v/>
      </c>
      <c r="F189" s="187" t="str">
        <f>IF(B189="","",SUMIFS(Input_APM!N:N,Input_APM!M:M,Check!$F$1,Input_APM!L:L,Check!B189))</f>
        <v/>
      </c>
      <c r="G189" s="187" t="str">
        <f>IF(B189="","",SUMIFS(Input_APM!N:N,Input_APM!M:M,Check!$G$1,Input_APM!L:L,Check!B189))</f>
        <v/>
      </c>
      <c r="H189" s="173" t="str">
        <f t="shared" si="64"/>
        <v/>
      </c>
      <c r="I189" s="173">
        <f>SUMIFS(Input_APM!N:N,Input_APM!L:L,Check!B189)</f>
        <v>0</v>
      </c>
      <c r="J189" s="175" t="str">
        <f t="shared" si="65"/>
        <v/>
      </c>
      <c r="K189" s="21" t="str">
        <f>IF(B189="","",SUMIFS('Input_APM (Zenith)'!N:N,'Input_APM (Zenith)'!L:L,Check!B189,'Input_APM (Zenith)'!M:M,Check!$F$1))</f>
        <v/>
      </c>
      <c r="L189" s="21" t="str">
        <f>IF(B189="","",SUMIFS('Input_APM (Zenith)'!N:N,'Input_APM (Zenith)'!L:L,Check!B189,'Input_APM (Zenith)'!M:M,Check!$G$1))</f>
        <v/>
      </c>
      <c r="M189" s="173" t="str">
        <f t="shared" si="66"/>
        <v/>
      </c>
      <c r="O189"/>
      <c r="P189" s="173" t="str">
        <f>IF(O189="","",IF(OR(LEFT(O189,4)="Cash",LEFT(O189,4)="Prov"),0,SUMIFS(Input_APM!N:N,Input_APM!L:L,Check!O189)))</f>
        <v/>
      </c>
      <c r="Q189" s="21" t="str">
        <f>IF(O189="","",IF(LEN(O189)&gt;9,SUMIFS(Options!$H$3:$H$28,Options!$B$3:$B$28,Check!O189),SUMIFS('Master P&amp;L'!$H$11:$H$101,'Master P&amp;L'!$B$11:$B$101,Check!O189)))</f>
        <v/>
      </c>
      <c r="R189" s="173" t="str">
        <f t="shared" si="67"/>
        <v/>
      </c>
      <c r="S189" s="288" t="str">
        <f t="shared" si="37"/>
        <v/>
      </c>
    </row>
    <row r="190" spans="3:19">
      <c r="C190" s="187" t="str">
        <f>IF(B190="","",IF(LEN(B190)&gt;9,SUMIFS(Options!$H$3:$H$28,Options!$B$3:$B$28,Check!B190),SUMIFS('Master P&amp;L'!$H$11:$H$101,'Master P&amp;L'!$B$11:$B$101,Check!B190)))</f>
        <v/>
      </c>
      <c r="D190" s="187" t="str">
        <f>IF(B190="","",SUMIFS(Input_APM!N:N,Input_APM!L:L,Check!B190,Input_APM!M:M,Check!$F$1))</f>
        <v/>
      </c>
      <c r="E190" s="173" t="str">
        <f t="shared" si="63"/>
        <v/>
      </c>
      <c r="F190" s="187" t="str">
        <f>IF(B190="","",SUMIFS(Input_APM!N:N,Input_APM!M:M,Check!$F$1,Input_APM!L:L,Check!B190))</f>
        <v/>
      </c>
      <c r="G190" s="187" t="str">
        <f>IF(B190="","",SUMIFS(Input_APM!N:N,Input_APM!M:M,Check!$G$1,Input_APM!L:L,Check!B190))</f>
        <v/>
      </c>
      <c r="H190" s="173" t="str">
        <f t="shared" si="64"/>
        <v/>
      </c>
      <c r="I190" s="173">
        <f>SUMIFS(Input_APM!N:N,Input_APM!L:L,Check!B190)</f>
        <v>0</v>
      </c>
      <c r="J190" s="175" t="str">
        <f t="shared" si="65"/>
        <v/>
      </c>
      <c r="K190" s="21" t="str">
        <f>IF(B190="","",SUMIFS('Input_APM (Zenith)'!N:N,'Input_APM (Zenith)'!L:L,Check!B190,'Input_APM (Zenith)'!M:M,Check!$F$1))</f>
        <v/>
      </c>
      <c r="L190" s="21" t="str">
        <f>IF(B190="","",SUMIFS('Input_APM (Zenith)'!N:N,'Input_APM (Zenith)'!L:L,Check!B190,'Input_APM (Zenith)'!M:M,Check!$G$1))</f>
        <v/>
      </c>
      <c r="M190" s="173" t="str">
        <f t="shared" si="66"/>
        <v/>
      </c>
      <c r="O190"/>
      <c r="P190" s="173" t="str">
        <f>IF(O190="","",IF(OR(LEFT(O190,4)="Cash",LEFT(O190,4)="Prov"),0,SUMIFS(Input_APM!N:N,Input_APM!L:L,Check!O190)))</f>
        <v/>
      </c>
      <c r="Q190" s="21" t="str">
        <f>IF(O190="","",IF(LEN(O190)&gt;9,SUMIFS(Options!$H$3:$H$28,Options!$B$3:$B$28,Check!O190),SUMIFS('Master P&amp;L'!$H$11:$H$101,'Master P&amp;L'!$B$11:$B$101,Check!O190)))</f>
        <v/>
      </c>
      <c r="R190" s="173" t="str">
        <f t="shared" si="67"/>
        <v/>
      </c>
      <c r="S190" s="288" t="str">
        <f t="shared" si="37"/>
        <v/>
      </c>
    </row>
    <row r="191" spans="3:19">
      <c r="C191" s="187" t="str">
        <f>IF(B191="","",IF(LEN(B191)&gt;9,SUMIFS(Options!$H$3:$H$28,Options!$B$3:$B$28,Check!B191),SUMIFS('Master P&amp;L'!$H$11:$H$101,'Master P&amp;L'!$B$11:$B$101,Check!B191)))</f>
        <v/>
      </c>
      <c r="D191" s="187" t="str">
        <f>IF(B191="","",SUMIFS(Input_APM!N:N,Input_APM!L:L,Check!B191,Input_APM!M:M,Check!$F$1))</f>
        <v/>
      </c>
      <c r="E191" s="173" t="str">
        <f t="shared" si="63"/>
        <v/>
      </c>
      <c r="F191" s="187" t="str">
        <f>IF(B191="","",SUMIFS(Input_APM!N:N,Input_APM!M:M,Check!$F$1,Input_APM!L:L,Check!B191))</f>
        <v/>
      </c>
      <c r="G191" s="187" t="str">
        <f>IF(B191="","",SUMIFS(Input_APM!N:N,Input_APM!M:M,Check!$G$1,Input_APM!L:L,Check!B191))</f>
        <v/>
      </c>
      <c r="H191" s="173" t="str">
        <f t="shared" si="64"/>
        <v/>
      </c>
      <c r="I191" s="173">
        <f>SUMIFS(Input_APM!N:N,Input_APM!L:L,Check!B191)</f>
        <v>0</v>
      </c>
      <c r="J191" s="175" t="str">
        <f t="shared" si="65"/>
        <v/>
      </c>
      <c r="K191" s="21" t="str">
        <f>IF(B191="","",SUMIFS('Input_APM (Zenith)'!N:N,'Input_APM (Zenith)'!L:L,Check!B191,'Input_APM (Zenith)'!M:M,Check!$F$1))</f>
        <v/>
      </c>
      <c r="L191" s="21" t="str">
        <f>IF(B191="","",SUMIFS('Input_APM (Zenith)'!N:N,'Input_APM (Zenith)'!L:L,Check!B191,'Input_APM (Zenith)'!M:M,Check!$G$1))</f>
        <v/>
      </c>
      <c r="M191" s="173" t="str">
        <f t="shared" si="66"/>
        <v/>
      </c>
      <c r="O191"/>
      <c r="P191" s="173" t="str">
        <f>IF(O191="","",IF(OR(LEFT(O191,4)="Cash",LEFT(O191,4)="Prov"),0,SUMIFS(Input_APM!N:N,Input_APM!L:L,Check!O191)))</f>
        <v/>
      </c>
      <c r="Q191" s="21" t="str">
        <f>IF(O191="","",IF(LEN(O191)&gt;9,SUMIFS(Options!$H$3:$H$28,Options!$B$3:$B$28,Check!O191),SUMIFS('Master P&amp;L'!$H$11:$H$101,'Master P&amp;L'!$B$11:$B$101,Check!O191)))</f>
        <v/>
      </c>
      <c r="R191" s="173" t="str">
        <f t="shared" si="67"/>
        <v/>
      </c>
      <c r="S191" s="288" t="str">
        <f t="shared" si="37"/>
        <v/>
      </c>
    </row>
    <row r="192" spans="3:19">
      <c r="O192"/>
      <c r="P192" s="173" t="str">
        <f>IF(O192="","",IF(OR(LEFT(O192,4)="Cash",LEFT(O192,4)="Prov"),0,SUMIFS(Input_APM!N:N,Input_APM!L:L,Check!O192)))</f>
        <v/>
      </c>
      <c r="Q192" s="21" t="str">
        <f>IF(O192="","",IF(LEN(O192)&gt;9,SUMIFS(Options!$H$3:$H$28,Options!$B$3:$B$28,Check!O192),SUMIFS('Master P&amp;L'!$H$11:$H$101,'Master P&amp;L'!$B$11:$B$101,Check!O192)))</f>
        <v/>
      </c>
      <c r="R192" s="173" t="str">
        <f t="shared" si="67"/>
        <v/>
      </c>
      <c r="S192" s="288" t="str">
        <f t="shared" si="37"/>
        <v/>
      </c>
    </row>
    <row r="193" spans="15:19">
      <c r="O193"/>
      <c r="P193" s="173" t="str">
        <f>IF(O193="","",IF(OR(LEFT(O193,4)="Cash",LEFT(O193,4)="Prov"),0,SUMIFS(Input_APM!N:N,Input_APM!L:L,Check!O193)))</f>
        <v/>
      </c>
      <c r="Q193" s="21" t="str">
        <f>IF(O193="","",IF(LEN(O193)&gt;9,SUMIFS(Options!$H$3:$H$28,Options!$B$3:$B$28,Check!O193),SUMIFS('Master P&amp;L'!$H$11:$H$101,'Master P&amp;L'!$B$11:$B$101,Check!O193)))</f>
        <v/>
      </c>
      <c r="R193" s="173" t="str">
        <f t="shared" si="67"/>
        <v/>
      </c>
      <c r="S193" s="288" t="str">
        <f t="shared" si="37"/>
        <v/>
      </c>
    </row>
    <row r="194" spans="15:19">
      <c r="O194"/>
      <c r="P194" s="173" t="str">
        <f>IF(O194="","",IF(OR(LEFT(O194,4)="Cash",LEFT(O194,4)="Prov"),0,SUMIFS(Input_APM!N:N,Input_APM!L:L,Check!O194)))</f>
        <v/>
      </c>
      <c r="Q194" s="21" t="str">
        <f>IF(O194="","",IF(LEN(O194)&gt;9,SUMIFS(Options!$H$3:$H$28,Options!$B$3:$B$28,Check!O194),SUMIFS('Master P&amp;L'!$H$11:$H$101,'Master P&amp;L'!$B$11:$B$101,Check!O194)))</f>
        <v/>
      </c>
      <c r="R194" s="173" t="str">
        <f t="shared" si="67"/>
        <v/>
      </c>
      <c r="S194" s="288" t="str">
        <f t="shared" si="37"/>
        <v/>
      </c>
    </row>
    <row r="195" spans="15:19">
      <c r="O195"/>
      <c r="P195" s="173" t="str">
        <f>IF(O195="","",IF(OR(LEFT(O195,4)="Cash",LEFT(O195,4)="Prov"),0,SUMIFS(Input_APM!N:N,Input_APM!L:L,Check!O195)))</f>
        <v/>
      </c>
      <c r="Q195" s="21" t="str">
        <f>IF(O195="","",IF(LEN(O195)&gt;9,SUMIFS(Options!$H$3:$H$28,Options!$B$3:$B$28,Check!O195),SUMIFS('Master P&amp;L'!$H$11:$H$101,'Master P&amp;L'!$B$11:$B$101,Check!O195)))</f>
        <v/>
      </c>
      <c r="R195" s="173" t="str">
        <f t="shared" si="67"/>
        <v/>
      </c>
      <c r="S195" s="288" t="str">
        <f t="shared" si="37"/>
        <v/>
      </c>
    </row>
    <row r="196" spans="15:19">
      <c r="O196"/>
      <c r="P196" s="173" t="str">
        <f>IF(O196="","",IF(OR(LEFT(O196,4)="Cash",LEFT(O196,4)="Prov"),0,SUMIFS(Input_APM!N:N,Input_APM!L:L,Check!O196)))</f>
        <v/>
      </c>
      <c r="Q196" s="21" t="str">
        <f>IF(O196="","",IF(LEN(O196)&gt;9,SUMIFS(Options!$H$3:$H$28,Options!$B$3:$B$28,Check!O196),SUMIFS('Master P&amp;L'!$H$11:$H$101,'Master P&amp;L'!$B$11:$B$101,Check!O196)))</f>
        <v/>
      </c>
      <c r="R196" s="173" t="str">
        <f t="shared" si="67"/>
        <v/>
      </c>
      <c r="S196" s="288" t="str">
        <f t="shared" si="37"/>
        <v/>
      </c>
    </row>
    <row r="197" spans="15:19">
      <c r="O197"/>
      <c r="P197" s="173" t="str">
        <f>IF(O197="","",IF(OR(LEFT(O197,4)="Cash",LEFT(O197,4)="Prov"),0,SUMIFS(Input_APM!N:N,Input_APM!L:L,Check!O197)))</f>
        <v/>
      </c>
      <c r="Q197" s="21" t="str">
        <f>IF(O197="","",IF(LEN(O197)&gt;9,SUMIFS(Options!$H$3:$H$28,Options!$B$3:$B$28,Check!O197),SUMIFS('Master P&amp;L'!$H$11:$H$101,'Master P&amp;L'!$B$11:$B$101,Check!O197)))</f>
        <v/>
      </c>
      <c r="R197" s="173" t="str">
        <f t="shared" si="67"/>
        <v/>
      </c>
      <c r="S197" s="288" t="str">
        <f t="shared" si="37"/>
        <v/>
      </c>
    </row>
    <row r="198" spans="15:19">
      <c r="O198"/>
      <c r="P198" s="173" t="str">
        <f>IF(O198="","",IF(OR(LEFT(O198,4)="Cash",LEFT(O198,4)="Prov"),0,SUMIFS(Input_APM!N:N,Input_APM!L:L,Check!O198)))</f>
        <v/>
      </c>
      <c r="Q198" s="21" t="str">
        <f>IF(O198="","",IF(LEN(O198)&gt;9,SUMIFS(Options!$H$3:$H$28,Options!$B$3:$B$28,Check!O198),SUMIFS('Master P&amp;L'!$H$11:$H$101,'Master P&amp;L'!$B$11:$B$101,Check!O198)))</f>
        <v/>
      </c>
      <c r="R198" s="173" t="str">
        <f t="shared" si="67"/>
        <v/>
      </c>
      <c r="S198" s="288" t="str">
        <f t="shared" ref="S198:S206" si="68">IF(O198="","",IF((P198+Q198)=0,"Ok",IF(OR(P198=0,Q198=0),"Erro",P198/Q198)))</f>
        <v/>
      </c>
    </row>
    <row r="199" spans="15:19">
      <c r="O199"/>
      <c r="P199" s="173" t="str">
        <f>IF(O199="","",IF(OR(LEFT(O199,4)="Cash",LEFT(O199,4)="Prov"),0,SUMIFS(Input_APM!N:N,Input_APM!L:L,Check!O199)))</f>
        <v/>
      </c>
      <c r="Q199" s="21" t="str">
        <f>IF(O199="","",IF(LEN(O199)&gt;9,SUMIFS(Options!$H$3:$H$28,Options!$B$3:$B$28,Check!O199),SUMIFS('Master P&amp;L'!$H$11:$H$101,'Master P&amp;L'!$B$11:$B$101,Check!O199)))</f>
        <v/>
      </c>
      <c r="R199" s="173" t="str">
        <f t="shared" si="67"/>
        <v/>
      </c>
      <c r="S199" s="288" t="str">
        <f t="shared" si="68"/>
        <v/>
      </c>
    </row>
    <row r="200" spans="15:19">
      <c r="O200"/>
      <c r="P200" s="173" t="str">
        <f>IF(O200="","",IF(OR(LEFT(O200,4)="Cash",LEFT(O200,4)="Prov"),0,SUMIFS(Input_APM!N:N,Input_APM!L:L,Check!O200)))</f>
        <v/>
      </c>
      <c r="Q200" s="21" t="str">
        <f>IF(O200="","",IF(LEN(O200)&gt;9,SUMIFS(Options!$H$3:$H$28,Options!$B$3:$B$28,Check!O200),SUMIFS('Master P&amp;L'!$H$11:$H$101,'Master P&amp;L'!$B$11:$B$101,Check!O200)))</f>
        <v/>
      </c>
      <c r="R200" s="173" t="str">
        <f t="shared" si="67"/>
        <v/>
      </c>
      <c r="S200" s="288" t="str">
        <f t="shared" si="68"/>
        <v/>
      </c>
    </row>
    <row r="201" spans="15:19">
      <c r="O201"/>
      <c r="P201" s="173" t="str">
        <f>IF(O201="","",IF(OR(LEFT(O201,4)="Cash",LEFT(O201,4)="Prov"),0,SUMIFS(Input_APM!N:N,Input_APM!L:L,Check!O201)))</f>
        <v/>
      </c>
      <c r="Q201" s="21" t="str">
        <f>IF(O201="","",IF(LEN(O201)&gt;9,SUMIFS(Options!$H$3:$H$28,Options!$B$3:$B$28,Check!O201),SUMIFS('Master P&amp;L'!$H$11:$H$101,'Master P&amp;L'!$B$11:$B$101,Check!O201)))</f>
        <v/>
      </c>
      <c r="R201" s="173" t="str">
        <f t="shared" si="67"/>
        <v/>
      </c>
      <c r="S201" s="288" t="str">
        <f t="shared" si="68"/>
        <v/>
      </c>
    </row>
    <row r="202" spans="15:19">
      <c r="O202"/>
      <c r="P202" s="173" t="str">
        <f>IF(O202="","",IF(OR(LEFT(O202,4)="Cash",LEFT(O202,4)="Prov"),0,SUMIFS(Input_APM!N:N,Input_APM!L:L,Check!O202)))</f>
        <v/>
      </c>
      <c r="Q202" s="21" t="str">
        <f>IF(O202="","",IF(LEN(O202)&gt;9,SUMIFS(Options!$H$3:$H$28,Options!$B$3:$B$28,Check!O202),SUMIFS('Master P&amp;L'!$H$11:$H$101,'Master P&amp;L'!$B$11:$B$101,Check!O202)))</f>
        <v/>
      </c>
      <c r="R202" s="173" t="str">
        <f t="shared" si="67"/>
        <v/>
      </c>
      <c r="S202" s="288" t="str">
        <f t="shared" si="68"/>
        <v/>
      </c>
    </row>
    <row r="203" spans="15:19">
      <c r="O203"/>
      <c r="P203" s="173" t="str">
        <f>IF(O203="","",IF(OR(LEFT(O203,4)="Cash",LEFT(O203,4)="Prov"),0,SUMIFS(Input_APM!N:N,Input_APM!L:L,Check!O203)))</f>
        <v/>
      </c>
      <c r="Q203" s="21" t="str">
        <f>IF(O203="","",IF(LEN(O203)&gt;9,SUMIFS(Options!$H$3:$H$28,Options!$B$3:$B$28,Check!O203),SUMIFS('Master P&amp;L'!$H$11:$H$101,'Master P&amp;L'!$B$11:$B$101,Check!O203)))</f>
        <v/>
      </c>
      <c r="R203" s="173" t="str">
        <f t="shared" si="67"/>
        <v/>
      </c>
      <c r="S203" s="288" t="str">
        <f t="shared" si="68"/>
        <v/>
      </c>
    </row>
    <row r="204" spans="15:19">
      <c r="O204"/>
      <c r="P204" s="173" t="str">
        <f>IF(O204="","",IF(OR(LEFT(O204,4)="Cash",LEFT(O204,4)="Prov"),0,SUMIFS(Input_APM!N:N,Input_APM!L:L,Check!O204)))</f>
        <v/>
      </c>
      <c r="Q204" s="21" t="str">
        <f>IF(O204="","",IF(LEN(O204)&gt;9,SUMIFS(Options!$H$3:$H$28,Options!$B$3:$B$28,Check!O204),SUMIFS('Master P&amp;L'!$H$11:$H$101,'Master P&amp;L'!$B$11:$B$101,Check!O204)))</f>
        <v/>
      </c>
      <c r="R204" s="173" t="str">
        <f t="shared" si="67"/>
        <v/>
      </c>
      <c r="S204" s="288" t="str">
        <f t="shared" si="68"/>
        <v/>
      </c>
    </row>
    <row r="205" spans="15:19">
      <c r="O205"/>
      <c r="P205" s="173" t="str">
        <f>IF(O205="","",IF(OR(LEFT(O205,4)="Cash",LEFT(O205,4)="Prov"),0,SUMIFS(Input_APM!N:N,Input_APM!L:L,Check!O205)))</f>
        <v/>
      </c>
      <c r="Q205" s="21" t="str">
        <f>IF(O205="","",IF(LEN(O205)&gt;9,SUMIFS(Options!$H$3:$H$28,Options!$B$3:$B$28,Check!O205),SUMIFS('Master P&amp;L'!$H$11:$H$101,'Master P&amp;L'!$B$11:$B$101,Check!O205)))</f>
        <v/>
      </c>
      <c r="R205" s="173" t="str">
        <f t="shared" si="67"/>
        <v/>
      </c>
      <c r="S205" s="288" t="str">
        <f t="shared" si="68"/>
        <v/>
      </c>
    </row>
    <row r="206" spans="15:19">
      <c r="O206"/>
      <c r="P206" s="173" t="str">
        <f>IF(O206="","",IF(OR(LEFT(O206,4)="Cash",LEFT(O206,4)="Prov"),0,SUMIFS(Input_APM!N:N,Input_APM!L:L,Check!O206)))</f>
        <v/>
      </c>
      <c r="Q206" s="21" t="str">
        <f>IF(O206="","",IF(LEN(O206)&gt;9,SUMIFS(Options!$H$3:$H$28,Options!$B$3:$B$28,Check!O206),SUMIFS('Master P&amp;L'!$H$11:$H$101,'Master P&amp;L'!$B$11:$B$101,Check!O206)))</f>
        <v/>
      </c>
      <c r="R206" s="173" t="str">
        <f>IF(O206="","",P206-Q206)</f>
        <v/>
      </c>
      <c r="S206" s="288" t="str">
        <f t="shared" si="68"/>
        <v/>
      </c>
    </row>
    <row r="207" spans="15:19">
      <c r="O207"/>
    </row>
    <row r="208" spans="15:19">
      <c r="O208"/>
    </row>
    <row r="209" spans="15:15">
      <c r="O209"/>
    </row>
    <row r="210" spans="15:15">
      <c r="O210"/>
    </row>
    <row r="211" spans="15:15">
      <c r="O211"/>
    </row>
    <row r="212" spans="15:15">
      <c r="O212"/>
    </row>
    <row r="213" spans="15:15">
      <c r="O213"/>
    </row>
    <row r="214" spans="15:15">
      <c r="O214"/>
    </row>
    <row r="215" spans="15:15">
      <c r="O215"/>
    </row>
    <row r="216" spans="15:15">
      <c r="O216"/>
    </row>
    <row r="217" spans="15:15">
      <c r="O217"/>
    </row>
    <row r="218" spans="15:15">
      <c r="O218"/>
    </row>
    <row r="219" spans="15:15">
      <c r="O219"/>
    </row>
    <row r="220" spans="15:15">
      <c r="O220"/>
    </row>
    <row r="221" spans="15:15">
      <c r="O221"/>
    </row>
    <row r="222" spans="15:15">
      <c r="O222"/>
    </row>
    <row r="223" spans="15:15">
      <c r="O223"/>
    </row>
    <row r="224" spans="15:15">
      <c r="O224"/>
    </row>
    <row r="225" spans="15:15">
      <c r="O225"/>
    </row>
    <row r="226" spans="15:15">
      <c r="O226"/>
    </row>
    <row r="227" spans="15:15">
      <c r="O227"/>
    </row>
    <row r="228" spans="15:15">
      <c r="O228"/>
    </row>
    <row r="229" spans="15:15">
      <c r="O229"/>
    </row>
    <row r="230" spans="15:15">
      <c r="O230"/>
    </row>
    <row r="231" spans="15:15">
      <c r="O231"/>
    </row>
    <row r="232" spans="15:15">
      <c r="O232"/>
    </row>
    <row r="233" spans="15:15">
      <c r="O233"/>
    </row>
    <row r="234" spans="15:15">
      <c r="O234"/>
    </row>
    <row r="235" spans="15:15">
      <c r="O235"/>
    </row>
    <row r="236" spans="15:15">
      <c r="O236"/>
    </row>
    <row r="237" spans="15:15">
      <c r="O237"/>
    </row>
    <row r="238" spans="15:15">
      <c r="O238"/>
    </row>
    <row r="239" spans="15:15">
      <c r="O239"/>
    </row>
    <row r="240" spans="15:15">
      <c r="O240"/>
    </row>
    <row r="241" spans="15:15">
      <c r="O241"/>
    </row>
    <row r="242" spans="15:15">
      <c r="O242"/>
    </row>
    <row r="243" spans="15:15">
      <c r="O243"/>
    </row>
    <row r="244" spans="15:15">
      <c r="O244"/>
    </row>
    <row r="245" spans="15:15">
      <c r="O245"/>
    </row>
    <row r="246" spans="15:15">
      <c r="O246"/>
    </row>
    <row r="247" spans="15:15">
      <c r="O247"/>
    </row>
    <row r="248" spans="15:15">
      <c r="O248"/>
    </row>
    <row r="249" spans="15:15">
      <c r="O249"/>
    </row>
    <row r="250" spans="15:15">
      <c r="O250"/>
    </row>
    <row r="251" spans="15:15">
      <c r="O251"/>
    </row>
    <row r="252" spans="15:15">
      <c r="O252"/>
    </row>
    <row r="253" spans="15:15">
      <c r="O253"/>
    </row>
    <row r="254" spans="15:15">
      <c r="O254"/>
    </row>
    <row r="255" spans="15:15">
      <c r="O255"/>
    </row>
    <row r="256" spans="15:15">
      <c r="O256"/>
    </row>
    <row r="257" spans="15:15">
      <c r="O257"/>
    </row>
    <row r="258" spans="15:15">
      <c r="O258"/>
    </row>
    <row r="259" spans="15:15">
      <c r="O259"/>
    </row>
    <row r="260" spans="15:15">
      <c r="O260"/>
    </row>
    <row r="261" spans="15:15">
      <c r="O261"/>
    </row>
    <row r="262" spans="15:15">
      <c r="O262"/>
    </row>
    <row r="263" spans="15:15">
      <c r="O263"/>
    </row>
    <row r="264" spans="15:15">
      <c r="O264"/>
    </row>
    <row r="265" spans="15:15">
      <c r="O265"/>
    </row>
    <row r="266" spans="15:15">
      <c r="O266"/>
    </row>
    <row r="267" spans="15:15">
      <c r="O267"/>
    </row>
    <row r="268" spans="15:15">
      <c r="O268"/>
    </row>
    <row r="269" spans="15:15">
      <c r="O269"/>
    </row>
    <row r="270" spans="15:15">
      <c r="O270"/>
    </row>
    <row r="271" spans="15:15">
      <c r="O271"/>
    </row>
    <row r="272" spans="15:15">
      <c r="O272"/>
    </row>
    <row r="273" spans="15:15">
      <c r="O273"/>
    </row>
    <row r="274" spans="15:15">
      <c r="O274"/>
    </row>
    <row r="275" spans="15:15">
      <c r="O275"/>
    </row>
    <row r="276" spans="15:15">
      <c r="O276"/>
    </row>
    <row r="277" spans="15:15">
      <c r="O277"/>
    </row>
    <row r="278" spans="15:15">
      <c r="O278"/>
    </row>
    <row r="279" spans="15:15">
      <c r="O279"/>
    </row>
    <row r="280" spans="15:15">
      <c r="O280"/>
    </row>
    <row r="281" spans="15:15">
      <c r="O281"/>
    </row>
    <row r="282" spans="15:15">
      <c r="O282"/>
    </row>
    <row r="283" spans="15:15">
      <c r="O283"/>
    </row>
    <row r="284" spans="15:15">
      <c r="O284"/>
    </row>
    <row r="285" spans="15:15">
      <c r="O285"/>
    </row>
    <row r="286" spans="15:15">
      <c r="O286"/>
    </row>
    <row r="287" spans="15:15">
      <c r="O287"/>
    </row>
    <row r="288" spans="15:15">
      <c r="O288"/>
    </row>
    <row r="289" spans="15:15">
      <c r="O289"/>
    </row>
    <row r="290" spans="15:15">
      <c r="O290"/>
    </row>
    <row r="291" spans="15:15">
      <c r="O291"/>
    </row>
    <row r="292" spans="15:15">
      <c r="O292"/>
    </row>
    <row r="293" spans="15:15">
      <c r="O293"/>
    </row>
    <row r="294" spans="15:15">
      <c r="O294"/>
    </row>
    <row r="295" spans="15:15">
      <c r="O295"/>
    </row>
    <row r="296" spans="15:15">
      <c r="O296"/>
    </row>
    <row r="297" spans="15:15">
      <c r="O297"/>
    </row>
    <row r="298" spans="15:15">
      <c r="O298"/>
    </row>
    <row r="299" spans="15:15">
      <c r="O299"/>
    </row>
    <row r="300" spans="15:15">
      <c r="O300"/>
    </row>
    <row r="301" spans="15:15">
      <c r="O301"/>
    </row>
    <row r="302" spans="15:15">
      <c r="O302"/>
    </row>
    <row r="303" spans="15:15">
      <c r="O303"/>
    </row>
    <row r="304" spans="15:15">
      <c r="O304"/>
    </row>
    <row r="305" spans="15:15">
      <c r="O305"/>
    </row>
    <row r="306" spans="15:15">
      <c r="O306"/>
    </row>
    <row r="307" spans="15:15">
      <c r="O307"/>
    </row>
    <row r="308" spans="15:15">
      <c r="O308"/>
    </row>
    <row r="309" spans="15:15">
      <c r="O309"/>
    </row>
    <row r="310" spans="15:15">
      <c r="O310"/>
    </row>
    <row r="311" spans="15:15">
      <c r="O311"/>
    </row>
    <row r="312" spans="15:15">
      <c r="O312"/>
    </row>
    <row r="313" spans="15:15">
      <c r="O313"/>
    </row>
    <row r="314" spans="15:15">
      <c r="O314"/>
    </row>
    <row r="315" spans="15:15">
      <c r="O315"/>
    </row>
    <row r="316" spans="15:15">
      <c r="O316"/>
    </row>
    <row r="317" spans="15:15">
      <c r="O317"/>
    </row>
    <row r="318" spans="15:15">
      <c r="O318"/>
    </row>
    <row r="319" spans="15:15">
      <c r="O319"/>
    </row>
    <row r="320" spans="15:15">
      <c r="O320"/>
    </row>
    <row r="321" spans="15:15">
      <c r="O321"/>
    </row>
    <row r="322" spans="15:15">
      <c r="O322"/>
    </row>
    <row r="323" spans="15:15">
      <c r="O323"/>
    </row>
    <row r="324" spans="15:15">
      <c r="O324"/>
    </row>
    <row r="325" spans="15:15">
      <c r="O325"/>
    </row>
    <row r="326" spans="15:15">
      <c r="O326"/>
    </row>
    <row r="327" spans="15:15">
      <c r="O327"/>
    </row>
    <row r="328" spans="15:15">
      <c r="O328"/>
    </row>
    <row r="329" spans="15:15">
      <c r="O329"/>
    </row>
    <row r="330" spans="15:15">
      <c r="O330"/>
    </row>
    <row r="331" spans="15:15">
      <c r="O331"/>
    </row>
    <row r="332" spans="15:15">
      <c r="O332"/>
    </row>
    <row r="333" spans="15:15">
      <c r="O333"/>
    </row>
    <row r="334" spans="15:15">
      <c r="O334"/>
    </row>
    <row r="335" spans="15:15">
      <c r="O335"/>
    </row>
    <row r="336" spans="15:15">
      <c r="O336"/>
    </row>
    <row r="337" spans="15:15">
      <c r="O337"/>
    </row>
    <row r="338" spans="15:15">
      <c r="O338"/>
    </row>
    <row r="339" spans="15:15">
      <c r="O339"/>
    </row>
    <row r="340" spans="15:15">
      <c r="O340"/>
    </row>
    <row r="341" spans="15:15">
      <c r="O341"/>
    </row>
    <row r="342" spans="15:15">
      <c r="O342"/>
    </row>
    <row r="343" spans="15:15">
      <c r="O343"/>
    </row>
    <row r="344" spans="15:15">
      <c r="O344"/>
    </row>
    <row r="345" spans="15:15">
      <c r="O345"/>
    </row>
    <row r="346" spans="15:15">
      <c r="O346"/>
    </row>
    <row r="347" spans="15:15">
      <c r="O347"/>
    </row>
    <row r="348" spans="15:15">
      <c r="O348"/>
    </row>
    <row r="349" spans="15:15">
      <c r="O349"/>
    </row>
    <row r="350" spans="15:15">
      <c r="O350"/>
    </row>
    <row r="351" spans="15:15">
      <c r="O351"/>
    </row>
    <row r="352" spans="15:15">
      <c r="O352"/>
    </row>
    <row r="353" spans="15:15">
      <c r="O353"/>
    </row>
    <row r="354" spans="15:15">
      <c r="O354"/>
    </row>
    <row r="355" spans="15:15">
      <c r="O355"/>
    </row>
    <row r="356" spans="15:15">
      <c r="O356"/>
    </row>
    <row r="357" spans="15:15">
      <c r="O357"/>
    </row>
    <row r="358" spans="15:15">
      <c r="O358"/>
    </row>
    <row r="359" spans="15:15">
      <c r="O359"/>
    </row>
    <row r="360" spans="15:15">
      <c r="O360"/>
    </row>
    <row r="361" spans="15:15">
      <c r="O361"/>
    </row>
    <row r="362" spans="15:15">
      <c r="O362"/>
    </row>
    <row r="363" spans="15:15">
      <c r="O363"/>
    </row>
    <row r="364" spans="15:15">
      <c r="O364"/>
    </row>
    <row r="365" spans="15:15">
      <c r="O365"/>
    </row>
    <row r="366" spans="15:15">
      <c r="O366"/>
    </row>
    <row r="367" spans="15:15">
      <c r="O367"/>
    </row>
    <row r="368" spans="15:15">
      <c r="O368"/>
    </row>
    <row r="369" spans="15:15">
      <c r="O369"/>
    </row>
    <row r="370" spans="15:15">
      <c r="O370"/>
    </row>
    <row r="371" spans="15:15">
      <c r="O371"/>
    </row>
    <row r="372" spans="15:15">
      <c r="O372"/>
    </row>
    <row r="373" spans="15:15">
      <c r="O373"/>
    </row>
    <row r="374" spans="15:15">
      <c r="O374"/>
    </row>
    <row r="375" spans="15:15">
      <c r="O375"/>
    </row>
    <row r="376" spans="15:15">
      <c r="O376"/>
    </row>
    <row r="377" spans="15:15">
      <c r="O377"/>
    </row>
    <row r="378" spans="15:15">
      <c r="O378"/>
    </row>
    <row r="379" spans="15:15">
      <c r="O379"/>
    </row>
    <row r="380" spans="15:15">
      <c r="O380"/>
    </row>
    <row r="381" spans="15:15">
      <c r="O381"/>
    </row>
    <row r="382" spans="15:15">
      <c r="O382"/>
    </row>
    <row r="383" spans="15:15">
      <c r="O383"/>
    </row>
    <row r="384" spans="15:15">
      <c r="O384"/>
    </row>
    <row r="385" spans="15:15">
      <c r="O385"/>
    </row>
    <row r="386" spans="15:15">
      <c r="O386"/>
    </row>
    <row r="387" spans="15:15">
      <c r="O387"/>
    </row>
    <row r="388" spans="15:15">
      <c r="O388"/>
    </row>
    <row r="389" spans="15:15">
      <c r="O389"/>
    </row>
    <row r="390" spans="15:15">
      <c r="O390"/>
    </row>
    <row r="391" spans="15:15">
      <c r="O391"/>
    </row>
    <row r="392" spans="15:15">
      <c r="O392"/>
    </row>
    <row r="393" spans="15:15">
      <c r="O393"/>
    </row>
    <row r="394" spans="15:15">
      <c r="O394"/>
    </row>
    <row r="395" spans="15:15">
      <c r="O395"/>
    </row>
    <row r="396" spans="15:15">
      <c r="O396"/>
    </row>
    <row r="397" spans="15:15">
      <c r="O397"/>
    </row>
    <row r="398" spans="15:15">
      <c r="O398"/>
    </row>
    <row r="399" spans="15:15">
      <c r="O399"/>
    </row>
    <row r="400" spans="15:15">
      <c r="O400"/>
    </row>
  </sheetData>
  <autoFilter ref="A4:V190" xr:uid="{932C9680-8A17-4F57-93E3-0C8EAAA0B9D1}"/>
  <conditionalFormatting sqref="J5:J191">
    <cfRule type="expression" dxfId="13" priority="4">
      <formula>J5&lt;&gt;0</formula>
    </cfRule>
  </conditionalFormatting>
  <conditionalFormatting sqref="E5:E191">
    <cfRule type="expression" dxfId="12" priority="3">
      <formula>E5&lt;&gt;0</formula>
    </cfRule>
  </conditionalFormatting>
  <conditionalFormatting sqref="S5:S206">
    <cfRule type="cellIs" dxfId="11" priority="2" operator="lessThan">
      <formula>0.9</formula>
    </cfRule>
  </conditionalFormatting>
  <conditionalFormatting sqref="S5:S198">
    <cfRule type="expression" dxfId="10" priority="1">
      <formula>S5="Erro"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copiar_trades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72072-B23C-439A-8B65-10BB2C0A9065}">
  <sheetPr codeName="Sheet13">
    <tabColor theme="5" tint="0.79998168889431442"/>
  </sheetPr>
  <dimension ref="E1:O580"/>
  <sheetViews>
    <sheetView showGridLines="0" zoomScale="85" zoomScaleNormal="85" workbookViewId="0">
      <selection activeCell="E1" sqref="E1:I99"/>
    </sheetView>
  </sheetViews>
  <sheetFormatPr defaultColWidth="9.140625" defaultRowHeight="12.75" outlineLevelCol="1"/>
  <cols>
    <col min="1" max="4" width="9.140625" style="169"/>
    <col min="5" max="5" width="31.28515625" style="169" bestFit="1" customWidth="1" outlineLevel="1"/>
    <col min="6" max="6" width="43.5703125" style="169" bestFit="1" customWidth="1" outlineLevel="1"/>
    <col min="7" max="7" width="24.42578125" style="169" bestFit="1" customWidth="1" outlineLevel="1"/>
    <col min="8" max="9" width="12.85546875" style="169" bestFit="1" customWidth="1" outlineLevel="1"/>
    <col min="10" max="10" width="9.140625" style="169"/>
    <col min="11" max="11" width="28.140625" style="169" bestFit="1" customWidth="1"/>
    <col min="12" max="12" width="41.85546875" style="169" bestFit="1" customWidth="1"/>
    <col min="13" max="13" width="22.140625" style="169" bestFit="1" customWidth="1"/>
    <col min="14" max="14" width="12.85546875" style="169" bestFit="1" customWidth="1"/>
    <col min="15" max="15" width="16.28515625" style="169" bestFit="1" customWidth="1"/>
    <col min="16" max="16384" width="9.140625" style="169"/>
  </cols>
  <sheetData>
    <row r="1" spans="5:15">
      <c r="E1" s="169" t="s">
        <v>238</v>
      </c>
      <c r="F1" s="169" t="s">
        <v>118</v>
      </c>
      <c r="G1" s="169" t="s">
        <v>239</v>
      </c>
      <c r="H1" s="169" t="s">
        <v>219</v>
      </c>
      <c r="I1" s="169" t="s">
        <v>240</v>
      </c>
      <c r="K1" s="183" t="s">
        <v>238</v>
      </c>
      <c r="L1" s="183" t="s">
        <v>118</v>
      </c>
      <c r="M1" s="183" t="s">
        <v>239</v>
      </c>
      <c r="N1" s="183" t="s">
        <v>219</v>
      </c>
      <c r="O1" s="183" t="s">
        <v>240</v>
      </c>
    </row>
    <row r="2" spans="5:15">
      <c r="E2" s="169" t="s">
        <v>242</v>
      </c>
      <c r="F2" s="169" t="s">
        <v>1036</v>
      </c>
      <c r="G2" s="169" t="s">
        <v>208</v>
      </c>
      <c r="H2" s="169">
        <v>2537</v>
      </c>
      <c r="I2" s="169">
        <v>1973</v>
      </c>
      <c r="K2" s="170" t="str">
        <f>IF(E2="","",E2)</f>
        <v>US Equity</v>
      </c>
      <c r="L2" s="170" t="str">
        <f>IF(E2="","",IF(COUNTIFS(Table2[[#All],[De (Lote)]],Input_APM!F2)&gt;0,INDEX(Table2[[#All],[Para (Ticker Daniel)]],MATCH(Input_APM!F2,Table2[[#All],[De (Lote)]],0)),Input_APM!F2))</f>
        <v>AGX</v>
      </c>
      <c r="M2" s="170" t="str">
        <f>IF(E2="","",G2)</f>
        <v>EQTY.IntlUS.off</v>
      </c>
      <c r="N2" s="171">
        <f>IF(E2="","",H2)</f>
        <v>2537</v>
      </c>
      <c r="O2" s="171">
        <f>IF(E2="","",I2)</f>
        <v>1973</v>
      </c>
    </row>
    <row r="3" spans="5:15">
      <c r="E3" s="169" t="s">
        <v>242</v>
      </c>
      <c r="F3" s="169" t="s">
        <v>1079</v>
      </c>
      <c r="G3" s="169" t="s">
        <v>208</v>
      </c>
      <c r="H3" s="169">
        <v>12024</v>
      </c>
      <c r="I3" s="169">
        <v>6106</v>
      </c>
      <c r="K3" s="170" t="str">
        <f t="shared" ref="K3:K66" si="0">IF(E3="","",E3)</f>
        <v>US Equity</v>
      </c>
      <c r="L3" s="170" t="str">
        <f>IF(E3="","",IF(COUNTIFS(Table2[[#All],[De (Lote)]],Input_APM!F3)&gt;0,INDEX(Table2[[#All],[Para (Ticker Daniel)]],MATCH(Input_APM!F3,Table2[[#All],[De (Lote)]],0)),Input_APM!F3))</f>
        <v>AKAM</v>
      </c>
      <c r="M3" s="170" t="str">
        <f t="shared" ref="M3:M66" si="1">IF(E3="","",G3)</f>
        <v>EQTY.IntlUS.off</v>
      </c>
      <c r="N3" s="171">
        <f t="shared" ref="N3:N66" si="2">IF(E3="","",H3)</f>
        <v>12024</v>
      </c>
      <c r="O3" s="171">
        <f t="shared" ref="O3:O66" si="3">IF(E3="","",I3)</f>
        <v>6106</v>
      </c>
    </row>
    <row r="4" spans="5:15">
      <c r="E4" s="169" t="s">
        <v>335</v>
      </c>
      <c r="F4" s="169" t="s">
        <v>1028</v>
      </c>
      <c r="G4" s="169" t="s">
        <v>208</v>
      </c>
      <c r="H4" s="169">
        <v>-9389000</v>
      </c>
      <c r="I4" s="169">
        <v>-9389000</v>
      </c>
      <c r="K4" s="170" t="str">
        <f t="shared" si="0"/>
        <v>Global Bonds</v>
      </c>
      <c r="L4" s="170" t="str">
        <f>IF(E4="","",IF(COUNTIFS(Table2[[#All],[De (Lote)]],Input_APM!F4)&gt;0,INDEX(Table2[[#All],[Para (Ticker Daniel)]],MATCH(Input_APM!F4,Table2[[#All],[De (Lote)]],0)),Input_APM!F4))</f>
        <v>AMZN 4.65% 11/20/35</v>
      </c>
      <c r="M4" s="170" t="str">
        <f t="shared" si="1"/>
        <v>EQTY.IntlUS.off</v>
      </c>
      <c r="N4" s="171">
        <f t="shared" si="2"/>
        <v>-9389000</v>
      </c>
      <c r="O4" s="171">
        <f t="shared" si="3"/>
        <v>-9389000</v>
      </c>
    </row>
    <row r="5" spans="5:15">
      <c r="E5" s="169" t="s">
        <v>244</v>
      </c>
      <c r="F5" s="169" t="s">
        <v>1076</v>
      </c>
      <c r="G5" s="169" t="s">
        <v>208</v>
      </c>
      <c r="H5" s="169">
        <v>-281</v>
      </c>
      <c r="I5" s="169">
        <v>-281</v>
      </c>
      <c r="K5" s="170" t="str">
        <f t="shared" si="0"/>
        <v>US Equity Options</v>
      </c>
      <c r="L5" s="170" t="str">
        <f>IF(E5="","",IF(COUNTIFS(Table2[[#All],[De (Lote)]],Input_APM!F5)&gt;0,INDEX(Table2[[#All],[Para (Ticker Daniel)]],MATCH(Input_APM!F5,Table2[[#All],[De (Lote)]],0)),Input_APM!F5))</f>
        <v>AMZN US 07/17/26 C240</v>
      </c>
      <c r="M5" s="170" t="str">
        <f t="shared" si="1"/>
        <v>EQTY.IntlUS.off</v>
      </c>
      <c r="N5" s="171">
        <f t="shared" si="2"/>
        <v>-281</v>
      </c>
      <c r="O5" s="171">
        <f t="shared" si="3"/>
        <v>-281</v>
      </c>
    </row>
    <row r="6" spans="5:15">
      <c r="E6" s="169" t="s">
        <v>244</v>
      </c>
      <c r="F6" s="169" t="s">
        <v>1074</v>
      </c>
      <c r="G6" s="169" t="s">
        <v>208</v>
      </c>
      <c r="H6" s="169">
        <v>-282</v>
      </c>
      <c r="I6" s="169">
        <v>-282</v>
      </c>
      <c r="K6" s="170" t="str">
        <f t="shared" si="0"/>
        <v>US Equity Options</v>
      </c>
      <c r="L6" s="170" t="str">
        <f>IF(E6="","",IF(COUNTIFS(Table2[[#All],[De (Lote)]],Input_APM!F6)&gt;0,INDEX(Table2[[#All],[Para (Ticker Daniel)]],MATCH(Input_APM!F6,Table2[[#All],[De (Lote)]],0)),Input_APM!F6))</f>
        <v>AMZN US 07/17/26 P180</v>
      </c>
      <c r="M6" s="170" t="str">
        <f t="shared" si="1"/>
        <v>EQTY.IntlUS.off</v>
      </c>
      <c r="N6" s="171">
        <f t="shared" si="2"/>
        <v>-282</v>
      </c>
      <c r="O6" s="171">
        <f t="shared" si="3"/>
        <v>-282</v>
      </c>
    </row>
    <row r="7" spans="5:15">
      <c r="E7" s="169" t="s">
        <v>245</v>
      </c>
      <c r="F7" s="169" t="s">
        <v>7</v>
      </c>
      <c r="G7" s="169" t="s">
        <v>208</v>
      </c>
      <c r="H7" s="169">
        <v>9393</v>
      </c>
      <c r="I7" s="169">
        <v>9393</v>
      </c>
      <c r="K7" s="170" t="str">
        <f t="shared" si="0"/>
        <v>ETF</v>
      </c>
      <c r="L7" s="170" t="str">
        <f>IF(E7="","",IF(COUNTIFS(Table2[[#All],[De (Lote)]],Input_APM!F7)&gt;0,INDEX(Table2[[#All],[Para (Ticker Daniel)]],MATCH(Input_APM!F7,Table2[[#All],[De (Lote)]],0)),Input_APM!F7))</f>
        <v>ASHR</v>
      </c>
      <c r="M7" s="170" t="str">
        <f t="shared" si="1"/>
        <v>EQTY.IntlUS.off</v>
      </c>
      <c r="N7" s="171">
        <f t="shared" si="2"/>
        <v>9393</v>
      </c>
      <c r="O7" s="171">
        <f t="shared" si="3"/>
        <v>9393</v>
      </c>
    </row>
    <row r="8" spans="5:15">
      <c r="E8" s="169" t="s">
        <v>248</v>
      </c>
      <c r="F8" s="169" t="s">
        <v>819</v>
      </c>
      <c r="G8" s="169" t="s">
        <v>208</v>
      </c>
      <c r="H8" s="169">
        <v>1874</v>
      </c>
      <c r="I8" s="169">
        <v>1874</v>
      </c>
      <c r="K8" s="170" t="str">
        <f t="shared" si="0"/>
        <v>ETF Options</v>
      </c>
      <c r="L8" s="170" t="str">
        <f>IF(E8="","",IF(COUNTIFS(Table2[[#All],[De (Lote)]],Input_APM!F8)&gt;0,INDEX(Table2[[#All],[Para (Ticker Daniel)]],MATCH(Input_APM!F8,Table2[[#All],[De (Lote)]],0)),Input_APM!F8))</f>
        <v>ASHR US 02/20/26 C35</v>
      </c>
      <c r="M8" s="170" t="str">
        <f t="shared" si="1"/>
        <v>EQTY.IntlUS.off</v>
      </c>
      <c r="N8" s="171">
        <f t="shared" si="2"/>
        <v>1874</v>
      </c>
      <c r="O8" s="171">
        <f t="shared" si="3"/>
        <v>1874</v>
      </c>
    </row>
    <row r="9" spans="5:15">
      <c r="E9" s="169" t="s">
        <v>248</v>
      </c>
      <c r="F9" s="169" t="s">
        <v>1049</v>
      </c>
      <c r="G9" s="169" t="s">
        <v>208</v>
      </c>
      <c r="H9" s="169">
        <v>469</v>
      </c>
      <c r="I9" s="169">
        <v>469</v>
      </c>
      <c r="K9" s="170" t="str">
        <f t="shared" si="0"/>
        <v>ETF Options</v>
      </c>
      <c r="L9" s="170" t="str">
        <f>IF(E9="","",IF(COUNTIFS(Table2[[#All],[De (Lote)]],Input_APM!F9)&gt;0,INDEX(Table2[[#All],[Para (Ticker Daniel)]],MATCH(Input_APM!F9,Table2[[#All],[De (Lote)]],0)),Input_APM!F9))</f>
        <v>ASHR US 02/27/26 C35</v>
      </c>
      <c r="M9" s="170" t="str">
        <f t="shared" si="1"/>
        <v>EQTY.IntlUS.off</v>
      </c>
      <c r="N9" s="171">
        <f t="shared" si="2"/>
        <v>469</v>
      </c>
      <c r="O9" s="171">
        <f t="shared" si="3"/>
        <v>469</v>
      </c>
    </row>
    <row r="10" spans="5:15">
      <c r="E10" s="169" t="s">
        <v>242</v>
      </c>
      <c r="F10" s="169" t="s">
        <v>84</v>
      </c>
      <c r="G10" s="169" t="s">
        <v>208</v>
      </c>
      <c r="H10" s="169">
        <v>15399</v>
      </c>
      <c r="I10" s="169">
        <v>15399</v>
      </c>
      <c r="K10" s="170" t="str">
        <f t="shared" si="0"/>
        <v>US Equity</v>
      </c>
      <c r="L10" s="170" t="str">
        <f>IF(E10="","",IF(COUNTIFS(Table2[[#All],[De (Lote)]],Input_APM!F10)&gt;0,INDEX(Table2[[#All],[Para (Ticker Daniel)]],MATCH(Input_APM!F10,Table2[[#All],[De (Lote)]],0)),Input_APM!F10))</f>
        <v>AVGO</v>
      </c>
      <c r="M10" s="170" t="str">
        <f t="shared" si="1"/>
        <v>EQTY.IntlUS.off</v>
      </c>
      <c r="N10" s="171">
        <f t="shared" si="2"/>
        <v>15399</v>
      </c>
      <c r="O10" s="171">
        <f t="shared" si="3"/>
        <v>15399</v>
      </c>
    </row>
    <row r="11" spans="5:15">
      <c r="E11" s="169" t="s">
        <v>244</v>
      </c>
      <c r="F11" s="169" t="s">
        <v>765</v>
      </c>
      <c r="G11" s="169" t="s">
        <v>208</v>
      </c>
      <c r="H11" s="169">
        <v>114</v>
      </c>
      <c r="I11" s="169">
        <v>114</v>
      </c>
      <c r="K11" s="170" t="str">
        <f t="shared" si="0"/>
        <v>US Equity Options</v>
      </c>
      <c r="L11" s="170" t="str">
        <f>IF(E11="","",IF(COUNTIFS(Table2[[#All],[De (Lote)]],Input_APM!F11)&gt;0,INDEX(Table2[[#All],[Para (Ticker Daniel)]],MATCH(Input_APM!F11,Table2[[#All],[De (Lote)]],0)),Input_APM!F11))</f>
        <v>AVGO US 06/18/26 C350</v>
      </c>
      <c r="M11" s="170" t="str">
        <f t="shared" si="1"/>
        <v>EQTY.IntlUS.off</v>
      </c>
      <c r="N11" s="171">
        <f t="shared" si="2"/>
        <v>114</v>
      </c>
      <c r="O11" s="171">
        <f t="shared" si="3"/>
        <v>114</v>
      </c>
    </row>
    <row r="12" spans="5:15">
      <c r="E12" s="169" t="s">
        <v>8</v>
      </c>
      <c r="F12" s="169" t="s">
        <v>334</v>
      </c>
      <c r="G12" s="169" t="s">
        <v>208</v>
      </c>
      <c r="H12" s="169">
        <v>3445</v>
      </c>
      <c r="I12" s="169">
        <v>3445</v>
      </c>
      <c r="K12" s="170" t="str">
        <f t="shared" si="0"/>
        <v>ADR</v>
      </c>
      <c r="L12" s="170" t="str">
        <f>IF(E12="","",IF(COUNTIFS(Table2[[#All],[De (Lote)]],Input_APM!F12)&gt;0,INDEX(Table2[[#All],[Para (Ticker Daniel)]],MATCH(Input_APM!F12,Table2[[#All],[De (Lote)]],0)),Input_APM!F12))</f>
        <v>BABA</v>
      </c>
      <c r="M12" s="170" t="str">
        <f t="shared" si="1"/>
        <v>EQTY.IntlUS.off</v>
      </c>
      <c r="N12" s="171">
        <f t="shared" si="2"/>
        <v>3445</v>
      </c>
      <c r="O12" s="171">
        <f t="shared" si="3"/>
        <v>3445</v>
      </c>
    </row>
    <row r="13" spans="5:15">
      <c r="E13" s="169" t="s">
        <v>8</v>
      </c>
      <c r="F13" s="169" t="s">
        <v>800</v>
      </c>
      <c r="G13" s="169" t="s">
        <v>208</v>
      </c>
      <c r="H13" s="169">
        <v>4215</v>
      </c>
      <c r="I13" s="169">
        <v>3943</v>
      </c>
      <c r="K13" s="170" t="str">
        <f t="shared" si="0"/>
        <v>ADR</v>
      </c>
      <c r="L13" s="170" t="str">
        <f>IF(E13="","",IF(COUNTIFS(Table2[[#All],[De (Lote)]],Input_APM!F13)&gt;0,INDEX(Table2[[#All],[Para (Ticker Daniel)]],MATCH(Input_APM!F13,Table2[[#All],[De (Lote)]],0)),Input_APM!F13))</f>
        <v>BIDU</v>
      </c>
      <c r="M13" s="170" t="str">
        <f t="shared" si="1"/>
        <v>EQTY.IntlUS.off</v>
      </c>
      <c r="N13" s="171">
        <f t="shared" si="2"/>
        <v>4215</v>
      </c>
      <c r="O13" s="171">
        <f t="shared" si="3"/>
        <v>3943</v>
      </c>
    </row>
    <row r="14" spans="5:15">
      <c r="E14" s="169" t="s">
        <v>246</v>
      </c>
      <c r="F14" s="169" t="s">
        <v>221</v>
      </c>
      <c r="G14" s="169" t="s">
        <v>208</v>
      </c>
      <c r="H14" s="169">
        <v>-0.28999999999999998</v>
      </c>
      <c r="I14" s="169">
        <v>-0.28999999999999998</v>
      </c>
      <c r="K14" s="170" t="str">
        <f t="shared" si="0"/>
        <v>Cash</v>
      </c>
      <c r="L14" s="170" t="str">
        <f>IF(E14="","",IF(COUNTIFS(Table2[[#All],[De (Lote)]],Input_APM!F14)&gt;0,INDEX(Table2[[#All],[Para (Ticker Daniel)]],MATCH(Input_APM!F14,Table2[[#All],[De (Lote)]],0)),Input_APM!F14))</f>
        <v>Cash CAD</v>
      </c>
      <c r="M14" s="170" t="str">
        <f t="shared" si="1"/>
        <v>EQTY.IntlUS.off</v>
      </c>
      <c r="N14" s="171">
        <f t="shared" si="2"/>
        <v>-0.28999999999999998</v>
      </c>
      <c r="O14" s="171">
        <f t="shared" si="3"/>
        <v>-0.28999999999999998</v>
      </c>
    </row>
    <row r="15" spans="5:15">
      <c r="E15" s="169" t="s">
        <v>246</v>
      </c>
      <c r="F15" s="169" t="s">
        <v>222</v>
      </c>
      <c r="G15" s="169" t="s">
        <v>209</v>
      </c>
      <c r="H15" s="169">
        <v>0.39</v>
      </c>
      <c r="I15" s="169">
        <v>0.39</v>
      </c>
      <c r="K15" s="170" t="str">
        <f t="shared" si="0"/>
        <v>Cash</v>
      </c>
      <c r="L15" s="170" t="str">
        <f>IF(E15="","",IF(COUNTIFS(Table2[[#All],[De (Lote)]],Input_APM!F15)&gt;0,INDEX(Table2[[#All],[Para (Ticker Daniel)]],MATCH(Input_APM!F15,Table2[[#All],[De (Lote)]],0)),Input_APM!F15))</f>
        <v>Cash CHF</v>
      </c>
      <c r="M15" s="170" t="str">
        <f t="shared" si="1"/>
        <v>EQTY.InternacionalUS2.off</v>
      </c>
      <c r="N15" s="171">
        <f t="shared" si="2"/>
        <v>0.39</v>
      </c>
      <c r="O15" s="171">
        <f t="shared" si="3"/>
        <v>0.39</v>
      </c>
    </row>
    <row r="16" spans="5:15">
      <c r="E16" s="169" t="s">
        <v>246</v>
      </c>
      <c r="F16" s="169" t="s">
        <v>222</v>
      </c>
      <c r="G16" s="169" t="s">
        <v>208</v>
      </c>
      <c r="H16" s="169">
        <v>-34454.449999999997</v>
      </c>
      <c r="I16" s="169">
        <v>-34454.449999999997</v>
      </c>
      <c r="K16" s="170" t="str">
        <f t="shared" si="0"/>
        <v>Cash</v>
      </c>
      <c r="L16" s="170" t="str">
        <f>IF(E16="","",IF(COUNTIFS(Table2[[#All],[De (Lote)]],Input_APM!F16)&gt;0,INDEX(Table2[[#All],[Para (Ticker Daniel)]],MATCH(Input_APM!F16,Table2[[#All],[De (Lote)]],0)),Input_APM!F16))</f>
        <v>Cash CHF</v>
      </c>
      <c r="M16" s="170" t="str">
        <f t="shared" si="1"/>
        <v>EQTY.IntlUS.off</v>
      </c>
      <c r="N16" s="171">
        <f t="shared" si="2"/>
        <v>-34454.449999999997</v>
      </c>
      <c r="O16" s="171">
        <f t="shared" si="3"/>
        <v>-34454.449999999997</v>
      </c>
    </row>
    <row r="17" spans="5:15">
      <c r="E17" s="169" t="s">
        <v>246</v>
      </c>
      <c r="F17" s="169" t="s">
        <v>223</v>
      </c>
      <c r="G17" s="169" t="s">
        <v>208</v>
      </c>
      <c r="H17" s="169">
        <v>-0.36</v>
      </c>
      <c r="I17" s="169">
        <v>-0.36</v>
      </c>
      <c r="K17" s="170" t="str">
        <f t="shared" si="0"/>
        <v>Cash</v>
      </c>
      <c r="L17" s="170" t="str">
        <f>IF(E17="","",IF(COUNTIFS(Table2[[#All],[De (Lote)]],Input_APM!F17)&gt;0,INDEX(Table2[[#All],[Para (Ticker Daniel)]],MATCH(Input_APM!F17,Table2[[#All],[De (Lote)]],0)),Input_APM!F17))</f>
        <v>Cash CNH</v>
      </c>
      <c r="M17" s="170" t="str">
        <f t="shared" si="1"/>
        <v>EQTY.IntlUS.off</v>
      </c>
      <c r="N17" s="171">
        <f t="shared" si="2"/>
        <v>-0.36</v>
      </c>
      <c r="O17" s="171">
        <f t="shared" si="3"/>
        <v>-0.36</v>
      </c>
    </row>
    <row r="18" spans="5:15">
      <c r="E18" s="169" t="s">
        <v>246</v>
      </c>
      <c r="F18" s="169" t="s">
        <v>786</v>
      </c>
      <c r="G18" s="169" t="s">
        <v>209</v>
      </c>
      <c r="H18" s="169">
        <v>-0.19</v>
      </c>
      <c r="I18" s="169">
        <v>-0.19</v>
      </c>
      <c r="K18" s="170" t="str">
        <f t="shared" si="0"/>
        <v>Cash</v>
      </c>
      <c r="L18" s="170" t="str">
        <f>IF(E18="","",IF(COUNTIFS(Table2[[#All],[De (Lote)]],Input_APM!F18)&gt;0,INDEX(Table2[[#All],[Para (Ticker Daniel)]],MATCH(Input_APM!F18,Table2[[#All],[De (Lote)]],0)),Input_APM!F18))</f>
        <v>Cash CNY</v>
      </c>
      <c r="M18" s="170" t="str">
        <f t="shared" si="1"/>
        <v>EQTY.InternacionalUS2.off</v>
      </c>
      <c r="N18" s="171">
        <f t="shared" si="2"/>
        <v>-0.19</v>
      </c>
      <c r="O18" s="171">
        <f t="shared" si="3"/>
        <v>-0.19</v>
      </c>
    </row>
    <row r="19" spans="5:15">
      <c r="E19" s="169" t="s">
        <v>246</v>
      </c>
      <c r="F19" s="169" t="s">
        <v>786</v>
      </c>
      <c r="G19" s="169" t="s">
        <v>208</v>
      </c>
      <c r="H19" s="169">
        <v>-143145.81</v>
      </c>
      <c r="I19" s="169">
        <v>-143145.81</v>
      </c>
      <c r="K19" s="170" t="str">
        <f t="shared" si="0"/>
        <v>Cash</v>
      </c>
      <c r="L19" s="170" t="str">
        <f>IF(E19="","",IF(COUNTIFS(Table2[[#All],[De (Lote)]],Input_APM!F19)&gt;0,INDEX(Table2[[#All],[Para (Ticker Daniel)]],MATCH(Input_APM!F19,Table2[[#All],[De (Lote)]],0)),Input_APM!F19))</f>
        <v>Cash CNY</v>
      </c>
      <c r="M19" s="170" t="str">
        <f t="shared" si="1"/>
        <v>EQTY.IntlUS.off</v>
      </c>
      <c r="N19" s="171">
        <f t="shared" si="2"/>
        <v>-143145.81</v>
      </c>
      <c r="O19" s="171">
        <f t="shared" si="3"/>
        <v>-143145.81</v>
      </c>
    </row>
    <row r="20" spans="5:15">
      <c r="E20" s="169" t="s">
        <v>246</v>
      </c>
      <c r="F20" s="169" t="s">
        <v>224</v>
      </c>
      <c r="G20" s="169" t="s">
        <v>209</v>
      </c>
      <c r="H20" s="169">
        <v>-0.15</v>
      </c>
      <c r="I20" s="169">
        <v>-0.15</v>
      </c>
      <c r="K20" s="170" t="str">
        <f t="shared" si="0"/>
        <v>Cash</v>
      </c>
      <c r="L20" s="170" t="str">
        <f>IF(E20="","",IF(COUNTIFS(Table2[[#All],[De (Lote)]],Input_APM!F20)&gt;0,INDEX(Table2[[#All],[Para (Ticker Daniel)]],MATCH(Input_APM!F20,Table2[[#All],[De (Lote)]],0)),Input_APM!F20))</f>
        <v>Cash EUR</v>
      </c>
      <c r="M20" s="170" t="str">
        <f t="shared" si="1"/>
        <v>EQTY.InternacionalUS2.off</v>
      </c>
      <c r="N20" s="171">
        <f t="shared" si="2"/>
        <v>-0.15</v>
      </c>
      <c r="O20" s="171">
        <f t="shared" si="3"/>
        <v>-0.15</v>
      </c>
    </row>
    <row r="21" spans="5:15">
      <c r="E21" s="169" t="s">
        <v>246</v>
      </c>
      <c r="F21" s="169" t="s">
        <v>224</v>
      </c>
      <c r="G21" s="169" t="s">
        <v>208</v>
      </c>
      <c r="H21" s="169">
        <v>-103743.93</v>
      </c>
      <c r="I21" s="169">
        <v>40729.67</v>
      </c>
      <c r="K21" s="170" t="str">
        <f t="shared" si="0"/>
        <v>Cash</v>
      </c>
      <c r="L21" s="170" t="str">
        <f>IF(E21="","",IF(COUNTIFS(Table2[[#All],[De (Lote)]],Input_APM!F21)&gt;0,INDEX(Table2[[#All],[Para (Ticker Daniel)]],MATCH(Input_APM!F21,Table2[[#All],[De (Lote)]],0)),Input_APM!F21))</f>
        <v>Cash EUR</v>
      </c>
      <c r="M21" s="170" t="str">
        <f t="shared" si="1"/>
        <v>EQTY.IntlUS.off</v>
      </c>
      <c r="N21" s="171">
        <f t="shared" si="2"/>
        <v>-103743.93</v>
      </c>
      <c r="O21" s="171">
        <f t="shared" si="3"/>
        <v>40729.67</v>
      </c>
    </row>
    <row r="22" spans="5:15">
      <c r="E22" s="169" t="s">
        <v>246</v>
      </c>
      <c r="F22" s="169" t="s">
        <v>225</v>
      </c>
      <c r="G22" s="169" t="s">
        <v>208</v>
      </c>
      <c r="H22" s="169">
        <v>-0.47</v>
      </c>
      <c r="I22" s="169">
        <v>-0.47</v>
      </c>
      <c r="K22" s="170" t="str">
        <f t="shared" si="0"/>
        <v>Cash</v>
      </c>
      <c r="L22" s="170" t="str">
        <f>IF(E22="","",IF(COUNTIFS(Table2[[#All],[De (Lote)]],Input_APM!F22)&gt;0,INDEX(Table2[[#All],[Para (Ticker Daniel)]],MATCH(Input_APM!F22,Table2[[#All],[De (Lote)]],0)),Input_APM!F22))</f>
        <v>Cash GBP</v>
      </c>
      <c r="M22" s="170" t="str">
        <f t="shared" si="1"/>
        <v>EQTY.IntlUS.off</v>
      </c>
      <c r="N22" s="171">
        <f t="shared" si="2"/>
        <v>-0.47</v>
      </c>
      <c r="O22" s="171">
        <f t="shared" si="3"/>
        <v>-0.47</v>
      </c>
    </row>
    <row r="23" spans="5:15">
      <c r="E23" s="169" t="s">
        <v>246</v>
      </c>
      <c r="F23" s="169" t="s">
        <v>226</v>
      </c>
      <c r="G23" s="169" t="s">
        <v>209</v>
      </c>
      <c r="H23" s="169">
        <v>0.2</v>
      </c>
      <c r="I23" s="169">
        <v>0.2</v>
      </c>
      <c r="K23" s="170" t="str">
        <f t="shared" si="0"/>
        <v>Cash</v>
      </c>
      <c r="L23" s="170" t="str">
        <f>IF(E23="","",IF(COUNTIFS(Table2[[#All],[De (Lote)]],Input_APM!F23)&gt;0,INDEX(Table2[[#All],[Para (Ticker Daniel)]],MATCH(Input_APM!F23,Table2[[#All],[De (Lote)]],0)),Input_APM!F23))</f>
        <v>Cash HKD</v>
      </c>
      <c r="M23" s="170" t="str">
        <f t="shared" si="1"/>
        <v>EQTY.InternacionalUS2.off</v>
      </c>
      <c r="N23" s="171">
        <f t="shared" si="2"/>
        <v>0.2</v>
      </c>
      <c r="O23" s="171">
        <f t="shared" si="3"/>
        <v>0.2</v>
      </c>
    </row>
    <row r="24" spans="5:15">
      <c r="E24" s="169" t="s">
        <v>246</v>
      </c>
      <c r="F24" s="169" t="s">
        <v>226</v>
      </c>
      <c r="G24" s="169" t="s">
        <v>208</v>
      </c>
      <c r="H24" s="169">
        <v>-341409.97</v>
      </c>
      <c r="I24" s="169">
        <v>-341409.97</v>
      </c>
      <c r="K24" s="170" t="str">
        <f t="shared" si="0"/>
        <v>Cash</v>
      </c>
      <c r="L24" s="170" t="str">
        <f>IF(E24="","",IF(COUNTIFS(Table2[[#All],[De (Lote)]],Input_APM!F24)&gt;0,INDEX(Table2[[#All],[Para (Ticker Daniel)]],MATCH(Input_APM!F24,Table2[[#All],[De (Lote)]],0)),Input_APM!F24))</f>
        <v>Cash HKD</v>
      </c>
      <c r="M24" s="170" t="str">
        <f t="shared" si="1"/>
        <v>EQTY.IntlUS.off</v>
      </c>
      <c r="N24" s="171">
        <f t="shared" si="2"/>
        <v>-341409.97</v>
      </c>
      <c r="O24" s="171">
        <f t="shared" si="3"/>
        <v>-341409.97</v>
      </c>
    </row>
    <row r="25" spans="5:15">
      <c r="E25" s="169" t="s">
        <v>246</v>
      </c>
      <c r="F25" s="169" t="s">
        <v>227</v>
      </c>
      <c r="G25" s="169" t="s">
        <v>208</v>
      </c>
      <c r="H25" s="169">
        <v>1.000005E-2</v>
      </c>
      <c r="I25" s="169">
        <v>1.000005E-2</v>
      </c>
      <c r="K25" s="170" t="str">
        <f t="shared" si="0"/>
        <v>Cash</v>
      </c>
      <c r="L25" s="170" t="str">
        <f>IF(E25="","",IF(COUNTIFS(Table2[[#All],[De (Lote)]],Input_APM!F25)&gt;0,INDEX(Table2[[#All],[Para (Ticker Daniel)]],MATCH(Input_APM!F25,Table2[[#All],[De (Lote)]],0)),Input_APM!F25))</f>
        <v>Cash KRW</v>
      </c>
      <c r="M25" s="170" t="str">
        <f t="shared" si="1"/>
        <v>EQTY.IntlUS.off</v>
      </c>
      <c r="N25" s="171">
        <f t="shared" si="2"/>
        <v>1.000005E-2</v>
      </c>
      <c r="O25" s="171">
        <f t="shared" si="3"/>
        <v>1.000005E-2</v>
      </c>
    </row>
    <row r="26" spans="5:15">
      <c r="E26" s="169" t="s">
        <v>246</v>
      </c>
      <c r="F26" s="169" t="s">
        <v>228</v>
      </c>
      <c r="G26" s="169" t="s">
        <v>208</v>
      </c>
      <c r="H26" s="169">
        <v>-752416.03564685001</v>
      </c>
      <c r="I26" s="169">
        <v>-145879.99564685</v>
      </c>
      <c r="K26" s="170" t="str">
        <f t="shared" si="0"/>
        <v>Cash</v>
      </c>
      <c r="L26" s="170" t="str">
        <f>IF(E26="","",IF(COUNTIFS(Table2[[#All],[De (Lote)]],Input_APM!F26)&gt;0,INDEX(Table2[[#All],[Para (Ticker Daniel)]],MATCH(Input_APM!F26,Table2[[#All],[De (Lote)]],0)),Input_APM!F26))</f>
        <v>Cash USD</v>
      </c>
      <c r="M26" s="170" t="str">
        <f t="shared" si="1"/>
        <v>EQTY.IntlUS.off</v>
      </c>
      <c r="N26" s="171">
        <f t="shared" si="2"/>
        <v>-752416.03564685001</v>
      </c>
      <c r="O26" s="171">
        <f t="shared" si="3"/>
        <v>-145879.99564685</v>
      </c>
    </row>
    <row r="27" spans="5:15">
      <c r="E27" s="169" t="s">
        <v>336</v>
      </c>
      <c r="F27" s="169" t="s">
        <v>571</v>
      </c>
      <c r="G27" s="169" t="s">
        <v>208</v>
      </c>
      <c r="H27" s="169">
        <v>4625000</v>
      </c>
      <c r="I27" s="169">
        <v>4625000</v>
      </c>
      <c r="K27" s="170" t="str">
        <f t="shared" si="0"/>
        <v>CDS</v>
      </c>
      <c r="L27" s="170" t="str">
        <f>IF(E27="","",IF(COUNTIFS(Table2[[#All],[De (Lote)]],Input_APM!F27)&gt;0,INDEX(Table2[[#All],[Para (Ticker Daniel)]],MATCH(Input_APM!F27,Table2[[#All],[De (Lote)]],0)),Input_APM!F27))</f>
        <v>CHINAGOV 12/20/30</v>
      </c>
      <c r="M27" s="170" t="str">
        <f t="shared" si="1"/>
        <v>EQTY.IntlUS.off</v>
      </c>
      <c r="N27" s="171">
        <f t="shared" si="2"/>
        <v>4625000</v>
      </c>
      <c r="O27" s="171">
        <f t="shared" si="3"/>
        <v>4625000</v>
      </c>
    </row>
    <row r="28" spans="5:15">
      <c r="E28" s="169" t="s">
        <v>242</v>
      </c>
      <c r="F28" s="169" t="s">
        <v>892</v>
      </c>
      <c r="G28" s="169" t="s">
        <v>208</v>
      </c>
      <c r="H28" s="169">
        <v>28668</v>
      </c>
      <c r="I28" s="169">
        <v>24822</v>
      </c>
      <c r="K28" s="170" t="str">
        <f t="shared" si="0"/>
        <v>US Equity</v>
      </c>
      <c r="L28" s="170" t="str">
        <f>IF(E28="","",IF(COUNTIFS(Table2[[#All],[De (Lote)]],Input_APM!F28)&gt;0,INDEX(Table2[[#All],[Para (Ticker Daniel)]],MATCH(Input_APM!F28,Table2[[#All],[De (Lote)]],0)),Input_APM!F28))</f>
        <v>CSCO</v>
      </c>
      <c r="M28" s="170" t="str">
        <f t="shared" si="1"/>
        <v>EQTY.IntlUS.off</v>
      </c>
      <c r="N28" s="171">
        <f t="shared" si="2"/>
        <v>28668</v>
      </c>
      <c r="O28" s="171">
        <f t="shared" si="3"/>
        <v>24822</v>
      </c>
    </row>
    <row r="29" spans="5:15">
      <c r="E29" s="169" t="s">
        <v>244</v>
      </c>
      <c r="F29" s="169" t="s">
        <v>1050</v>
      </c>
      <c r="G29" s="169" t="s">
        <v>208</v>
      </c>
      <c r="H29" s="169">
        <v>-940</v>
      </c>
      <c r="I29" s="169">
        <v>-940</v>
      </c>
      <c r="K29" s="170" t="str">
        <f t="shared" si="0"/>
        <v>US Equity Options</v>
      </c>
      <c r="L29" s="170" t="str">
        <f>IF(E29="","",IF(COUNTIFS(Table2[[#All],[De (Lote)]],Input_APM!F29)&gt;0,INDEX(Table2[[#All],[Para (Ticker Daniel)]],MATCH(Input_APM!F29,Table2[[#All],[De (Lote)]],0)),Input_APM!F29))</f>
        <v>CSCO US 04/17/26 C100</v>
      </c>
      <c r="M29" s="170" t="str">
        <f t="shared" si="1"/>
        <v>EQTY.IntlUS.off</v>
      </c>
      <c r="N29" s="171">
        <f t="shared" si="2"/>
        <v>-940</v>
      </c>
      <c r="O29" s="171">
        <f t="shared" si="3"/>
        <v>-940</v>
      </c>
    </row>
    <row r="30" spans="5:15">
      <c r="E30" s="169" t="s">
        <v>244</v>
      </c>
      <c r="F30" s="169" t="s">
        <v>1051</v>
      </c>
      <c r="G30" s="169" t="s">
        <v>208</v>
      </c>
      <c r="H30" s="169">
        <v>940</v>
      </c>
      <c r="I30" s="169">
        <v>940</v>
      </c>
      <c r="K30" s="170" t="str">
        <f t="shared" si="0"/>
        <v>US Equity Options</v>
      </c>
      <c r="L30" s="170" t="str">
        <f>IF(E30="","",IF(COUNTIFS(Table2[[#All],[De (Lote)]],Input_APM!F30)&gt;0,INDEX(Table2[[#All],[Para (Ticker Daniel)]],MATCH(Input_APM!F30,Table2[[#All],[De (Lote)]],0)),Input_APM!F30))</f>
        <v>CSCO US 04/17/26 C95</v>
      </c>
      <c r="M30" s="170" t="str">
        <f t="shared" si="1"/>
        <v>EQTY.IntlUS.off</v>
      </c>
      <c r="N30" s="171">
        <f t="shared" si="2"/>
        <v>940</v>
      </c>
      <c r="O30" s="171">
        <f t="shared" si="3"/>
        <v>940</v>
      </c>
    </row>
    <row r="31" spans="5:15">
      <c r="E31" s="169" t="s">
        <v>244</v>
      </c>
      <c r="F31" s="169" t="s">
        <v>1078</v>
      </c>
      <c r="G31" s="169" t="s">
        <v>208</v>
      </c>
      <c r="H31" s="169">
        <v>-470</v>
      </c>
      <c r="I31" s="169">
        <v>-470</v>
      </c>
      <c r="K31" s="170" t="str">
        <f t="shared" si="0"/>
        <v>US Equity Options</v>
      </c>
      <c r="L31" s="170" t="str">
        <f>IF(E31="","",IF(COUNTIFS(Table2[[#All],[De (Lote)]],Input_APM!F31)&gt;0,INDEX(Table2[[#All],[Para (Ticker Daniel)]],MATCH(Input_APM!F31,Table2[[#All],[De (Lote)]],0)),Input_APM!F31))</f>
        <v>CSCO US 07/17/26 C100</v>
      </c>
      <c r="M31" s="170" t="str">
        <f t="shared" si="1"/>
        <v>EQTY.IntlUS.off</v>
      </c>
      <c r="N31" s="171">
        <f t="shared" si="2"/>
        <v>-470</v>
      </c>
      <c r="O31" s="171">
        <f t="shared" si="3"/>
        <v>-470</v>
      </c>
    </row>
    <row r="32" spans="5:15">
      <c r="E32" s="169" t="s">
        <v>244</v>
      </c>
      <c r="F32" s="169" t="s">
        <v>1077</v>
      </c>
      <c r="G32" s="169" t="s">
        <v>208</v>
      </c>
      <c r="H32" s="169">
        <v>0</v>
      </c>
      <c r="I32" s="169">
        <v>470</v>
      </c>
      <c r="K32" s="170" t="str">
        <f t="shared" si="0"/>
        <v>US Equity Options</v>
      </c>
      <c r="L32" s="170" t="str">
        <f>IF(E32="","",IF(COUNTIFS(Table2[[#All],[De (Lote)]],Input_APM!F32)&gt;0,INDEX(Table2[[#All],[Para (Ticker Daniel)]],MATCH(Input_APM!F32,Table2[[#All],[De (Lote)]],0)),Input_APM!F32))</f>
        <v>CSCO US 07/17/26 C95</v>
      </c>
      <c r="M32" s="170" t="str">
        <f t="shared" si="1"/>
        <v>EQTY.IntlUS.off</v>
      </c>
      <c r="N32" s="171">
        <f t="shared" si="2"/>
        <v>0</v>
      </c>
      <c r="O32" s="171">
        <f t="shared" si="3"/>
        <v>470</v>
      </c>
    </row>
    <row r="33" spans="5:15">
      <c r="E33" s="169" t="s">
        <v>1053</v>
      </c>
      <c r="F33" s="169" t="s">
        <v>1047</v>
      </c>
      <c r="G33" s="169" t="s">
        <v>208</v>
      </c>
      <c r="H33" s="169">
        <v>1878</v>
      </c>
      <c r="I33" s="169">
        <v>1878</v>
      </c>
      <c r="K33" s="170" t="str">
        <f t="shared" si="0"/>
        <v>EUR Equity</v>
      </c>
      <c r="L33" s="170" t="str">
        <f>IF(E33="","",IF(COUNTIFS(Table2[[#All],[De (Lote)]],Input_APM!F33)&gt;0,INDEX(Table2[[#All],[Para (Ticker Daniel)]],MATCH(Input_APM!F33,Table2[[#All],[De (Lote)]],0)),Input_APM!F33))</f>
        <v>ENR GY</v>
      </c>
      <c r="M33" s="170" t="str">
        <f t="shared" si="1"/>
        <v>EQTY.IntlUS.off</v>
      </c>
      <c r="N33" s="171">
        <f t="shared" si="2"/>
        <v>1878</v>
      </c>
      <c r="O33" s="171">
        <f t="shared" si="3"/>
        <v>1878</v>
      </c>
    </row>
    <row r="34" spans="5:15">
      <c r="E34" s="169" t="s">
        <v>245</v>
      </c>
      <c r="F34" s="169" t="s">
        <v>425</v>
      </c>
      <c r="G34" s="169" t="s">
        <v>208</v>
      </c>
      <c r="H34" s="169">
        <v>36016</v>
      </c>
      <c r="I34" s="169">
        <v>28499</v>
      </c>
      <c r="K34" s="170" t="str">
        <f t="shared" si="0"/>
        <v>ETF</v>
      </c>
      <c r="L34" s="170" t="str">
        <f>IF(E34="","",IF(COUNTIFS(Table2[[#All],[De (Lote)]],Input_APM!F34)&gt;0,INDEX(Table2[[#All],[Para (Ticker Daniel)]],MATCH(Input_APM!F34,Table2[[#All],[De (Lote)]],0)),Input_APM!F34))</f>
        <v>EWY</v>
      </c>
      <c r="M34" s="170" t="str">
        <f t="shared" si="1"/>
        <v>EQTY.IntlUS.off</v>
      </c>
      <c r="N34" s="171">
        <f t="shared" si="2"/>
        <v>36016</v>
      </c>
      <c r="O34" s="171">
        <f t="shared" si="3"/>
        <v>28499</v>
      </c>
    </row>
    <row r="35" spans="5:15">
      <c r="E35" s="169" t="s">
        <v>245</v>
      </c>
      <c r="F35" s="169" t="s">
        <v>78</v>
      </c>
      <c r="G35" s="169" t="s">
        <v>208</v>
      </c>
      <c r="H35" s="169">
        <v>31688</v>
      </c>
      <c r="I35" s="169">
        <v>28646</v>
      </c>
      <c r="K35" s="170" t="str">
        <f t="shared" si="0"/>
        <v>ETF</v>
      </c>
      <c r="L35" s="170" t="str">
        <f>IF(E35="","",IF(COUNTIFS(Table2[[#All],[De (Lote)]],Input_APM!F35)&gt;0,INDEX(Table2[[#All],[Para (Ticker Daniel)]],MATCH(Input_APM!F35,Table2[[#All],[De (Lote)]],0)),Input_APM!F35))</f>
        <v xml:space="preserve">GDX </v>
      </c>
      <c r="M35" s="170" t="str">
        <f t="shared" si="1"/>
        <v>EQTY.IntlUS.off</v>
      </c>
      <c r="N35" s="171">
        <f t="shared" si="2"/>
        <v>31688</v>
      </c>
      <c r="O35" s="171">
        <f t="shared" si="3"/>
        <v>28646</v>
      </c>
    </row>
    <row r="36" spans="5:15">
      <c r="E36" s="169" t="s">
        <v>248</v>
      </c>
      <c r="F36" s="169" t="s">
        <v>837</v>
      </c>
      <c r="G36" s="169" t="s">
        <v>208</v>
      </c>
      <c r="H36" s="169">
        <v>797</v>
      </c>
      <c r="I36" s="169">
        <v>797</v>
      </c>
      <c r="K36" s="170" t="str">
        <f t="shared" si="0"/>
        <v>ETF Options</v>
      </c>
      <c r="L36" s="170" t="str">
        <f>IF(E36="","",IF(COUNTIFS(Table2[[#All],[De (Lote)]],Input_APM!F36)&gt;0,INDEX(Table2[[#All],[Para (Ticker Daniel)]],MATCH(Input_APM!F36,Table2[[#All],[De (Lote)]],0)),Input_APM!F36))</f>
        <v>GDX US 09/18/26 C105</v>
      </c>
      <c r="M36" s="170" t="str">
        <f t="shared" si="1"/>
        <v>EQTY.IntlUS.off</v>
      </c>
      <c r="N36" s="171">
        <f t="shared" si="2"/>
        <v>797</v>
      </c>
      <c r="O36" s="171">
        <f t="shared" si="3"/>
        <v>797</v>
      </c>
    </row>
    <row r="37" spans="5:15">
      <c r="E37" s="169" t="s">
        <v>248</v>
      </c>
      <c r="F37" s="169" t="s">
        <v>838</v>
      </c>
      <c r="G37" s="169" t="s">
        <v>208</v>
      </c>
      <c r="H37" s="169">
        <v>-797</v>
      </c>
      <c r="I37" s="169">
        <v>-797</v>
      </c>
      <c r="K37" s="170" t="str">
        <f t="shared" si="0"/>
        <v>ETF Options</v>
      </c>
      <c r="L37" s="170" t="str">
        <f>IF(E37="","",IF(COUNTIFS(Table2[[#All],[De (Lote)]],Input_APM!F37)&gt;0,INDEX(Table2[[#All],[Para (Ticker Daniel)]],MATCH(Input_APM!F37,Table2[[#All],[De (Lote)]],0)),Input_APM!F37))</f>
        <v>GDX US 09/18/26 C115</v>
      </c>
      <c r="M37" s="170" t="str">
        <f t="shared" si="1"/>
        <v>EQTY.IntlUS.off</v>
      </c>
      <c r="N37" s="171">
        <f t="shared" si="2"/>
        <v>-797</v>
      </c>
      <c r="O37" s="171">
        <f t="shared" si="3"/>
        <v>-797</v>
      </c>
    </row>
    <row r="38" spans="5:15">
      <c r="E38" s="169" t="s">
        <v>242</v>
      </c>
      <c r="F38" s="169" t="s">
        <v>1037</v>
      </c>
      <c r="G38" s="169" t="s">
        <v>208</v>
      </c>
      <c r="H38" s="169">
        <v>906</v>
      </c>
      <c r="I38" s="169">
        <v>906</v>
      </c>
      <c r="K38" s="170" t="str">
        <f t="shared" si="0"/>
        <v>US Equity</v>
      </c>
      <c r="L38" s="170" t="str">
        <f>IF(E38="","",IF(COUNTIFS(Table2[[#All],[De (Lote)]],Input_APM!F38)&gt;0,INDEX(Table2[[#All],[Para (Ticker Daniel)]],MATCH(Input_APM!F38,Table2[[#All],[De (Lote)]],0)),Input_APM!F38))</f>
        <v>GEV</v>
      </c>
      <c r="M38" s="170" t="str">
        <f t="shared" si="1"/>
        <v>EQTY.IntlUS.off</v>
      </c>
      <c r="N38" s="171">
        <f t="shared" si="2"/>
        <v>906</v>
      </c>
      <c r="O38" s="171">
        <f t="shared" si="3"/>
        <v>906</v>
      </c>
    </row>
    <row r="39" spans="5:15">
      <c r="E39" s="169" t="s">
        <v>242</v>
      </c>
      <c r="F39" s="169" t="s">
        <v>807</v>
      </c>
      <c r="G39" s="169" t="s">
        <v>208</v>
      </c>
      <c r="H39" s="169">
        <v>1852</v>
      </c>
      <c r="I39" s="169">
        <v>1852</v>
      </c>
      <c r="K39" s="170" t="str">
        <f t="shared" si="0"/>
        <v>US Equity</v>
      </c>
      <c r="L39" s="170" t="str">
        <f>IF(E39="","",IF(COUNTIFS(Table2[[#All],[De (Lote)]],Input_APM!F39)&gt;0,INDEX(Table2[[#All],[Para (Ticker Daniel)]],MATCH(Input_APM!F39,Table2[[#All],[De (Lote)]],0)),Input_APM!F39))</f>
        <v>GOOG</v>
      </c>
      <c r="M39" s="170" t="str">
        <f t="shared" si="1"/>
        <v>EQTY.IntlUS.off</v>
      </c>
      <c r="N39" s="171">
        <f t="shared" si="2"/>
        <v>1852</v>
      </c>
      <c r="O39" s="171">
        <f t="shared" si="3"/>
        <v>1852</v>
      </c>
    </row>
    <row r="40" spans="5:15">
      <c r="E40" s="169" t="s">
        <v>249</v>
      </c>
      <c r="F40" s="169" t="s">
        <v>561</v>
      </c>
      <c r="G40" s="169" t="s">
        <v>208</v>
      </c>
      <c r="H40" s="169">
        <v>276451</v>
      </c>
      <c r="I40" s="169">
        <v>276451</v>
      </c>
      <c r="K40" s="170" t="str">
        <f t="shared" si="0"/>
        <v>Basket Index Options</v>
      </c>
      <c r="L40" s="170" t="str">
        <f>IF(E40="","",IF(COUNTIFS(Table2[[#All],[De (Lote)]],Input_APM!F40)&gt;0,INDEX(Table2[[#All],[Para (Ticker Daniel)]],MATCH(Input_APM!F40,Table2[[#All],[De (Lote)]],0)),Input_APM!F40))</f>
        <v>GSC1000P 03/20/26 C104</v>
      </c>
      <c r="M40" s="170" t="str">
        <f t="shared" si="1"/>
        <v>EQTY.IntlUS.off</v>
      </c>
      <c r="N40" s="171">
        <f t="shared" si="2"/>
        <v>276451</v>
      </c>
      <c r="O40" s="171">
        <f t="shared" si="3"/>
        <v>276451</v>
      </c>
    </row>
    <row r="41" spans="5:15">
      <c r="E41" s="169" t="s">
        <v>249</v>
      </c>
      <c r="F41" s="169" t="s">
        <v>562</v>
      </c>
      <c r="G41" s="169" t="s">
        <v>208</v>
      </c>
      <c r="H41" s="169">
        <v>-276451</v>
      </c>
      <c r="I41" s="169">
        <v>-276451</v>
      </c>
      <c r="K41" s="170" t="str">
        <f t="shared" si="0"/>
        <v>Basket Index Options</v>
      </c>
      <c r="L41" s="170" t="str">
        <f>IF(E41="","",IF(COUNTIFS(Table2[[#All],[De (Lote)]],Input_APM!F41)&gt;0,INDEX(Table2[[#All],[Para (Ticker Daniel)]],MATCH(Input_APM!F41,Table2[[#All],[De (Lote)]],0)),Input_APM!F41))</f>
        <v>GSC1000P 03/20/26 C119</v>
      </c>
      <c r="M41" s="170" t="str">
        <f t="shared" si="1"/>
        <v>EQTY.IntlUS.off</v>
      </c>
      <c r="N41" s="171">
        <f t="shared" si="2"/>
        <v>-276451</v>
      </c>
      <c r="O41" s="171">
        <f t="shared" si="3"/>
        <v>-276451</v>
      </c>
    </row>
    <row r="42" spans="5:15">
      <c r="E42" s="169" t="s">
        <v>242</v>
      </c>
      <c r="F42" s="169" t="s">
        <v>342</v>
      </c>
      <c r="G42" s="169" t="s">
        <v>208</v>
      </c>
      <c r="H42" s="169">
        <v>-939</v>
      </c>
      <c r="I42" s="169">
        <v>-1879</v>
      </c>
      <c r="K42" s="170" t="str">
        <f t="shared" si="0"/>
        <v>US Equity</v>
      </c>
      <c r="L42" s="170" t="str">
        <f>IF(E42="","",IF(COUNTIFS(Table2[[#All],[De (Lote)]],Input_APM!F42)&gt;0,INDEX(Table2[[#All],[Para (Ticker Daniel)]],MATCH(Input_APM!F42,Table2[[#All],[De (Lote)]],0)),Input_APM!F42))</f>
        <v>INTC</v>
      </c>
      <c r="M42" s="170" t="str">
        <f t="shared" si="1"/>
        <v>EQTY.IntlUS.off</v>
      </c>
      <c r="N42" s="171">
        <f t="shared" si="2"/>
        <v>-939</v>
      </c>
      <c r="O42" s="171">
        <f t="shared" si="3"/>
        <v>-1879</v>
      </c>
    </row>
    <row r="43" spans="5:15">
      <c r="E43" s="169" t="s">
        <v>244</v>
      </c>
      <c r="F43" s="169" t="s">
        <v>879</v>
      </c>
      <c r="G43" s="169" t="s">
        <v>208</v>
      </c>
      <c r="H43" s="169">
        <v>284</v>
      </c>
      <c r="I43" s="169">
        <v>284</v>
      </c>
      <c r="K43" s="170" t="str">
        <f t="shared" si="0"/>
        <v>US Equity Options</v>
      </c>
      <c r="L43" s="170" t="str">
        <f>IF(E43="","",IF(COUNTIFS(Table2[[#All],[De (Lote)]],Input_APM!F43)&gt;0,INDEX(Table2[[#All],[Para (Ticker Daniel)]],MATCH(Input_APM!F43,Table2[[#All],[De (Lote)]],0)),Input_APM!F43))</f>
        <v>INTC US 07/17/26 C50</v>
      </c>
      <c r="M43" s="170" t="str">
        <f t="shared" si="1"/>
        <v>EQTY.IntlUS.off</v>
      </c>
      <c r="N43" s="171">
        <f t="shared" si="2"/>
        <v>284</v>
      </c>
      <c r="O43" s="171">
        <f t="shared" si="3"/>
        <v>284</v>
      </c>
    </row>
    <row r="44" spans="5:15">
      <c r="E44" s="169" t="s">
        <v>245</v>
      </c>
      <c r="F44" s="169" t="s">
        <v>6</v>
      </c>
      <c r="G44" s="169" t="s">
        <v>208</v>
      </c>
      <c r="H44" s="169">
        <v>14082</v>
      </c>
      <c r="I44" s="169">
        <v>14082</v>
      </c>
      <c r="K44" s="170" t="str">
        <f t="shared" si="0"/>
        <v>ETF</v>
      </c>
      <c r="L44" s="170" t="str">
        <f>IF(E44="","",IF(COUNTIFS(Table2[[#All],[De (Lote)]],Input_APM!F44)&gt;0,INDEX(Table2[[#All],[Para (Ticker Daniel)]],MATCH(Input_APM!F44,Table2[[#All],[De (Lote)]],0)),Input_APM!F44))</f>
        <v>KBWB</v>
      </c>
      <c r="M44" s="170" t="str">
        <f t="shared" si="1"/>
        <v>EQTY.IntlUS.off</v>
      </c>
      <c r="N44" s="171">
        <f t="shared" si="2"/>
        <v>14082</v>
      </c>
      <c r="O44" s="171">
        <f t="shared" si="3"/>
        <v>14082</v>
      </c>
    </row>
    <row r="45" spans="5:15">
      <c r="E45" s="169" t="s">
        <v>242</v>
      </c>
      <c r="F45" s="169" t="s">
        <v>839</v>
      </c>
      <c r="G45" s="169" t="s">
        <v>208</v>
      </c>
      <c r="H45" s="169">
        <v>-9842</v>
      </c>
      <c r="I45" s="169">
        <v>-9842</v>
      </c>
      <c r="K45" s="170" t="str">
        <f t="shared" si="0"/>
        <v>US Equity</v>
      </c>
      <c r="L45" s="170" t="str">
        <f>IF(E45="","",IF(COUNTIFS(Table2[[#All],[De (Lote)]],Input_APM!F45)&gt;0,INDEX(Table2[[#All],[Para (Ticker Daniel)]],MATCH(Input_APM!F45,Table2[[#All],[De (Lote)]],0)),Input_APM!F45))</f>
        <v>KHC</v>
      </c>
      <c r="M45" s="170" t="str">
        <f t="shared" si="1"/>
        <v>EQTY.IntlUS.off</v>
      </c>
      <c r="N45" s="171">
        <f t="shared" si="2"/>
        <v>-9842</v>
      </c>
      <c r="O45" s="171">
        <f t="shared" si="3"/>
        <v>-9842</v>
      </c>
    </row>
    <row r="46" spans="5:15">
      <c r="E46" s="169" t="s">
        <v>876</v>
      </c>
      <c r="F46" s="169" t="s">
        <v>862</v>
      </c>
      <c r="G46" s="169" t="s">
        <v>208</v>
      </c>
      <c r="H46" s="169">
        <v>10349446</v>
      </c>
      <c r="I46" s="169">
        <v>10349446</v>
      </c>
      <c r="K46" s="170" t="str">
        <f t="shared" si="0"/>
        <v>KOSPI 200 Index Options - KRX</v>
      </c>
      <c r="L46" s="170" t="str">
        <f>IF(E46="","",IF(COUNTIFS(Table2[[#All],[De (Lote)]],Input_APM!F46)&gt;0,INDEX(Table2[[#All],[Para (Ticker Daniel)]],MATCH(Input_APM!F46,Table2[[#All],[De (Lote)]],0)),Input_APM!F46))</f>
        <v>KOSPI2 12/10/26 C1000</v>
      </c>
      <c r="M46" s="170" t="str">
        <f t="shared" si="1"/>
        <v>EQTY.IntlUS.off</v>
      </c>
      <c r="N46" s="171">
        <f t="shared" si="2"/>
        <v>10349446</v>
      </c>
      <c r="O46" s="171">
        <f t="shared" si="3"/>
        <v>10349446</v>
      </c>
    </row>
    <row r="47" spans="5:15">
      <c r="E47" s="169" t="s">
        <v>242</v>
      </c>
      <c r="F47" s="169" t="s">
        <v>728</v>
      </c>
      <c r="G47" s="169" t="s">
        <v>208</v>
      </c>
      <c r="H47" s="169">
        <v>3756</v>
      </c>
      <c r="I47" s="169">
        <v>3719</v>
      </c>
      <c r="K47" s="170" t="str">
        <f t="shared" si="0"/>
        <v>US Equity</v>
      </c>
      <c r="L47" s="170" t="str">
        <f>IF(E47="","",IF(COUNTIFS(Table2[[#All],[De (Lote)]],Input_APM!F47)&gt;0,INDEX(Table2[[#All],[Para (Ticker Daniel)]],MATCH(Input_APM!F47,Table2[[#All],[De (Lote)]],0)),Input_APM!F47))</f>
        <v>LITE</v>
      </c>
      <c r="M47" s="170" t="str">
        <f t="shared" si="1"/>
        <v>EQTY.IntlUS.off</v>
      </c>
      <c r="N47" s="171">
        <f t="shared" si="2"/>
        <v>3756</v>
      </c>
      <c r="O47" s="171">
        <f t="shared" si="3"/>
        <v>3719</v>
      </c>
    </row>
    <row r="48" spans="5:15">
      <c r="E48" s="169" t="s">
        <v>244</v>
      </c>
      <c r="F48" s="169" t="s">
        <v>1045</v>
      </c>
      <c r="G48" s="169" t="s">
        <v>208</v>
      </c>
      <c r="H48" s="169">
        <v>142</v>
      </c>
      <c r="I48" s="169">
        <v>142</v>
      </c>
      <c r="K48" s="170" t="str">
        <f t="shared" si="0"/>
        <v>US Equity Options</v>
      </c>
      <c r="L48" s="170" t="str">
        <f>IF(E48="","",IF(COUNTIFS(Table2[[#All],[De (Lote)]],Input_APM!F48)&gt;0,INDEX(Table2[[#All],[Para (Ticker Daniel)]],MATCH(Input_APM!F48,Table2[[#All],[De (Lote)]],0)),Input_APM!F48))</f>
        <v>LITE US 06/18/26 C600</v>
      </c>
      <c r="M48" s="170" t="str">
        <f t="shared" si="1"/>
        <v>EQTY.IntlUS.off</v>
      </c>
      <c r="N48" s="171">
        <f t="shared" si="2"/>
        <v>142</v>
      </c>
      <c r="O48" s="171">
        <f t="shared" si="3"/>
        <v>142</v>
      </c>
    </row>
    <row r="49" spans="5:15">
      <c r="E49" s="169" t="s">
        <v>244</v>
      </c>
      <c r="F49" s="169" t="s">
        <v>1046</v>
      </c>
      <c r="G49" s="169" t="s">
        <v>208</v>
      </c>
      <c r="H49" s="169">
        <v>-143</v>
      </c>
      <c r="I49" s="169">
        <v>-143</v>
      </c>
      <c r="K49" s="170" t="str">
        <f t="shared" si="0"/>
        <v>US Equity Options</v>
      </c>
      <c r="L49" s="170" t="str">
        <f>IF(E49="","",IF(COUNTIFS(Table2[[#All],[De (Lote)]],Input_APM!F49)&gt;0,INDEX(Table2[[#All],[Para (Ticker Daniel)]],MATCH(Input_APM!F49,Table2[[#All],[De (Lote)]],0)),Input_APM!F49))</f>
        <v>LITE US 06/18/26 C720</v>
      </c>
      <c r="M49" s="170" t="str">
        <f t="shared" si="1"/>
        <v>EQTY.IntlUS.off</v>
      </c>
      <c r="N49" s="171">
        <f t="shared" si="2"/>
        <v>-143</v>
      </c>
      <c r="O49" s="171">
        <f t="shared" si="3"/>
        <v>-143</v>
      </c>
    </row>
    <row r="50" spans="5:15">
      <c r="E50" s="169" t="s">
        <v>335</v>
      </c>
      <c r="F50" s="169" t="s">
        <v>937</v>
      </c>
      <c r="G50" s="169" t="s">
        <v>208</v>
      </c>
      <c r="H50" s="169">
        <v>-9372000</v>
      </c>
      <c r="I50" s="169">
        <v>-9372000</v>
      </c>
      <c r="K50" s="170" t="str">
        <f t="shared" si="0"/>
        <v>Global Bonds</v>
      </c>
      <c r="L50" s="170" t="str">
        <f>IF(E50="","",IF(COUNTIFS(Table2[[#All],[De (Lote)]],Input_APM!F50)&gt;0,INDEX(Table2[[#All],[Para (Ticker Daniel)]],MATCH(Input_APM!F50,Table2[[#All],[De (Lote)]],0)),Input_APM!F50))</f>
        <v>META 4.875% 11/15/35</v>
      </c>
      <c r="M50" s="170" t="str">
        <f t="shared" si="1"/>
        <v>EQTY.IntlUS.off</v>
      </c>
      <c r="N50" s="171">
        <f t="shared" si="2"/>
        <v>-9372000</v>
      </c>
      <c r="O50" s="171">
        <f t="shared" si="3"/>
        <v>-9372000</v>
      </c>
    </row>
    <row r="51" spans="5:15">
      <c r="E51" s="169" t="s">
        <v>242</v>
      </c>
      <c r="F51" s="169" t="s">
        <v>250</v>
      </c>
      <c r="G51" s="169" t="s">
        <v>208</v>
      </c>
      <c r="H51" s="169">
        <v>7610</v>
      </c>
      <c r="I51" s="169">
        <v>7610</v>
      </c>
      <c r="K51" s="170" t="str">
        <f t="shared" si="0"/>
        <v>US Equity</v>
      </c>
      <c r="L51" s="170" t="str">
        <f>IF(E51="","",IF(COUNTIFS(Table2[[#All],[De (Lote)]],Input_APM!F51)&gt;0,INDEX(Table2[[#All],[Para (Ticker Daniel)]],MATCH(Input_APM!F51,Table2[[#All],[De (Lote)]],0)),Input_APM!F51))</f>
        <v>META</v>
      </c>
      <c r="M51" s="170" t="str">
        <f t="shared" si="1"/>
        <v>EQTY.IntlUS.off</v>
      </c>
      <c r="N51" s="171">
        <f t="shared" si="2"/>
        <v>7610</v>
      </c>
      <c r="O51" s="171">
        <f t="shared" si="3"/>
        <v>7610</v>
      </c>
    </row>
    <row r="52" spans="5:15">
      <c r="E52" s="169" t="s">
        <v>244</v>
      </c>
      <c r="F52" s="169" t="s">
        <v>957</v>
      </c>
      <c r="G52" s="169" t="s">
        <v>208</v>
      </c>
      <c r="H52" s="169">
        <v>161</v>
      </c>
      <c r="I52" s="169">
        <v>161</v>
      </c>
      <c r="K52" s="170" t="str">
        <f t="shared" si="0"/>
        <v>US Equity Options</v>
      </c>
      <c r="L52" s="170" t="str">
        <f>IF(E52="","",IF(COUNTIFS(Table2[[#All],[De (Lote)]],Input_APM!F52)&gt;0,INDEX(Table2[[#All],[Para (Ticker Daniel)]],MATCH(Input_APM!F52,Table2[[#All],[De (Lote)]],0)),Input_APM!F52))</f>
        <v>META US 07/17/26 C750</v>
      </c>
      <c r="M52" s="170" t="str">
        <f t="shared" si="1"/>
        <v>EQTY.IntlUS.off</v>
      </c>
      <c r="N52" s="171">
        <f t="shared" si="2"/>
        <v>161</v>
      </c>
      <c r="O52" s="171">
        <f t="shared" si="3"/>
        <v>161</v>
      </c>
    </row>
    <row r="53" spans="5:15">
      <c r="E53" s="169" t="s">
        <v>242</v>
      </c>
      <c r="F53" s="169" t="s">
        <v>85</v>
      </c>
      <c r="G53" s="169" t="s">
        <v>208</v>
      </c>
      <c r="H53" s="169">
        <v>-5262</v>
      </c>
      <c r="I53" s="169">
        <v>-5262</v>
      </c>
      <c r="K53" s="170" t="str">
        <f t="shared" si="0"/>
        <v>US Equity</v>
      </c>
      <c r="L53" s="170" t="str">
        <f>IF(E53="","",IF(COUNTIFS(Table2[[#All],[De (Lote)]],Input_APM!F53)&gt;0,INDEX(Table2[[#All],[Para (Ticker Daniel)]],MATCH(Input_APM!F53,Table2[[#All],[De (Lote)]],0)),Input_APM!F53))</f>
        <v>MRVL</v>
      </c>
      <c r="M53" s="170" t="str">
        <f t="shared" si="1"/>
        <v>EQTY.IntlUS.off</v>
      </c>
      <c r="N53" s="171">
        <f t="shared" si="2"/>
        <v>-5262</v>
      </c>
      <c r="O53" s="171">
        <f t="shared" si="3"/>
        <v>-5262</v>
      </c>
    </row>
    <row r="54" spans="5:15">
      <c r="E54" s="169" t="s">
        <v>244</v>
      </c>
      <c r="F54" s="169" t="s">
        <v>979</v>
      </c>
      <c r="G54" s="169" t="s">
        <v>208</v>
      </c>
      <c r="H54" s="169">
        <v>-422</v>
      </c>
      <c r="I54" s="169">
        <v>-422</v>
      </c>
      <c r="K54" s="170" t="str">
        <f t="shared" si="0"/>
        <v>US Equity Options</v>
      </c>
      <c r="L54" s="170" t="str">
        <f>IF(E54="","",IF(COUNTIFS(Table2[[#All],[De (Lote)]],Input_APM!F54)&gt;0,INDEX(Table2[[#All],[Para (Ticker Daniel)]],MATCH(Input_APM!F54,Table2[[#All],[De (Lote)]],0)),Input_APM!F54))</f>
        <v>MRVL US 03/20/26 P60</v>
      </c>
      <c r="M54" s="170" t="str">
        <f t="shared" si="1"/>
        <v>EQTY.IntlUS.off</v>
      </c>
      <c r="N54" s="171">
        <f t="shared" si="2"/>
        <v>-422</v>
      </c>
      <c r="O54" s="171">
        <f t="shared" si="3"/>
        <v>-422</v>
      </c>
    </row>
    <row r="55" spans="5:15">
      <c r="E55" s="169" t="s">
        <v>244</v>
      </c>
      <c r="F55" s="169" t="s">
        <v>845</v>
      </c>
      <c r="G55" s="169" t="s">
        <v>208</v>
      </c>
      <c r="H55" s="169">
        <v>422</v>
      </c>
      <c r="I55" s="169">
        <v>422</v>
      </c>
      <c r="K55" s="170" t="str">
        <f t="shared" si="0"/>
        <v>US Equity Options</v>
      </c>
      <c r="L55" s="170" t="str">
        <f>IF(E55="","",IF(COUNTIFS(Table2[[#All],[De (Lote)]],Input_APM!F55)&gt;0,INDEX(Table2[[#All],[Para (Ticker Daniel)]],MATCH(Input_APM!F55,Table2[[#All],[De (Lote)]],0)),Input_APM!F55))</f>
        <v>MRVL US 03/20/26 P70</v>
      </c>
      <c r="M55" s="170" t="str">
        <f t="shared" si="1"/>
        <v>EQTY.IntlUS.off</v>
      </c>
      <c r="N55" s="171">
        <f t="shared" si="2"/>
        <v>422</v>
      </c>
      <c r="O55" s="171">
        <f t="shared" si="3"/>
        <v>422</v>
      </c>
    </row>
    <row r="56" spans="5:15">
      <c r="E56" s="169" t="s">
        <v>335</v>
      </c>
      <c r="F56" s="169" t="s">
        <v>1123</v>
      </c>
      <c r="G56" s="169" t="s">
        <v>208</v>
      </c>
      <c r="H56" s="169">
        <v>-4694500</v>
      </c>
      <c r="I56" s="169">
        <v>0</v>
      </c>
      <c r="K56" s="170" t="str">
        <f t="shared" si="0"/>
        <v>Global Bonds</v>
      </c>
      <c r="L56" s="170" t="str">
        <f>IF(E56="","",IF(COUNTIFS(Table2[[#All],[De (Lote)]],Input_APM!F56)&gt;0,INDEX(Table2[[#All],[Para (Ticker Daniel)]],MATCH(Input_APM!F56,Table2[[#All],[De (Lote)]],0)),Input_APM!F56))</f>
        <v>NFLX 4.90% 08/15/34</v>
      </c>
      <c r="M56" s="170" t="str">
        <f t="shared" si="1"/>
        <v>EQTY.IntlUS.off</v>
      </c>
      <c r="N56" s="171">
        <f t="shared" si="2"/>
        <v>-4694500</v>
      </c>
      <c r="O56" s="171">
        <f t="shared" si="3"/>
        <v>0</v>
      </c>
    </row>
    <row r="57" spans="5:15">
      <c r="E57" s="169" t="s">
        <v>244</v>
      </c>
      <c r="F57" s="169" t="s">
        <v>980</v>
      </c>
      <c r="G57" s="169" t="s">
        <v>208</v>
      </c>
      <c r="H57" s="169">
        <v>-282</v>
      </c>
      <c r="I57" s="169">
        <v>-188</v>
      </c>
      <c r="K57" s="170" t="str">
        <f t="shared" si="0"/>
        <v>US Equity Options</v>
      </c>
      <c r="L57" s="170" t="str">
        <f>IF(E57="","",IF(COUNTIFS(Table2[[#All],[De (Lote)]],Input_APM!F57)&gt;0,INDEX(Table2[[#All],[Para (Ticker Daniel)]],MATCH(Input_APM!F57,Table2[[#All],[De (Lote)]],0)),Input_APM!F57))</f>
        <v>NFLX US 05/15/26 C90</v>
      </c>
      <c r="M57" s="170" t="str">
        <f t="shared" si="1"/>
        <v>EQTY.IntlUS.off</v>
      </c>
      <c r="N57" s="171">
        <f t="shared" si="2"/>
        <v>-282</v>
      </c>
      <c r="O57" s="171">
        <f t="shared" si="3"/>
        <v>-188</v>
      </c>
    </row>
    <row r="58" spans="5:15">
      <c r="E58" s="169" t="s">
        <v>244</v>
      </c>
      <c r="F58" s="169" t="s">
        <v>981</v>
      </c>
      <c r="G58" s="169" t="s">
        <v>208</v>
      </c>
      <c r="H58" s="169">
        <v>-94</v>
      </c>
      <c r="I58" s="169">
        <v>-188</v>
      </c>
      <c r="K58" s="170" t="str">
        <f t="shared" si="0"/>
        <v>US Equity Options</v>
      </c>
      <c r="L58" s="170" t="str">
        <f>IF(E58="","",IF(COUNTIFS(Table2[[#All],[De (Lote)]],Input_APM!F58)&gt;0,INDEX(Table2[[#All],[Para (Ticker Daniel)]],MATCH(Input_APM!F58,Table2[[#All],[De (Lote)]],0)),Input_APM!F58))</f>
        <v>NFLX US 05/15/26 P70</v>
      </c>
      <c r="M58" s="170" t="str">
        <f t="shared" si="1"/>
        <v>EQTY.IntlUS.off</v>
      </c>
      <c r="N58" s="171">
        <f t="shared" si="2"/>
        <v>-94</v>
      </c>
      <c r="O58" s="171">
        <f t="shared" si="3"/>
        <v>-188</v>
      </c>
    </row>
    <row r="59" spans="5:15">
      <c r="E59" s="169" t="s">
        <v>962</v>
      </c>
      <c r="F59" s="169" t="s">
        <v>963</v>
      </c>
      <c r="G59" s="169" t="s">
        <v>208</v>
      </c>
      <c r="H59" s="169">
        <v>-14</v>
      </c>
      <c r="I59" s="169">
        <v>-14</v>
      </c>
      <c r="K59" s="170" t="str">
        <f t="shared" si="0"/>
        <v>NASDAQ-100 E-mini Futures - CME</v>
      </c>
      <c r="L59" s="170" t="str">
        <f>IF(E59="","",IF(COUNTIFS(Table2[[#All],[De (Lote)]],Input_APM!F59)&gt;0,INDEX(Table2[[#All],[Para (Ticker Daniel)]],MATCH(Input_APM!F59,Table2[[#All],[De (Lote)]],0)),Input_APM!F59))</f>
        <v>NQH6</v>
      </c>
      <c r="M59" s="170" t="str">
        <f t="shared" si="1"/>
        <v>EQTY.IntlUS.off</v>
      </c>
      <c r="N59" s="171">
        <f t="shared" si="2"/>
        <v>-14</v>
      </c>
      <c r="O59" s="171">
        <f t="shared" si="3"/>
        <v>-14</v>
      </c>
    </row>
    <row r="60" spans="5:15">
      <c r="E60" s="169" t="s">
        <v>242</v>
      </c>
      <c r="F60" s="169" t="s">
        <v>42</v>
      </c>
      <c r="G60" s="169" t="s">
        <v>208</v>
      </c>
      <c r="H60" s="169">
        <v>49407</v>
      </c>
      <c r="I60" s="169">
        <v>38627</v>
      </c>
      <c r="K60" s="170" t="str">
        <f t="shared" si="0"/>
        <v>US Equity</v>
      </c>
      <c r="L60" s="170" t="str">
        <f>IF(E60="","",IF(COUNTIFS(Table2[[#All],[De (Lote)]],Input_APM!F60)&gt;0,INDEX(Table2[[#All],[Para (Ticker Daniel)]],MATCH(Input_APM!F60,Table2[[#All],[De (Lote)]],0)),Input_APM!F60))</f>
        <v>NVDA</v>
      </c>
      <c r="M60" s="170" t="str">
        <f t="shared" si="1"/>
        <v>EQTY.IntlUS.off</v>
      </c>
      <c r="N60" s="171">
        <f t="shared" si="2"/>
        <v>49407</v>
      </c>
      <c r="O60" s="171">
        <f t="shared" si="3"/>
        <v>38627</v>
      </c>
    </row>
    <row r="61" spans="5:15">
      <c r="E61" s="169" t="s">
        <v>244</v>
      </c>
      <c r="F61" s="169" t="s">
        <v>1069</v>
      </c>
      <c r="G61" s="169" t="s">
        <v>208</v>
      </c>
      <c r="H61" s="169">
        <v>681</v>
      </c>
      <c r="I61" s="169">
        <v>681</v>
      </c>
      <c r="K61" s="170" t="str">
        <f t="shared" si="0"/>
        <v>US Equity Options</v>
      </c>
      <c r="L61" s="170" t="str">
        <f>IF(E61="","",IF(COUNTIFS(Table2[[#All],[De (Lote)]],Input_APM!F61)&gt;0,INDEX(Table2[[#All],[Para (Ticker Daniel)]],MATCH(Input_APM!F61,Table2[[#All],[De (Lote)]],0)),Input_APM!F61))</f>
        <v>NVDA US 03/20/26 C200</v>
      </c>
      <c r="M61" s="170" t="str">
        <f t="shared" si="1"/>
        <v>EQTY.IntlUS.off</v>
      </c>
      <c r="N61" s="171">
        <f t="shared" si="2"/>
        <v>681</v>
      </c>
      <c r="O61" s="171">
        <f t="shared" si="3"/>
        <v>681</v>
      </c>
    </row>
    <row r="62" spans="5:15">
      <c r="E62" s="169" t="s">
        <v>244</v>
      </c>
      <c r="F62" s="169" t="s">
        <v>1070</v>
      </c>
      <c r="G62" s="169" t="s">
        <v>208</v>
      </c>
      <c r="H62" s="169">
        <v>-680</v>
      </c>
      <c r="I62" s="169">
        <v>-680</v>
      </c>
      <c r="K62" s="170" t="str">
        <f t="shared" si="0"/>
        <v>US Equity Options</v>
      </c>
      <c r="L62" s="170" t="str">
        <f>IF(E62="","",IF(COUNTIFS(Table2[[#All],[De (Lote)]],Input_APM!F62)&gt;0,INDEX(Table2[[#All],[Para (Ticker Daniel)]],MATCH(Input_APM!F62,Table2[[#All],[De (Lote)]],0)),Input_APM!F62))</f>
        <v>NVDA US 03/20/26 C220</v>
      </c>
      <c r="M62" s="170" t="str">
        <f t="shared" si="1"/>
        <v>EQTY.IntlUS.off</v>
      </c>
      <c r="N62" s="171">
        <f t="shared" si="2"/>
        <v>-680</v>
      </c>
      <c r="O62" s="171">
        <f t="shared" si="3"/>
        <v>-680</v>
      </c>
    </row>
    <row r="63" spans="5:15">
      <c r="E63" s="169" t="s">
        <v>244</v>
      </c>
      <c r="F63" s="169" t="s">
        <v>923</v>
      </c>
      <c r="G63" s="169" t="s">
        <v>208</v>
      </c>
      <c r="H63" s="169">
        <v>142</v>
      </c>
      <c r="I63" s="169">
        <v>142</v>
      </c>
      <c r="K63" s="170" t="str">
        <f t="shared" si="0"/>
        <v>US Equity Options</v>
      </c>
      <c r="L63" s="170" t="str">
        <f>IF(E63="","",IF(COUNTIFS(Table2[[#All],[De (Lote)]],Input_APM!F63)&gt;0,INDEX(Table2[[#All],[Para (Ticker Daniel)]],MATCH(Input_APM!F63,Table2[[#All],[De (Lote)]],0)),Input_APM!F63))</f>
        <v>NVDA US 05/15/26 C200</v>
      </c>
      <c r="M63" s="170" t="str">
        <f t="shared" si="1"/>
        <v>EQTY.IntlUS.off</v>
      </c>
      <c r="N63" s="171">
        <f t="shared" si="2"/>
        <v>142</v>
      </c>
      <c r="O63" s="171">
        <f t="shared" si="3"/>
        <v>142</v>
      </c>
    </row>
    <row r="64" spans="5:15">
      <c r="E64" s="169" t="s">
        <v>243</v>
      </c>
      <c r="F64" s="169" t="s">
        <v>260</v>
      </c>
      <c r="G64" s="169" t="s">
        <v>208</v>
      </c>
      <c r="H64" s="169">
        <v>-21563</v>
      </c>
      <c r="I64" s="169">
        <v>-162620</v>
      </c>
      <c r="K64" s="170" t="str">
        <f t="shared" si="0"/>
        <v>Provisions and Costs</v>
      </c>
      <c r="L64" s="170" t="str">
        <f>IF(E64="","",IF(COUNTIFS(Table2[[#All],[De (Lote)]],Input_APM!F64)&gt;0,INDEX(Table2[[#All],[Para (Ticker Daniel)]],MATCH(Input_APM!F64,Table2[[#All],[De (Lote)]],0)),Input_APM!F64))</f>
        <v>Provision ETF Options USD_</v>
      </c>
      <c r="M64" s="170" t="str">
        <f t="shared" si="1"/>
        <v>EQTY.IntlUS.off</v>
      </c>
      <c r="N64" s="171">
        <f t="shared" si="2"/>
        <v>-21563</v>
      </c>
      <c r="O64" s="171">
        <f t="shared" si="3"/>
        <v>-162620</v>
      </c>
    </row>
    <row r="65" spans="5:15">
      <c r="E65" s="169" t="s">
        <v>243</v>
      </c>
      <c r="F65" s="169" t="s">
        <v>232</v>
      </c>
      <c r="G65" s="169" t="s">
        <v>208</v>
      </c>
      <c r="H65" s="169">
        <v>-1292117.8</v>
      </c>
      <c r="I65" s="169">
        <v>-347341.6</v>
      </c>
      <c r="K65" s="170" t="str">
        <f t="shared" si="0"/>
        <v>Provisions and Costs</v>
      </c>
      <c r="L65" s="170" t="str">
        <f>IF(E65="","",IF(COUNTIFS(Table2[[#All],[De (Lote)]],Input_APM!F65)&gt;0,INDEX(Table2[[#All],[Para (Ticker Daniel)]],MATCH(Input_APM!F65,Table2[[#All],[De (Lote)]],0)),Input_APM!F65))</f>
        <v>Provision ETF USD_</v>
      </c>
      <c r="M65" s="170" t="str">
        <f t="shared" si="1"/>
        <v>EQTY.IntlUS.off</v>
      </c>
      <c r="N65" s="171">
        <f t="shared" si="2"/>
        <v>-1292117.8</v>
      </c>
      <c r="O65" s="171">
        <f t="shared" si="3"/>
        <v>-347341.6</v>
      </c>
    </row>
    <row r="66" spans="5:15">
      <c r="E66" s="169" t="s">
        <v>243</v>
      </c>
      <c r="F66" s="169" t="s">
        <v>1054</v>
      </c>
      <c r="G66" s="169" t="s">
        <v>208</v>
      </c>
      <c r="H66" s="169">
        <v>-149704.44</v>
      </c>
      <c r="I66" s="169">
        <v>-294178.03999999998</v>
      </c>
      <c r="K66" s="170" t="str">
        <f t="shared" si="0"/>
        <v>Provisions and Costs</v>
      </c>
      <c r="L66" s="170" t="str">
        <f>IF(E66="","",IF(COUNTIFS(Table2[[#All],[De (Lote)]],Input_APM!F66)&gt;0,INDEX(Table2[[#All],[Para (Ticker Daniel)]],MATCH(Input_APM!F66,Table2[[#All],[De (Lote)]],0)),Input_APM!F66))</f>
        <v>Provision EUR Equity EUR_</v>
      </c>
      <c r="M66" s="170" t="str">
        <f t="shared" si="1"/>
        <v>EQTY.IntlUS.off</v>
      </c>
      <c r="N66" s="171">
        <f t="shared" si="2"/>
        <v>-149704.44</v>
      </c>
      <c r="O66" s="171">
        <f t="shared" si="3"/>
        <v>-294178.03999999998</v>
      </c>
    </row>
    <row r="67" spans="5:15">
      <c r="E67" s="169" t="s">
        <v>243</v>
      </c>
      <c r="F67" s="169" t="s">
        <v>1124</v>
      </c>
      <c r="G67" s="169" t="s">
        <v>208</v>
      </c>
      <c r="H67" s="169">
        <v>4906094.68</v>
      </c>
      <c r="I67" s="169">
        <v>0</v>
      </c>
      <c r="K67" s="170" t="str">
        <f t="shared" ref="K67:K130" si="4">IF(E67="","",E67)</f>
        <v>Provisions and Costs</v>
      </c>
      <c r="L67" s="170" t="str">
        <f>IF(E67="","",IF(COUNTIFS(Table2[[#All],[De (Lote)]],Input_APM!F67)&gt;0,INDEX(Table2[[#All],[Para (Ticker Daniel)]],MATCH(Input_APM!F67,Table2[[#All],[De (Lote)]],0)),Input_APM!F67))</f>
        <v>Provision Global Bonds USD_</v>
      </c>
      <c r="M67" s="170" t="str">
        <f t="shared" ref="M67:M130" si="5">IF(E67="","",G67)</f>
        <v>EQTY.IntlUS.off</v>
      </c>
      <c r="N67" s="171">
        <f t="shared" ref="N67:N130" si="6">IF(E67="","",H67)</f>
        <v>4906094.68</v>
      </c>
      <c r="O67" s="171">
        <f t="shared" ref="O67:O130" si="7">IF(E67="","",I67)</f>
        <v>0</v>
      </c>
    </row>
    <row r="68" spans="5:15">
      <c r="E68" s="169" t="s">
        <v>243</v>
      </c>
      <c r="F68" s="169" t="s">
        <v>345</v>
      </c>
      <c r="G68" s="169" t="s">
        <v>208</v>
      </c>
      <c r="H68" s="169">
        <v>-37452.0600000001</v>
      </c>
      <c r="I68" s="169">
        <v>1064183.1299999999</v>
      </c>
      <c r="K68" s="170" t="str">
        <f t="shared" si="4"/>
        <v>Provisions and Costs</v>
      </c>
      <c r="L68" s="170" t="str">
        <f>IF(E68="","",IF(COUNTIFS(Table2[[#All],[De (Lote)]],Input_APM!F68)&gt;0,INDEX(Table2[[#All],[Para (Ticker Daniel)]],MATCH(Input_APM!F68,Table2[[#All],[De (Lote)]],0)),Input_APM!F68))</f>
        <v>Provision NYSE USD_</v>
      </c>
      <c r="M68" s="170" t="str">
        <f t="shared" si="5"/>
        <v>EQTY.IntlUS.off</v>
      </c>
      <c r="N68" s="171">
        <f t="shared" si="6"/>
        <v>-37452.0600000001</v>
      </c>
      <c r="O68" s="171">
        <f t="shared" si="7"/>
        <v>1064183.1299999999</v>
      </c>
    </row>
    <row r="69" spans="5:15">
      <c r="E69" s="169" t="s">
        <v>243</v>
      </c>
      <c r="F69" s="169" t="s">
        <v>1125</v>
      </c>
      <c r="G69" s="169" t="s">
        <v>208</v>
      </c>
      <c r="H69" s="169">
        <v>-4085058.22</v>
      </c>
      <c r="I69" s="169">
        <v>0</v>
      </c>
      <c r="K69" s="170" t="str">
        <f t="shared" si="4"/>
        <v>Provisions and Costs</v>
      </c>
      <c r="L69" s="170" t="str">
        <f>IF(E69="","",IF(COUNTIFS(Table2[[#All],[De (Lote)]],Input_APM!F69)&gt;0,INDEX(Table2[[#All],[Para (Ticker Daniel)]],MATCH(Input_APM!F69,Table2[[#All],[De (Lote)]],0)),Input_APM!F69))</f>
        <v>Provision TBOND USD_</v>
      </c>
      <c r="M69" s="170" t="str">
        <f t="shared" si="5"/>
        <v>EQTY.IntlUS.off</v>
      </c>
      <c r="N69" s="171">
        <f t="shared" si="6"/>
        <v>-4085058.22</v>
      </c>
      <c r="O69" s="171">
        <f t="shared" si="7"/>
        <v>0</v>
      </c>
    </row>
    <row r="70" spans="5:15">
      <c r="E70" s="169" t="s">
        <v>243</v>
      </c>
      <c r="F70" s="169" t="s">
        <v>261</v>
      </c>
      <c r="G70" s="169" t="s">
        <v>208</v>
      </c>
      <c r="H70" s="169">
        <v>17954</v>
      </c>
      <c r="I70" s="169">
        <v>-243712</v>
      </c>
      <c r="K70" s="170" t="str">
        <f t="shared" si="4"/>
        <v>Provisions and Costs</v>
      </c>
      <c r="L70" s="170" t="str">
        <f>IF(E70="","",IF(COUNTIFS(Table2[[#All],[De (Lote)]],Input_APM!F70)&gt;0,INDEX(Table2[[#All],[Para (Ticker Daniel)]],MATCH(Input_APM!F70,Table2[[#All],[De (Lote)]],0)),Input_APM!F70))</f>
        <v>Provision US Equity Options USD_</v>
      </c>
      <c r="M70" s="170" t="str">
        <f t="shared" si="5"/>
        <v>EQTY.IntlUS.off</v>
      </c>
      <c r="N70" s="171">
        <f t="shared" si="6"/>
        <v>17954</v>
      </c>
      <c r="O70" s="171">
        <f t="shared" si="7"/>
        <v>-243712</v>
      </c>
    </row>
    <row r="71" spans="5:15">
      <c r="E71" s="169" t="s">
        <v>243</v>
      </c>
      <c r="F71" s="169" t="s">
        <v>233</v>
      </c>
      <c r="G71" s="169" t="s">
        <v>208</v>
      </c>
      <c r="H71" s="169">
        <v>-3275521.61</v>
      </c>
      <c r="I71" s="169">
        <v>-917045.57</v>
      </c>
      <c r="K71" s="170" t="str">
        <f t="shared" si="4"/>
        <v>Provisions and Costs</v>
      </c>
      <c r="L71" s="170" t="str">
        <f>IF(E71="","",IF(COUNTIFS(Table2[[#All],[De (Lote)]],Input_APM!F71)&gt;0,INDEX(Table2[[#All],[Para (Ticker Daniel)]],MATCH(Input_APM!F71,Table2[[#All],[De (Lote)]],0)),Input_APM!F71))</f>
        <v>Provision US Equity USD_</v>
      </c>
      <c r="M71" s="170" t="str">
        <f t="shared" si="5"/>
        <v>EQTY.IntlUS.off</v>
      </c>
      <c r="N71" s="171">
        <f t="shared" si="6"/>
        <v>-3275521.61</v>
      </c>
      <c r="O71" s="171">
        <f t="shared" si="7"/>
        <v>-917045.57</v>
      </c>
    </row>
    <row r="72" spans="5:15">
      <c r="E72" s="169" t="s">
        <v>248</v>
      </c>
      <c r="F72" s="169" t="s">
        <v>1104</v>
      </c>
      <c r="G72" s="169" t="s">
        <v>208</v>
      </c>
      <c r="H72" s="169">
        <v>-940</v>
      </c>
      <c r="I72" s="169">
        <v>0</v>
      </c>
      <c r="K72" s="170" t="str">
        <f t="shared" si="4"/>
        <v>ETF Options</v>
      </c>
      <c r="L72" s="170" t="str">
        <f>IF(E72="","",IF(COUNTIFS(Table2[[#All],[De (Lote)]],Input_APM!F72)&gt;0,INDEX(Table2[[#All],[Para (Ticker Daniel)]],MATCH(Input_APM!F72,Table2[[#All],[De (Lote)]],0)),Input_APM!F72))</f>
        <v>QQQ US 02/12/26 P598</v>
      </c>
      <c r="M72" s="170" t="str">
        <f t="shared" si="5"/>
        <v>EQTY.IntlUS.off</v>
      </c>
      <c r="N72" s="171">
        <f t="shared" si="6"/>
        <v>-940</v>
      </c>
      <c r="O72" s="171">
        <f t="shared" si="7"/>
        <v>0</v>
      </c>
    </row>
    <row r="73" spans="5:15">
      <c r="E73" s="169" t="s">
        <v>248</v>
      </c>
      <c r="F73" s="169" t="s">
        <v>1103</v>
      </c>
      <c r="G73" s="169" t="s">
        <v>208</v>
      </c>
      <c r="H73" s="169">
        <v>940</v>
      </c>
      <c r="I73" s="169">
        <v>0</v>
      </c>
      <c r="K73" s="170" t="str">
        <f t="shared" si="4"/>
        <v>ETF Options</v>
      </c>
      <c r="L73" s="170" t="str">
        <f>IF(E73="","",IF(COUNTIFS(Table2[[#All],[De (Lote)]],Input_APM!F73)&gt;0,INDEX(Table2[[#All],[Para (Ticker Daniel)]],MATCH(Input_APM!F73,Table2[[#All],[De (Lote)]],0)),Input_APM!F73))</f>
        <v>QQQ US 02/12/26 P599</v>
      </c>
      <c r="M73" s="170" t="str">
        <f t="shared" si="5"/>
        <v>EQTY.IntlUS.off</v>
      </c>
      <c r="N73" s="171">
        <f t="shared" si="6"/>
        <v>940</v>
      </c>
      <c r="O73" s="171">
        <f t="shared" si="7"/>
        <v>0</v>
      </c>
    </row>
    <row r="74" spans="5:15">
      <c r="E74" s="169" t="s">
        <v>248</v>
      </c>
      <c r="F74" s="169" t="s">
        <v>1066</v>
      </c>
      <c r="G74" s="169" t="s">
        <v>208</v>
      </c>
      <c r="H74" s="169">
        <v>0</v>
      </c>
      <c r="I74" s="169">
        <v>-470</v>
      </c>
      <c r="K74" s="170" t="str">
        <f t="shared" si="4"/>
        <v>ETF Options</v>
      </c>
      <c r="L74" s="170" t="str">
        <f>IF(E74="","",IF(COUNTIFS(Table2[[#All],[De (Lote)]],Input_APM!F74)&gt;0,INDEX(Table2[[#All],[Para (Ticker Daniel)]],MATCH(Input_APM!F74,Table2[[#All],[De (Lote)]],0)),Input_APM!F74))</f>
        <v>QQQ US 02/13/26 P605</v>
      </c>
      <c r="M74" s="170" t="str">
        <f t="shared" si="5"/>
        <v>EQTY.IntlUS.off</v>
      </c>
      <c r="N74" s="171">
        <f t="shared" si="6"/>
        <v>0</v>
      </c>
      <c r="O74" s="171">
        <f t="shared" si="7"/>
        <v>-470</v>
      </c>
    </row>
    <row r="75" spans="5:15">
      <c r="E75" s="169" t="s">
        <v>248</v>
      </c>
      <c r="F75" s="169" t="s">
        <v>1065</v>
      </c>
      <c r="G75" s="169" t="s">
        <v>208</v>
      </c>
      <c r="H75" s="169">
        <v>0</v>
      </c>
      <c r="I75" s="169">
        <v>470</v>
      </c>
      <c r="K75" s="170" t="str">
        <f t="shared" si="4"/>
        <v>ETF Options</v>
      </c>
      <c r="L75" s="170" t="str">
        <f>IF(E75="","",IF(COUNTIFS(Table2[[#All],[De (Lote)]],Input_APM!F75)&gt;0,INDEX(Table2[[#All],[Para (Ticker Daniel)]],MATCH(Input_APM!F75,Table2[[#All],[De (Lote)]],0)),Input_APM!F75))</f>
        <v>QQQ US 02/13/26 P610</v>
      </c>
      <c r="M75" s="170" t="str">
        <f t="shared" si="5"/>
        <v>EQTY.IntlUS.off</v>
      </c>
      <c r="N75" s="171">
        <f t="shared" si="6"/>
        <v>0</v>
      </c>
      <c r="O75" s="171">
        <f t="shared" si="7"/>
        <v>470</v>
      </c>
    </row>
    <row r="76" spans="5:15">
      <c r="E76" s="169" t="s">
        <v>248</v>
      </c>
      <c r="F76" s="169" t="s">
        <v>1068</v>
      </c>
      <c r="G76" s="169" t="s">
        <v>208</v>
      </c>
      <c r="H76" s="169">
        <v>-846</v>
      </c>
      <c r="I76" s="169">
        <v>-282</v>
      </c>
      <c r="K76" s="170" t="str">
        <f t="shared" si="4"/>
        <v>ETF Options</v>
      </c>
      <c r="L76" s="170" t="str">
        <f>IF(E76="","",IF(COUNTIFS(Table2[[#All],[De (Lote)]],Input_APM!F76)&gt;0,INDEX(Table2[[#All],[Para (Ticker Daniel)]],MATCH(Input_APM!F76,Table2[[#All],[De (Lote)]],0)),Input_APM!F76))</f>
        <v>QQQ US 02/20/26 P590</v>
      </c>
      <c r="M76" s="170" t="str">
        <f t="shared" si="5"/>
        <v>EQTY.IntlUS.off</v>
      </c>
      <c r="N76" s="171">
        <f t="shared" si="6"/>
        <v>-846</v>
      </c>
      <c r="O76" s="171">
        <f t="shared" si="7"/>
        <v>-282</v>
      </c>
    </row>
    <row r="77" spans="5:15">
      <c r="E77" s="169" t="s">
        <v>248</v>
      </c>
      <c r="F77" s="169" t="s">
        <v>1096</v>
      </c>
      <c r="G77" s="169" t="s">
        <v>208</v>
      </c>
      <c r="H77" s="169">
        <v>846</v>
      </c>
      <c r="I77" s="169">
        <v>0</v>
      </c>
      <c r="K77" s="170" t="str">
        <f t="shared" si="4"/>
        <v>ETF Options</v>
      </c>
      <c r="L77" s="170" t="str">
        <f>IF(E77="","",IF(COUNTIFS(Table2[[#All],[De (Lote)]],Input_APM!F77)&gt;0,INDEX(Table2[[#All],[Para (Ticker Daniel)]],MATCH(Input_APM!F77,Table2[[#All],[De (Lote)]],0)),Input_APM!F77))</f>
        <v>QQQ US 02/20/26 P600</v>
      </c>
      <c r="M77" s="170" t="str">
        <f t="shared" si="5"/>
        <v>EQTY.IntlUS.off</v>
      </c>
      <c r="N77" s="171">
        <f t="shared" si="6"/>
        <v>846</v>
      </c>
      <c r="O77" s="171">
        <f t="shared" si="7"/>
        <v>0</v>
      </c>
    </row>
    <row r="78" spans="5:15">
      <c r="E78" s="169" t="s">
        <v>248</v>
      </c>
      <c r="F78" s="169" t="s">
        <v>1067</v>
      </c>
      <c r="G78" s="169" t="s">
        <v>208</v>
      </c>
      <c r="H78" s="169">
        <v>0</v>
      </c>
      <c r="I78" s="169">
        <v>282</v>
      </c>
      <c r="K78" s="170" t="str">
        <f t="shared" si="4"/>
        <v>ETF Options</v>
      </c>
      <c r="L78" s="170" t="str">
        <f>IF(E78="","",IF(COUNTIFS(Table2[[#All],[De (Lote)]],Input_APM!F78)&gt;0,INDEX(Table2[[#All],[Para (Ticker Daniel)]],MATCH(Input_APM!F78,Table2[[#All],[De (Lote)]],0)),Input_APM!F78))</f>
        <v>QQQ US 02/20/26 P605</v>
      </c>
      <c r="M78" s="170" t="str">
        <f t="shared" si="5"/>
        <v>EQTY.IntlUS.off</v>
      </c>
      <c r="N78" s="171">
        <f t="shared" si="6"/>
        <v>0</v>
      </c>
      <c r="O78" s="171">
        <f t="shared" si="7"/>
        <v>282</v>
      </c>
    </row>
    <row r="79" spans="5:15">
      <c r="E79" s="169" t="s">
        <v>248</v>
      </c>
      <c r="F79" s="169" t="s">
        <v>1097</v>
      </c>
      <c r="G79" s="169" t="s">
        <v>208</v>
      </c>
      <c r="H79" s="169">
        <v>-188</v>
      </c>
      <c r="I79" s="169">
        <v>0</v>
      </c>
      <c r="K79" s="170" t="str">
        <f t="shared" si="4"/>
        <v>ETF Options</v>
      </c>
      <c r="L79" s="170" t="str">
        <f>IF(E79="","",IF(COUNTIFS(Table2[[#All],[De (Lote)]],Input_APM!F79)&gt;0,INDEX(Table2[[#All],[Para (Ticker Daniel)]],MATCH(Input_APM!F79,Table2[[#All],[De (Lote)]],0)),Input_APM!F79))</f>
        <v>QQQ US 02/27/26 P580</v>
      </c>
      <c r="M79" s="170" t="str">
        <f t="shared" si="5"/>
        <v>EQTY.IntlUS.off</v>
      </c>
      <c r="N79" s="171">
        <f t="shared" si="6"/>
        <v>-188</v>
      </c>
      <c r="O79" s="171">
        <f t="shared" si="7"/>
        <v>0</v>
      </c>
    </row>
    <row r="80" spans="5:15">
      <c r="E80" s="169" t="s">
        <v>248</v>
      </c>
      <c r="F80" s="169" t="s">
        <v>1095</v>
      </c>
      <c r="G80" s="169" t="s">
        <v>208</v>
      </c>
      <c r="H80" s="169">
        <v>188</v>
      </c>
      <c r="I80" s="169">
        <v>0</v>
      </c>
      <c r="K80" s="170" t="str">
        <f t="shared" si="4"/>
        <v>ETF Options</v>
      </c>
      <c r="L80" s="170" t="str">
        <f>IF(E80="","",IF(COUNTIFS(Table2[[#All],[De (Lote)]],Input_APM!F80)&gt;0,INDEX(Table2[[#All],[Para (Ticker Daniel)]],MATCH(Input_APM!F80,Table2[[#All],[De (Lote)]],0)),Input_APM!F80))</f>
        <v>QQQ US 02/27/26 P590</v>
      </c>
      <c r="M80" s="170" t="str">
        <f t="shared" si="5"/>
        <v>EQTY.IntlUS.off</v>
      </c>
      <c r="N80" s="171">
        <f t="shared" si="6"/>
        <v>188</v>
      </c>
      <c r="O80" s="171">
        <f t="shared" si="7"/>
        <v>0</v>
      </c>
    </row>
    <row r="81" spans="5:15">
      <c r="E81" s="169" t="s">
        <v>242</v>
      </c>
      <c r="F81" s="169" t="s">
        <v>790</v>
      </c>
      <c r="G81" s="169" t="s">
        <v>208</v>
      </c>
      <c r="H81" s="169">
        <v>28071</v>
      </c>
      <c r="I81" s="169">
        <v>28071</v>
      </c>
      <c r="K81" s="170" t="str">
        <f t="shared" si="4"/>
        <v>US Equity</v>
      </c>
      <c r="L81" s="170" t="str">
        <f>IF(E81="","",IF(COUNTIFS(Table2[[#All],[De (Lote)]],Input_APM!F81)&gt;0,INDEX(Table2[[#All],[Para (Ticker Daniel)]],MATCH(Input_APM!F81,Table2[[#All],[De (Lote)]],0)),Input_APM!F81))</f>
        <v>RIOT</v>
      </c>
      <c r="M81" s="170" t="str">
        <f t="shared" si="5"/>
        <v>EQTY.IntlUS.off</v>
      </c>
      <c r="N81" s="171">
        <f t="shared" si="6"/>
        <v>28071</v>
      </c>
      <c r="O81" s="171">
        <f t="shared" si="7"/>
        <v>28071</v>
      </c>
    </row>
    <row r="82" spans="5:15">
      <c r="E82" s="169" t="s">
        <v>792</v>
      </c>
      <c r="F82" s="169" t="s">
        <v>793</v>
      </c>
      <c r="G82" s="169" t="s">
        <v>208</v>
      </c>
      <c r="H82" s="169">
        <v>655</v>
      </c>
      <c r="I82" s="169">
        <v>655</v>
      </c>
      <c r="K82" s="170" t="str">
        <f t="shared" si="4"/>
        <v>Equity Total Return Swap</v>
      </c>
      <c r="L82" s="170" t="str">
        <f>IF(E82="","",IF(COUNTIFS(Table2[[#All],[De (Lote)]],Input_APM!F82)&gt;0,INDEX(Table2[[#All],[Para (Ticker Daniel)]],MATCH(Input_APM!F82,Table2[[#All],[De (Lote)]],0)),Input_APM!F82))</f>
        <v>000660 KS</v>
      </c>
      <c r="M82" s="170" t="str">
        <f t="shared" si="5"/>
        <v>EQTY.IntlUS.off</v>
      </c>
      <c r="N82" s="171">
        <f t="shared" si="6"/>
        <v>655</v>
      </c>
      <c r="O82" s="171">
        <f t="shared" si="7"/>
        <v>655</v>
      </c>
    </row>
    <row r="83" spans="5:15">
      <c r="E83" s="169" t="s">
        <v>792</v>
      </c>
      <c r="F83" s="169" t="s">
        <v>1029</v>
      </c>
      <c r="G83" s="169" t="s">
        <v>208</v>
      </c>
      <c r="H83" s="169">
        <v>160</v>
      </c>
      <c r="I83" s="169">
        <v>160</v>
      </c>
      <c r="K83" s="170" t="str">
        <f t="shared" si="4"/>
        <v>Equity Total Return Swap</v>
      </c>
      <c r="L83" s="170" t="str">
        <f>IF(E83="","",IF(COUNTIFS(Table2[[#All],[De (Lote)]],Input_APM!F83)&gt;0,INDEX(Table2[[#All],[Para (Ticker Daniel)]],MATCH(Input_APM!F83,Table2[[#All],[De (Lote)]],0)),Input_APM!F83))</f>
        <v>SWAP 000660 KS 10FEB2026 20APR2026 592.6251</v>
      </c>
      <c r="M83" s="170" t="str">
        <f t="shared" si="5"/>
        <v>EQTY.IntlUS.off</v>
      </c>
      <c r="N83" s="171">
        <f t="shared" si="6"/>
        <v>160</v>
      </c>
      <c r="O83" s="171">
        <f t="shared" si="7"/>
        <v>160</v>
      </c>
    </row>
    <row r="84" spans="5:15">
      <c r="E84" s="169" t="s">
        <v>792</v>
      </c>
      <c r="F84" s="169" t="s">
        <v>877</v>
      </c>
      <c r="G84" s="169" t="s">
        <v>208</v>
      </c>
      <c r="H84" s="169">
        <v>643</v>
      </c>
      <c r="I84" s="169">
        <v>643</v>
      </c>
      <c r="K84" s="170" t="str">
        <f t="shared" si="4"/>
        <v>Equity Total Return Swap</v>
      </c>
      <c r="L84" s="170" t="str">
        <f>IF(E84="","",IF(COUNTIFS(Table2[[#All],[De (Lote)]],Input_APM!F84)&gt;0,INDEX(Table2[[#All],[Para (Ticker Daniel)]],MATCH(Input_APM!F84,Table2[[#All],[De (Lote)]],0)),Input_APM!F84))</f>
        <v>SWAP 000660 KS 26JAN2026 26JAN2027 509.6192</v>
      </c>
      <c r="M84" s="170" t="str">
        <f t="shared" si="5"/>
        <v>EQTY.IntlUS.off</v>
      </c>
      <c r="N84" s="171">
        <f t="shared" si="6"/>
        <v>643</v>
      </c>
      <c r="O84" s="171">
        <f t="shared" si="7"/>
        <v>643</v>
      </c>
    </row>
    <row r="85" spans="5:15">
      <c r="E85" s="169" t="s">
        <v>792</v>
      </c>
      <c r="F85" s="169" t="s">
        <v>1030</v>
      </c>
      <c r="G85" s="169" t="s">
        <v>208</v>
      </c>
      <c r="H85" s="169">
        <v>2901</v>
      </c>
      <c r="I85" s="169">
        <v>2901</v>
      </c>
      <c r="K85" s="170" t="str">
        <f t="shared" si="4"/>
        <v>Equity Total Return Swap</v>
      </c>
      <c r="L85" s="170" t="str">
        <f>IF(E85="","",IF(COUNTIFS(Table2[[#All],[De (Lote)]],Input_APM!F85)&gt;0,INDEX(Table2[[#All],[Para (Ticker Daniel)]],MATCH(Input_APM!F85,Table2[[#All],[De (Lote)]],0)),Input_APM!F85))</f>
        <v>SWAP 005930 KS 03FEB2026 20APR2026 113.36</v>
      </c>
      <c r="M85" s="170" t="str">
        <f t="shared" si="5"/>
        <v>EQTY.IntlUS.off</v>
      </c>
      <c r="N85" s="171">
        <f t="shared" si="6"/>
        <v>2901</v>
      </c>
      <c r="O85" s="171">
        <f t="shared" si="7"/>
        <v>2901</v>
      </c>
    </row>
    <row r="86" spans="5:15">
      <c r="E86" s="169" t="s">
        <v>792</v>
      </c>
      <c r="F86" s="169" t="s">
        <v>1031</v>
      </c>
      <c r="G86" s="169" t="s">
        <v>208</v>
      </c>
      <c r="H86" s="169">
        <v>2901</v>
      </c>
      <c r="I86" s="169">
        <v>2901</v>
      </c>
      <c r="K86" s="170" t="str">
        <f t="shared" si="4"/>
        <v>Equity Total Return Swap</v>
      </c>
      <c r="L86" s="170" t="str">
        <f>IF(E86="","",IF(COUNTIFS(Table2[[#All],[De (Lote)]],Input_APM!F86)&gt;0,INDEX(Table2[[#All],[Para (Ticker Daniel)]],MATCH(Input_APM!F86,Table2[[#All],[De (Lote)]],0)),Input_APM!F86))</f>
        <v>SWAP 005930 KS 04FEB2026 20APR2026 105.82</v>
      </c>
      <c r="M86" s="170" t="str">
        <f t="shared" si="5"/>
        <v>EQTY.IntlUS.off</v>
      </c>
      <c r="N86" s="171">
        <f t="shared" si="6"/>
        <v>2901</v>
      </c>
      <c r="O86" s="171">
        <f t="shared" si="7"/>
        <v>2901</v>
      </c>
    </row>
    <row r="87" spans="5:15">
      <c r="E87" s="169" t="s">
        <v>792</v>
      </c>
      <c r="F87" s="169" t="s">
        <v>1032</v>
      </c>
      <c r="G87" s="169" t="s">
        <v>208</v>
      </c>
      <c r="H87" s="169">
        <v>845</v>
      </c>
      <c r="I87" s="169">
        <v>845</v>
      </c>
      <c r="K87" s="170" t="str">
        <f t="shared" si="4"/>
        <v>Equity Total Return Swap</v>
      </c>
      <c r="L87" s="170" t="str">
        <f>IF(E87="","",IF(COUNTIFS(Table2[[#All],[De (Lote)]],Input_APM!F87)&gt;0,INDEX(Table2[[#All],[Para (Ticker Daniel)]],MATCH(Input_APM!F87,Table2[[#All],[De (Lote)]],0)),Input_APM!F87))</f>
        <v>SWAP 005930 KS 10FEB2026 20APR2026 110.873</v>
      </c>
      <c r="M87" s="170" t="str">
        <f t="shared" si="5"/>
        <v>EQTY.IntlUS.off</v>
      </c>
      <c r="N87" s="171">
        <f t="shared" si="6"/>
        <v>845</v>
      </c>
      <c r="O87" s="171">
        <f t="shared" si="7"/>
        <v>845</v>
      </c>
    </row>
    <row r="88" spans="5:15">
      <c r="E88" s="169" t="s">
        <v>792</v>
      </c>
      <c r="F88" s="169" t="s">
        <v>1055</v>
      </c>
      <c r="G88" s="169" t="s">
        <v>208</v>
      </c>
      <c r="H88" s="169">
        <v>16860</v>
      </c>
      <c r="I88" s="169">
        <v>16860</v>
      </c>
      <c r="K88" s="170" t="str">
        <f t="shared" si="4"/>
        <v>Equity Total Return Swap</v>
      </c>
      <c r="L88" s="170" t="str">
        <f>IF(E88="","",IF(COUNTIFS(Table2[[#All],[De (Lote)]],Input_APM!F88)&gt;0,INDEX(Table2[[#All],[Para (Ticker Daniel)]],MATCH(Input_APM!F88,Table2[[#All],[De (Lote)]],0)),Input_APM!F88))</f>
        <v>SWAP 2330 TT 11FEB2026 20APR2026 55.7697</v>
      </c>
      <c r="M88" s="170" t="str">
        <f t="shared" si="5"/>
        <v>EQTY.IntlUS.off</v>
      </c>
      <c r="N88" s="171">
        <f t="shared" si="6"/>
        <v>16860</v>
      </c>
      <c r="O88" s="171">
        <f t="shared" si="7"/>
        <v>16860</v>
      </c>
    </row>
    <row r="89" spans="5:15">
      <c r="E89" s="169" t="s">
        <v>792</v>
      </c>
      <c r="F89" s="169" t="s">
        <v>1033</v>
      </c>
      <c r="G89" s="169" t="s">
        <v>208</v>
      </c>
      <c r="H89" s="169">
        <v>268</v>
      </c>
      <c r="I89" s="169">
        <v>268</v>
      </c>
      <c r="K89" s="170" t="str">
        <f t="shared" si="4"/>
        <v>Equity Total Return Swap</v>
      </c>
      <c r="L89" s="170" t="str">
        <f>IF(E89="","",IF(COUNTIFS(Table2[[#All],[De (Lote)]],Input_APM!F89)&gt;0,INDEX(Table2[[#All],[Para (Ticker Daniel)]],MATCH(Input_APM!F89,Table2[[#All],[De (Lote)]],0)),Input_APM!F89))</f>
        <v>SWAP 402340 KS 09FEB2026 20APR2026 348.49</v>
      </c>
      <c r="M89" s="170" t="str">
        <f t="shared" si="5"/>
        <v>EQTY.IntlUS.off</v>
      </c>
      <c r="N89" s="171">
        <f t="shared" si="6"/>
        <v>268</v>
      </c>
      <c r="O89" s="171">
        <f t="shared" si="7"/>
        <v>268</v>
      </c>
    </row>
    <row r="90" spans="5:15">
      <c r="E90" s="169" t="s">
        <v>792</v>
      </c>
      <c r="F90" s="169" t="s">
        <v>1034</v>
      </c>
      <c r="G90" s="169" t="s">
        <v>208</v>
      </c>
      <c r="H90" s="169">
        <v>587</v>
      </c>
      <c r="I90" s="169">
        <v>587</v>
      </c>
      <c r="K90" s="170" t="str">
        <f t="shared" si="4"/>
        <v>Equity Total Return Swap</v>
      </c>
      <c r="L90" s="170" t="str">
        <f>IF(E90="","",IF(COUNTIFS(Table2[[#All],[De (Lote)]],Input_APM!F90)&gt;0,INDEX(Table2[[#All],[Para (Ticker Daniel)]],MATCH(Input_APM!F90,Table2[[#All],[De (Lote)]],0)),Input_APM!F90))</f>
        <v>SWAP 402340 KS 09FEB2026 20APR2026 390.92</v>
      </c>
      <c r="M90" s="170" t="str">
        <f t="shared" si="5"/>
        <v>EQTY.IntlUS.off</v>
      </c>
      <c r="N90" s="171">
        <f t="shared" si="6"/>
        <v>587</v>
      </c>
      <c r="O90" s="171">
        <f t="shared" si="7"/>
        <v>587</v>
      </c>
    </row>
    <row r="91" spans="5:15">
      <c r="E91" s="169" t="s">
        <v>792</v>
      </c>
      <c r="F91" s="169" t="s">
        <v>1035</v>
      </c>
      <c r="G91" s="169" t="s">
        <v>208</v>
      </c>
      <c r="H91" s="169">
        <v>254</v>
      </c>
      <c r="I91" s="169">
        <v>254</v>
      </c>
      <c r="K91" s="170" t="str">
        <f t="shared" si="4"/>
        <v>Equity Total Return Swap</v>
      </c>
      <c r="L91" s="170" t="str">
        <f>IF(E91="","",IF(COUNTIFS(Table2[[#All],[De (Lote)]],Input_APM!F91)&gt;0,INDEX(Table2[[#All],[Para (Ticker Daniel)]],MATCH(Input_APM!F91,Table2[[#All],[De (Lote)]],0)),Input_APM!F91))</f>
        <v>SWAP 402340 KS 10FEB2026 20APR2026 377.6597</v>
      </c>
      <c r="M91" s="170" t="str">
        <f t="shared" si="5"/>
        <v>EQTY.IntlUS.off</v>
      </c>
      <c r="N91" s="171">
        <f t="shared" si="6"/>
        <v>254</v>
      </c>
      <c r="O91" s="171">
        <f t="shared" si="7"/>
        <v>254</v>
      </c>
    </row>
    <row r="92" spans="5:15">
      <c r="E92" s="169" t="s">
        <v>792</v>
      </c>
      <c r="F92" s="169" t="s">
        <v>1056</v>
      </c>
      <c r="G92" s="169" t="s">
        <v>208</v>
      </c>
      <c r="H92" s="169">
        <v>271</v>
      </c>
      <c r="I92" s="169">
        <v>271</v>
      </c>
      <c r="K92" s="170" t="str">
        <f t="shared" si="4"/>
        <v>Equity Total Return Swap</v>
      </c>
      <c r="L92" s="170" t="str">
        <f>IF(E92="","",IF(COUNTIFS(Table2[[#All],[De (Lote)]],Input_APM!F92)&gt;0,INDEX(Table2[[#All],[Para (Ticker Daniel)]],MATCH(Input_APM!F92,Table2[[#All],[De (Lote)]],0)),Input_APM!F92))</f>
        <v>SWAP 402340 KS 11FEB2026 20APR2026 350.7653</v>
      </c>
      <c r="M92" s="170" t="str">
        <f t="shared" si="5"/>
        <v>EQTY.IntlUS.off</v>
      </c>
      <c r="N92" s="171">
        <f t="shared" si="6"/>
        <v>271</v>
      </c>
      <c r="O92" s="171">
        <f t="shared" si="7"/>
        <v>271</v>
      </c>
    </row>
    <row r="93" spans="5:15">
      <c r="E93" s="169" t="s">
        <v>938</v>
      </c>
      <c r="F93" s="169" t="s">
        <v>939</v>
      </c>
      <c r="G93" s="169" t="s">
        <v>208</v>
      </c>
      <c r="H93" s="169">
        <v>22373928</v>
      </c>
      <c r="I93" s="169">
        <v>18292060</v>
      </c>
      <c r="K93" s="170" t="str">
        <f t="shared" si="4"/>
        <v>TBOND</v>
      </c>
      <c r="L93" s="170" t="str">
        <f>IF(E93="","",IF(COUNTIFS(Table2[[#All],[De (Lote)]],Input_APM!F93)&gt;0,INDEX(Table2[[#All],[Para (Ticker Daniel)]],MATCH(Input_APM!F93,Table2[[#All],[De (Lote)]],0)),Input_APM!F93))</f>
        <v>T 4.000% 11/15/35</v>
      </c>
      <c r="M93" s="170" t="str">
        <f t="shared" si="5"/>
        <v>EQTY.IntlUS.off</v>
      </c>
      <c r="N93" s="171">
        <f t="shared" si="6"/>
        <v>22373928</v>
      </c>
      <c r="O93" s="171">
        <f t="shared" si="7"/>
        <v>18292060</v>
      </c>
    </row>
    <row r="94" spans="5:15">
      <c r="E94" s="169" t="s">
        <v>8</v>
      </c>
      <c r="F94" s="169" t="s">
        <v>44</v>
      </c>
      <c r="G94" s="169" t="s">
        <v>208</v>
      </c>
      <c r="H94" s="169">
        <v>-4697</v>
      </c>
      <c r="I94" s="169">
        <v>-4697</v>
      </c>
      <c r="K94" s="170" t="str">
        <f t="shared" si="4"/>
        <v>ADR</v>
      </c>
      <c r="L94" s="170" t="str">
        <f>IF(E94="","",IF(COUNTIFS(Table2[[#All],[De (Lote)]],Input_APM!F94)&gt;0,INDEX(Table2[[#All],[Para (Ticker Daniel)]],MATCH(Input_APM!F94,Table2[[#All],[De (Lote)]],0)),Input_APM!F94))</f>
        <v>TSM</v>
      </c>
      <c r="M94" s="170" t="str">
        <f t="shared" si="5"/>
        <v>EQTY.IntlUS.off</v>
      </c>
      <c r="N94" s="171">
        <f t="shared" si="6"/>
        <v>-4697</v>
      </c>
      <c r="O94" s="171">
        <f t="shared" si="7"/>
        <v>-4697</v>
      </c>
    </row>
    <row r="95" spans="5:15">
      <c r="E95" s="169" t="s">
        <v>251</v>
      </c>
      <c r="F95" s="169" t="s">
        <v>820</v>
      </c>
      <c r="G95" s="169" t="s">
        <v>208</v>
      </c>
      <c r="H95" s="169">
        <v>1453</v>
      </c>
      <c r="I95" s="169">
        <v>1453</v>
      </c>
      <c r="K95" s="170" t="str">
        <f t="shared" si="4"/>
        <v>ADR Options</v>
      </c>
      <c r="L95" s="170" t="str">
        <f>IF(E95="","",IF(COUNTIFS(Table2[[#All],[De (Lote)]],Input_APM!F95)&gt;0,INDEX(Table2[[#All],[Para (Ticker Daniel)]],MATCH(Input_APM!F95,Table2[[#All],[De (Lote)]],0)),Input_APM!F95))</f>
        <v>TSM US 06/18/26 C340</v>
      </c>
      <c r="M95" s="170" t="str">
        <f t="shared" si="5"/>
        <v>EQTY.IntlUS.off</v>
      </c>
      <c r="N95" s="171">
        <f t="shared" si="6"/>
        <v>1453</v>
      </c>
      <c r="O95" s="171">
        <f t="shared" si="7"/>
        <v>1453</v>
      </c>
    </row>
    <row r="96" spans="5:15">
      <c r="E96" s="169" t="s">
        <v>251</v>
      </c>
      <c r="F96" s="169" t="s">
        <v>821</v>
      </c>
      <c r="G96" s="169" t="s">
        <v>208</v>
      </c>
      <c r="H96" s="169">
        <v>-1195</v>
      </c>
      <c r="I96" s="169">
        <v>-1195</v>
      </c>
      <c r="K96" s="170" t="str">
        <f t="shared" si="4"/>
        <v>ADR Options</v>
      </c>
      <c r="L96" s="170" t="str">
        <f>IF(E96="","",IF(COUNTIFS(Table2[[#All],[De (Lote)]],Input_APM!F96)&gt;0,INDEX(Table2[[#All],[Para (Ticker Daniel)]],MATCH(Input_APM!F96,Table2[[#All],[De (Lote)]],0)),Input_APM!F96))</f>
        <v>TSM US 06/18/26 C380</v>
      </c>
      <c r="M96" s="170" t="str">
        <f t="shared" si="5"/>
        <v>EQTY.IntlUS.off</v>
      </c>
      <c r="N96" s="171">
        <f t="shared" si="6"/>
        <v>-1195</v>
      </c>
      <c r="O96" s="171">
        <f t="shared" si="7"/>
        <v>-1195</v>
      </c>
    </row>
    <row r="97" spans="5:15">
      <c r="E97" s="169" t="s">
        <v>242</v>
      </c>
      <c r="F97" s="169" t="s">
        <v>974</v>
      </c>
      <c r="G97" s="169" t="s">
        <v>208</v>
      </c>
      <c r="H97" s="169">
        <v>50069</v>
      </c>
      <c r="I97" s="169">
        <v>50069</v>
      </c>
      <c r="K97" s="170" t="str">
        <f t="shared" si="4"/>
        <v>US Equity</v>
      </c>
      <c r="L97" s="170" t="str">
        <f>IF(E97="","",IF(COUNTIFS(Table2[[#All],[De (Lote)]],Input_APM!F97)&gt;0,INDEX(Table2[[#All],[Para (Ticker Daniel)]],MATCH(Input_APM!F97,Table2[[#All],[De (Lote)]],0)),Input_APM!F97))</f>
        <v>WMB</v>
      </c>
      <c r="M97" s="170" t="str">
        <f t="shared" si="5"/>
        <v>EQTY.IntlUS.off</v>
      </c>
      <c r="N97" s="171">
        <f t="shared" si="6"/>
        <v>50069</v>
      </c>
      <c r="O97" s="171">
        <f t="shared" si="7"/>
        <v>50069</v>
      </c>
    </row>
    <row r="98" spans="5:15">
      <c r="E98" s="169" t="s">
        <v>245</v>
      </c>
      <c r="F98" s="169" t="s">
        <v>36</v>
      </c>
      <c r="G98" s="169" t="s">
        <v>208</v>
      </c>
      <c r="H98" s="169">
        <v>21977</v>
      </c>
      <c r="I98" s="169">
        <v>21977</v>
      </c>
      <c r="K98" s="170" t="str">
        <f t="shared" si="4"/>
        <v>ETF</v>
      </c>
      <c r="L98" s="170" t="str">
        <f>IF(E98="","",IF(COUNTIFS(Table2[[#All],[De (Lote)]],Input_APM!F98)&gt;0,INDEX(Table2[[#All],[Para (Ticker Daniel)]],MATCH(Input_APM!F98,Table2[[#All],[De (Lote)]],0)),Input_APM!F98))</f>
        <v>XLF</v>
      </c>
      <c r="M98" s="170" t="str">
        <f t="shared" si="5"/>
        <v>EQTY.IntlUS.off</v>
      </c>
      <c r="N98" s="171">
        <f t="shared" si="6"/>
        <v>21977</v>
      </c>
      <c r="O98" s="171">
        <f t="shared" si="7"/>
        <v>21977</v>
      </c>
    </row>
    <row r="99" spans="5:15">
      <c r="E99" s="169" t="s">
        <v>245</v>
      </c>
      <c r="F99" s="169" t="s">
        <v>4</v>
      </c>
      <c r="G99" s="169" t="s">
        <v>208</v>
      </c>
      <c r="H99" s="169">
        <v>-25765</v>
      </c>
      <c r="I99" s="169">
        <v>-25765</v>
      </c>
      <c r="K99" s="170" t="str">
        <f t="shared" si="4"/>
        <v>ETF</v>
      </c>
      <c r="L99" s="170" t="str">
        <f>IF(E99="","",IF(COUNTIFS(Table2[[#All],[De (Lote)]],Input_APM!F99)&gt;0,INDEX(Table2[[#All],[Para (Ticker Daniel)]],MATCH(Input_APM!F99,Table2[[#All],[De (Lote)]],0)),Input_APM!F99))</f>
        <v>XLP</v>
      </c>
      <c r="M99" s="170" t="str">
        <f t="shared" si="5"/>
        <v>EQTY.IntlUS.off</v>
      </c>
      <c r="N99" s="171">
        <f t="shared" si="6"/>
        <v>-25765</v>
      </c>
      <c r="O99" s="171">
        <f t="shared" si="7"/>
        <v>-25765</v>
      </c>
    </row>
    <row r="100" spans="5:15">
      <c r="K100" s="170" t="str">
        <f t="shared" si="4"/>
        <v/>
      </c>
      <c r="L100" s="170" t="str">
        <f>IF(E100="","",IF(COUNTIFS(Table2[[#All],[De (Lote)]],Input_APM!F100)&gt;0,INDEX(Table2[[#All],[Para (Ticker Daniel)]],MATCH(Input_APM!F100,Table2[[#All],[De (Lote)]],0)),Input_APM!F100))</f>
        <v/>
      </c>
      <c r="M100" s="170" t="str">
        <f t="shared" si="5"/>
        <v/>
      </c>
      <c r="N100" s="171" t="str">
        <f t="shared" si="6"/>
        <v/>
      </c>
      <c r="O100" s="171" t="str">
        <f t="shared" si="7"/>
        <v/>
      </c>
    </row>
    <row r="101" spans="5:15">
      <c r="K101" s="170" t="str">
        <f t="shared" si="4"/>
        <v/>
      </c>
      <c r="L101" s="170" t="str">
        <f>IF(E101="","",IF(COUNTIFS(Table2[[#All],[De (Lote)]],Input_APM!F101)&gt;0,INDEX(Table2[[#All],[Para (Ticker Daniel)]],MATCH(Input_APM!F101,Table2[[#All],[De (Lote)]],0)),Input_APM!F101))</f>
        <v/>
      </c>
      <c r="M101" s="170" t="str">
        <f t="shared" si="5"/>
        <v/>
      </c>
      <c r="N101" s="171" t="str">
        <f t="shared" si="6"/>
        <v/>
      </c>
      <c r="O101" s="171" t="str">
        <f t="shared" si="7"/>
        <v/>
      </c>
    </row>
    <row r="102" spans="5:15">
      <c r="K102" s="170" t="str">
        <f t="shared" si="4"/>
        <v/>
      </c>
      <c r="L102" s="170" t="str">
        <f>IF(E102="","",IF(COUNTIFS(Table2[[#All],[De (Lote)]],Input_APM!F102)&gt;0,INDEX(Table2[[#All],[Para (Ticker Daniel)]],MATCH(Input_APM!F102,Table2[[#All],[De (Lote)]],0)),Input_APM!F102))</f>
        <v/>
      </c>
      <c r="M102" s="170" t="str">
        <f t="shared" si="5"/>
        <v/>
      </c>
      <c r="N102" s="171" t="str">
        <f t="shared" si="6"/>
        <v/>
      </c>
      <c r="O102" s="171" t="str">
        <f t="shared" si="7"/>
        <v/>
      </c>
    </row>
    <row r="103" spans="5:15">
      <c r="K103" s="170" t="str">
        <f t="shared" si="4"/>
        <v/>
      </c>
      <c r="L103" s="170" t="str">
        <f>IF(E103="","",IF(COUNTIFS(Table2[[#All],[De (Lote)]],Input_APM!F103)&gt;0,INDEX(Table2[[#All],[Para (Ticker Daniel)]],MATCH(Input_APM!F103,Table2[[#All],[De (Lote)]],0)),Input_APM!F103))</f>
        <v/>
      </c>
      <c r="M103" s="170" t="str">
        <f t="shared" si="5"/>
        <v/>
      </c>
      <c r="N103" s="171" t="str">
        <f t="shared" si="6"/>
        <v/>
      </c>
      <c r="O103" s="171" t="str">
        <f t="shared" si="7"/>
        <v/>
      </c>
    </row>
    <row r="104" spans="5:15">
      <c r="K104" s="170" t="str">
        <f t="shared" si="4"/>
        <v/>
      </c>
      <c r="L104" s="170" t="str">
        <f>IF(E104="","",IF(COUNTIFS(Table2[[#All],[De (Lote)]],Input_APM!F104)&gt;0,INDEX(Table2[[#All],[Para (Ticker Daniel)]],MATCH(Input_APM!F104,Table2[[#All],[De (Lote)]],0)),Input_APM!F104))</f>
        <v/>
      </c>
      <c r="M104" s="170" t="str">
        <f t="shared" si="5"/>
        <v/>
      </c>
      <c r="N104" s="171" t="str">
        <f t="shared" si="6"/>
        <v/>
      </c>
      <c r="O104" s="171" t="str">
        <f t="shared" si="7"/>
        <v/>
      </c>
    </row>
    <row r="105" spans="5:15">
      <c r="K105" s="170" t="str">
        <f t="shared" si="4"/>
        <v/>
      </c>
      <c r="L105" s="170" t="str">
        <f>IF(E105="","",IF(COUNTIFS(Table2[[#All],[De (Lote)]],Input_APM!F105)&gt;0,INDEX(Table2[[#All],[Para (Ticker Daniel)]],MATCH(Input_APM!F105,Table2[[#All],[De (Lote)]],0)),Input_APM!F105))</f>
        <v/>
      </c>
      <c r="M105" s="170" t="str">
        <f t="shared" si="5"/>
        <v/>
      </c>
      <c r="N105" s="171" t="str">
        <f t="shared" si="6"/>
        <v/>
      </c>
      <c r="O105" s="171" t="str">
        <f t="shared" si="7"/>
        <v/>
      </c>
    </row>
    <row r="106" spans="5:15">
      <c r="K106" s="170" t="str">
        <f t="shared" si="4"/>
        <v/>
      </c>
      <c r="L106" s="170" t="str">
        <f>IF(E106="","",IF(COUNTIFS(Table2[[#All],[De (Lote)]],Input_APM!F106)&gt;0,INDEX(Table2[[#All],[Para (Ticker Daniel)]],MATCH(Input_APM!F106,Table2[[#All],[De (Lote)]],0)),Input_APM!F106))</f>
        <v/>
      </c>
      <c r="M106" s="170" t="str">
        <f t="shared" si="5"/>
        <v/>
      </c>
      <c r="N106" s="171" t="str">
        <f t="shared" si="6"/>
        <v/>
      </c>
      <c r="O106" s="171" t="str">
        <f t="shared" si="7"/>
        <v/>
      </c>
    </row>
    <row r="107" spans="5:15">
      <c r="K107" s="170" t="str">
        <f t="shared" si="4"/>
        <v/>
      </c>
      <c r="L107" s="170" t="str">
        <f>IF(E107="","",IF(COUNTIFS(Table2[[#All],[De (Lote)]],Input_APM!F107)&gt;0,INDEX(Table2[[#All],[Para (Ticker Daniel)]],MATCH(Input_APM!F107,Table2[[#All],[De (Lote)]],0)),Input_APM!F107))</f>
        <v/>
      </c>
      <c r="M107" s="170" t="str">
        <f t="shared" si="5"/>
        <v/>
      </c>
      <c r="N107" s="171" t="str">
        <f t="shared" si="6"/>
        <v/>
      </c>
      <c r="O107" s="171" t="str">
        <f t="shared" si="7"/>
        <v/>
      </c>
    </row>
    <row r="108" spans="5:15">
      <c r="K108" s="170" t="str">
        <f t="shared" si="4"/>
        <v/>
      </c>
      <c r="L108" s="170" t="str">
        <f>IF(E108="","",IF(COUNTIFS(Table2[[#All],[De (Lote)]],Input_APM!F108)&gt;0,INDEX(Table2[[#All],[Para (Ticker Daniel)]],MATCH(Input_APM!F108,Table2[[#All],[De (Lote)]],0)),Input_APM!F108))</f>
        <v/>
      </c>
      <c r="M108" s="170" t="str">
        <f t="shared" si="5"/>
        <v/>
      </c>
      <c r="N108" s="171" t="str">
        <f t="shared" si="6"/>
        <v/>
      </c>
      <c r="O108" s="171" t="str">
        <f t="shared" si="7"/>
        <v/>
      </c>
    </row>
    <row r="109" spans="5:15">
      <c r="K109" s="170" t="str">
        <f t="shared" si="4"/>
        <v/>
      </c>
      <c r="L109" s="170" t="str">
        <f>IF(E109="","",IF(COUNTIFS(Table2[[#All],[De (Lote)]],Input_APM!F109)&gt;0,INDEX(Table2[[#All],[Para (Ticker Daniel)]],MATCH(Input_APM!F109,Table2[[#All],[De (Lote)]],0)),Input_APM!F109))</f>
        <v/>
      </c>
      <c r="M109" s="170" t="str">
        <f t="shared" si="5"/>
        <v/>
      </c>
      <c r="N109" s="171" t="str">
        <f t="shared" si="6"/>
        <v/>
      </c>
      <c r="O109" s="171" t="str">
        <f t="shared" si="7"/>
        <v/>
      </c>
    </row>
    <row r="110" spans="5:15">
      <c r="K110" s="170" t="str">
        <f t="shared" si="4"/>
        <v/>
      </c>
      <c r="L110" s="170" t="str">
        <f>IF(E110="","",IF(COUNTIFS(Table2[[#All],[De (Lote)]],Input_APM!F110)&gt;0,INDEX(Table2[[#All],[Para (Ticker Daniel)]],MATCH(Input_APM!F110,Table2[[#All],[De (Lote)]],0)),Input_APM!F110))</f>
        <v/>
      </c>
      <c r="M110" s="170" t="str">
        <f t="shared" si="5"/>
        <v/>
      </c>
      <c r="N110" s="171" t="str">
        <f t="shared" si="6"/>
        <v/>
      </c>
      <c r="O110" s="171" t="str">
        <f t="shared" si="7"/>
        <v/>
      </c>
    </row>
    <row r="111" spans="5:15">
      <c r="K111" s="170" t="str">
        <f t="shared" si="4"/>
        <v/>
      </c>
      <c r="L111" s="170" t="str">
        <f>IF(E111="","",IF(COUNTIFS(Table2[[#All],[De (Lote)]],Input_APM!F111)&gt;0,INDEX(Table2[[#All],[Para (Ticker Daniel)]],MATCH(Input_APM!F111,Table2[[#All],[De (Lote)]],0)),Input_APM!F111))</f>
        <v/>
      </c>
      <c r="M111" s="170" t="str">
        <f t="shared" si="5"/>
        <v/>
      </c>
      <c r="N111" s="171" t="str">
        <f t="shared" si="6"/>
        <v/>
      </c>
      <c r="O111" s="171" t="str">
        <f t="shared" si="7"/>
        <v/>
      </c>
    </row>
    <row r="112" spans="5:15">
      <c r="K112" s="170" t="str">
        <f t="shared" si="4"/>
        <v/>
      </c>
      <c r="L112" s="170" t="str">
        <f>IF(E112="","",IF(COUNTIFS(Table2[[#All],[De (Lote)]],Input_APM!F112)&gt;0,INDEX(Table2[[#All],[Para (Ticker Daniel)]],MATCH(Input_APM!F112,Table2[[#All],[De (Lote)]],0)),Input_APM!F112))</f>
        <v/>
      </c>
      <c r="M112" s="170" t="str">
        <f t="shared" si="5"/>
        <v/>
      </c>
      <c r="N112" s="171" t="str">
        <f t="shared" si="6"/>
        <v/>
      </c>
      <c r="O112" s="171" t="str">
        <f t="shared" si="7"/>
        <v/>
      </c>
    </row>
    <row r="113" spans="11:15">
      <c r="K113" s="170" t="str">
        <f t="shared" si="4"/>
        <v/>
      </c>
      <c r="L113" s="170" t="str">
        <f>IF(E113="","",IF(COUNTIFS(Table2[[#All],[De (Lote)]],Input_APM!F113)&gt;0,INDEX(Table2[[#All],[Para (Ticker Daniel)]],MATCH(Input_APM!F113,Table2[[#All],[De (Lote)]],0)),Input_APM!F113))</f>
        <v/>
      </c>
      <c r="M113" s="170" t="str">
        <f t="shared" si="5"/>
        <v/>
      </c>
      <c r="N113" s="171" t="str">
        <f t="shared" si="6"/>
        <v/>
      </c>
      <c r="O113" s="171" t="str">
        <f t="shared" si="7"/>
        <v/>
      </c>
    </row>
    <row r="114" spans="11:15">
      <c r="K114" s="170" t="str">
        <f t="shared" si="4"/>
        <v/>
      </c>
      <c r="L114" s="170" t="str">
        <f>IF(E114="","",IF(COUNTIFS(Table2[[#All],[De (Lote)]],Input_APM!F114)&gt;0,INDEX(Table2[[#All],[Para (Ticker Daniel)]],MATCH(Input_APM!F114,Table2[[#All],[De (Lote)]],0)),Input_APM!F114))</f>
        <v/>
      </c>
      <c r="M114" s="170" t="str">
        <f t="shared" si="5"/>
        <v/>
      </c>
      <c r="N114" s="171" t="str">
        <f t="shared" si="6"/>
        <v/>
      </c>
      <c r="O114" s="171" t="str">
        <f t="shared" si="7"/>
        <v/>
      </c>
    </row>
    <row r="115" spans="11:15">
      <c r="K115" s="170" t="str">
        <f t="shared" si="4"/>
        <v/>
      </c>
      <c r="L115" s="170" t="str">
        <f>IF(E115="","",IF(COUNTIFS(Table2[[#All],[De (Lote)]],Input_APM!F115)&gt;0,INDEX(Table2[[#All],[Para (Ticker Daniel)]],MATCH(Input_APM!F115,Table2[[#All],[De (Lote)]],0)),Input_APM!F115))</f>
        <v/>
      </c>
      <c r="M115" s="170" t="str">
        <f t="shared" si="5"/>
        <v/>
      </c>
      <c r="N115" s="171" t="str">
        <f t="shared" si="6"/>
        <v/>
      </c>
      <c r="O115" s="171" t="str">
        <f t="shared" si="7"/>
        <v/>
      </c>
    </row>
    <row r="116" spans="11:15">
      <c r="K116" s="170" t="str">
        <f t="shared" si="4"/>
        <v/>
      </c>
      <c r="L116" s="170" t="str">
        <f>IF(E116="","",IF(COUNTIFS(Table2[[#All],[De (Lote)]],Input_APM!F116)&gt;0,INDEX(Table2[[#All],[Para (Ticker Daniel)]],MATCH(Input_APM!F116,Table2[[#All],[De (Lote)]],0)),Input_APM!F116))</f>
        <v/>
      </c>
      <c r="M116" s="170" t="str">
        <f t="shared" si="5"/>
        <v/>
      </c>
      <c r="N116" s="171" t="str">
        <f t="shared" si="6"/>
        <v/>
      </c>
      <c r="O116" s="171" t="str">
        <f t="shared" si="7"/>
        <v/>
      </c>
    </row>
    <row r="117" spans="11:15">
      <c r="K117" s="170" t="str">
        <f t="shared" si="4"/>
        <v/>
      </c>
      <c r="L117" s="170" t="str">
        <f>IF(E117="","",IF(COUNTIFS(Table2[[#All],[De (Lote)]],Input_APM!F117)&gt;0,INDEX(Table2[[#All],[Para (Ticker Daniel)]],MATCH(Input_APM!F117,Table2[[#All],[De (Lote)]],0)),Input_APM!F117))</f>
        <v/>
      </c>
      <c r="M117" s="170" t="str">
        <f t="shared" si="5"/>
        <v/>
      </c>
      <c r="N117" s="171" t="str">
        <f t="shared" si="6"/>
        <v/>
      </c>
      <c r="O117" s="171" t="str">
        <f t="shared" si="7"/>
        <v/>
      </c>
    </row>
    <row r="118" spans="11:15">
      <c r="K118" s="170" t="str">
        <f t="shared" si="4"/>
        <v/>
      </c>
      <c r="L118" s="170" t="str">
        <f>IF(E118="","",IF(COUNTIFS(Table2[[#All],[De (Lote)]],Input_APM!F118)&gt;0,INDEX(Table2[[#All],[Para (Ticker Daniel)]],MATCH(Input_APM!F118,Table2[[#All],[De (Lote)]],0)),Input_APM!F118))</f>
        <v/>
      </c>
      <c r="M118" s="170" t="str">
        <f t="shared" si="5"/>
        <v/>
      </c>
      <c r="N118" s="171" t="str">
        <f t="shared" si="6"/>
        <v/>
      </c>
      <c r="O118" s="171" t="str">
        <f t="shared" si="7"/>
        <v/>
      </c>
    </row>
    <row r="119" spans="11:15">
      <c r="K119" s="170" t="str">
        <f t="shared" si="4"/>
        <v/>
      </c>
      <c r="L119" s="170" t="str">
        <f>IF(E119="","",IF(COUNTIFS(Table2[[#All],[De (Lote)]],Input_APM!F119)&gt;0,INDEX(Table2[[#All],[Para (Ticker Daniel)]],MATCH(Input_APM!F119,Table2[[#All],[De (Lote)]],0)),Input_APM!F119))</f>
        <v/>
      </c>
      <c r="M119" s="170" t="str">
        <f t="shared" si="5"/>
        <v/>
      </c>
      <c r="N119" s="171" t="str">
        <f t="shared" si="6"/>
        <v/>
      </c>
      <c r="O119" s="171" t="str">
        <f t="shared" si="7"/>
        <v/>
      </c>
    </row>
    <row r="120" spans="11:15">
      <c r="K120" s="170" t="str">
        <f t="shared" si="4"/>
        <v/>
      </c>
      <c r="L120" s="170" t="str">
        <f>IF(E120="","",IF(COUNTIFS(Table2[[#All],[De (Lote)]],Input_APM!F120)&gt;0,INDEX(Table2[[#All],[Para (Ticker Daniel)]],MATCH(Input_APM!F120,Table2[[#All],[De (Lote)]],0)),Input_APM!F120))</f>
        <v/>
      </c>
      <c r="M120" s="170" t="str">
        <f t="shared" si="5"/>
        <v/>
      </c>
      <c r="N120" s="171" t="str">
        <f t="shared" si="6"/>
        <v/>
      </c>
      <c r="O120" s="171" t="str">
        <f t="shared" si="7"/>
        <v/>
      </c>
    </row>
    <row r="121" spans="11:15">
      <c r="K121" s="170" t="str">
        <f t="shared" si="4"/>
        <v/>
      </c>
      <c r="L121" s="170" t="str">
        <f>IF(E121="","",IF(COUNTIFS(Table2[[#All],[De (Lote)]],Input_APM!F121)&gt;0,INDEX(Table2[[#All],[Para (Ticker Daniel)]],MATCH(Input_APM!F121,Table2[[#All],[De (Lote)]],0)),Input_APM!F121))</f>
        <v/>
      </c>
      <c r="M121" s="170" t="str">
        <f t="shared" si="5"/>
        <v/>
      </c>
      <c r="N121" s="171" t="str">
        <f t="shared" si="6"/>
        <v/>
      </c>
      <c r="O121" s="171" t="str">
        <f t="shared" si="7"/>
        <v/>
      </c>
    </row>
    <row r="122" spans="11:15">
      <c r="K122" s="170" t="str">
        <f t="shared" si="4"/>
        <v/>
      </c>
      <c r="L122" s="170" t="str">
        <f>IF(E122="","",IF(COUNTIFS(Table2[[#All],[De (Lote)]],Input_APM!F122)&gt;0,INDEX(Table2[[#All],[Para (Ticker Daniel)]],MATCH(Input_APM!F122,Table2[[#All],[De (Lote)]],0)),Input_APM!F122))</f>
        <v/>
      </c>
      <c r="M122" s="170" t="str">
        <f t="shared" si="5"/>
        <v/>
      </c>
      <c r="N122" s="171" t="str">
        <f t="shared" si="6"/>
        <v/>
      </c>
      <c r="O122" s="171" t="str">
        <f t="shared" si="7"/>
        <v/>
      </c>
    </row>
    <row r="123" spans="11:15">
      <c r="K123" s="170" t="str">
        <f t="shared" si="4"/>
        <v/>
      </c>
      <c r="L123" s="170" t="str">
        <f>IF(E123="","",IF(COUNTIFS(Table2[[#All],[De (Lote)]],Input_APM!F123)&gt;0,INDEX(Table2[[#All],[Para (Ticker Daniel)]],MATCH(Input_APM!F123,Table2[[#All],[De (Lote)]],0)),Input_APM!F123))</f>
        <v/>
      </c>
      <c r="M123" s="170" t="str">
        <f t="shared" si="5"/>
        <v/>
      </c>
      <c r="N123" s="171" t="str">
        <f t="shared" si="6"/>
        <v/>
      </c>
      <c r="O123" s="171" t="str">
        <f t="shared" si="7"/>
        <v/>
      </c>
    </row>
    <row r="124" spans="11:15">
      <c r="K124" s="170" t="str">
        <f t="shared" si="4"/>
        <v/>
      </c>
      <c r="L124" s="170" t="str">
        <f>IF(E124="","",IF(COUNTIFS(Table2[[#All],[De (Lote)]],Input_APM!F124)&gt;0,INDEX(Table2[[#All],[Para (Ticker Daniel)]],MATCH(Input_APM!F124,Table2[[#All],[De (Lote)]],0)),Input_APM!F124))</f>
        <v/>
      </c>
      <c r="M124" s="170" t="str">
        <f t="shared" si="5"/>
        <v/>
      </c>
      <c r="N124" s="171" t="str">
        <f t="shared" si="6"/>
        <v/>
      </c>
      <c r="O124" s="171" t="str">
        <f t="shared" si="7"/>
        <v/>
      </c>
    </row>
    <row r="125" spans="11:15">
      <c r="K125" s="170" t="str">
        <f t="shared" si="4"/>
        <v/>
      </c>
      <c r="L125" s="170" t="str">
        <f>IF(E125="","",IF(COUNTIFS(Table2[[#All],[De (Lote)]],Input_APM!F125)&gt;0,INDEX(Table2[[#All],[Para (Ticker Daniel)]],MATCH(Input_APM!F125,Table2[[#All],[De (Lote)]],0)),Input_APM!F125))</f>
        <v/>
      </c>
      <c r="M125" s="170" t="str">
        <f t="shared" si="5"/>
        <v/>
      </c>
      <c r="N125" s="171" t="str">
        <f t="shared" si="6"/>
        <v/>
      </c>
      <c r="O125" s="171" t="str">
        <f t="shared" si="7"/>
        <v/>
      </c>
    </row>
    <row r="126" spans="11:15">
      <c r="K126" s="170" t="str">
        <f t="shared" si="4"/>
        <v/>
      </c>
      <c r="L126" s="170" t="str">
        <f>IF(E126="","",IF(COUNTIFS(Table2[[#All],[De (Lote)]],Input_APM!F126)&gt;0,INDEX(Table2[[#All],[Para (Ticker Daniel)]],MATCH(Input_APM!F126,Table2[[#All],[De (Lote)]],0)),Input_APM!F126))</f>
        <v/>
      </c>
      <c r="M126" s="170" t="str">
        <f t="shared" si="5"/>
        <v/>
      </c>
      <c r="N126" s="171" t="str">
        <f t="shared" si="6"/>
        <v/>
      </c>
      <c r="O126" s="171" t="str">
        <f t="shared" si="7"/>
        <v/>
      </c>
    </row>
    <row r="127" spans="11:15">
      <c r="K127" s="170" t="str">
        <f t="shared" si="4"/>
        <v/>
      </c>
      <c r="L127" s="170" t="str">
        <f>IF(E127="","",IF(COUNTIFS(Table2[[#All],[De (Lote)]],Input_APM!F127)&gt;0,INDEX(Table2[[#All],[Para (Ticker Daniel)]],MATCH(Input_APM!F127,Table2[[#All],[De (Lote)]],0)),Input_APM!F127))</f>
        <v/>
      </c>
      <c r="M127" s="170" t="str">
        <f t="shared" si="5"/>
        <v/>
      </c>
      <c r="N127" s="171" t="str">
        <f t="shared" si="6"/>
        <v/>
      </c>
      <c r="O127" s="171" t="str">
        <f t="shared" si="7"/>
        <v/>
      </c>
    </row>
    <row r="128" spans="11:15">
      <c r="K128" s="170" t="str">
        <f t="shared" si="4"/>
        <v/>
      </c>
      <c r="L128" s="170" t="str">
        <f>IF(E128="","",IF(COUNTIFS(Table2[[#All],[De (Lote)]],Input_APM!F128)&gt;0,INDEX(Table2[[#All],[Para (Ticker Daniel)]],MATCH(Input_APM!F128,Table2[[#All],[De (Lote)]],0)),Input_APM!F128))</f>
        <v/>
      </c>
      <c r="M128" s="170" t="str">
        <f t="shared" si="5"/>
        <v/>
      </c>
      <c r="N128" s="171" t="str">
        <f t="shared" si="6"/>
        <v/>
      </c>
      <c r="O128" s="171" t="str">
        <f t="shared" si="7"/>
        <v/>
      </c>
    </row>
    <row r="129" spans="11:15">
      <c r="K129" s="170" t="str">
        <f t="shared" si="4"/>
        <v/>
      </c>
      <c r="L129" s="170" t="str">
        <f>IF(E129="","",IF(COUNTIFS(Table2[[#All],[De (Lote)]],Input_APM!F129)&gt;0,INDEX(Table2[[#All],[Para (Ticker Daniel)]],MATCH(Input_APM!F129,Table2[[#All],[De (Lote)]],0)),Input_APM!F129))</f>
        <v/>
      </c>
      <c r="M129" s="170" t="str">
        <f t="shared" si="5"/>
        <v/>
      </c>
      <c r="N129" s="171" t="str">
        <f t="shared" si="6"/>
        <v/>
      </c>
      <c r="O129" s="171" t="str">
        <f t="shared" si="7"/>
        <v/>
      </c>
    </row>
    <row r="130" spans="11:15">
      <c r="K130" s="170" t="str">
        <f t="shared" si="4"/>
        <v/>
      </c>
      <c r="L130" s="170" t="str">
        <f>IF(E130="","",IF(COUNTIFS(Table2[[#All],[De (Lote)]],Input_APM!F130)&gt;0,INDEX(Table2[[#All],[Para (Ticker Daniel)]],MATCH(Input_APM!F130,Table2[[#All],[De (Lote)]],0)),Input_APM!F130))</f>
        <v/>
      </c>
      <c r="M130" s="170" t="str">
        <f t="shared" si="5"/>
        <v/>
      </c>
      <c r="N130" s="171" t="str">
        <f t="shared" si="6"/>
        <v/>
      </c>
      <c r="O130" s="171" t="str">
        <f t="shared" si="7"/>
        <v/>
      </c>
    </row>
    <row r="131" spans="11:15">
      <c r="K131" s="170" t="str">
        <f t="shared" ref="K131:K148" si="8">IF(E131="","",E131)</f>
        <v/>
      </c>
      <c r="L131" s="170" t="str">
        <f>IF(E131="","",IF(COUNTIFS(Table2[[#All],[De (Lote)]],Input_APM!F131)&gt;0,INDEX(Table2[[#All],[Para (Ticker Daniel)]],MATCH(Input_APM!F131,Table2[[#All],[De (Lote)]],0)),Input_APM!F131))</f>
        <v/>
      </c>
      <c r="M131" s="170" t="str">
        <f t="shared" ref="M131:M148" si="9">IF(E131="","",G131)</f>
        <v/>
      </c>
      <c r="N131" s="171" t="str">
        <f t="shared" ref="N131:N148" si="10">IF(E131="","",H131)</f>
        <v/>
      </c>
      <c r="O131" s="171" t="str">
        <f t="shared" ref="O131:O148" si="11">IF(E131="","",I131)</f>
        <v/>
      </c>
    </row>
    <row r="132" spans="11:15">
      <c r="K132" s="170" t="str">
        <f t="shared" si="8"/>
        <v/>
      </c>
      <c r="L132" s="170" t="str">
        <f>IF(E132="","",IF(COUNTIFS(Table2[[#All],[De (Lote)]],Input_APM!F132)&gt;0,INDEX(Table2[[#All],[Para (Ticker Daniel)]],MATCH(Input_APM!F132,Table2[[#All],[De (Lote)]],0)),Input_APM!F132))</f>
        <v/>
      </c>
      <c r="M132" s="170" t="str">
        <f t="shared" si="9"/>
        <v/>
      </c>
      <c r="N132" s="171" t="str">
        <f t="shared" si="10"/>
        <v/>
      </c>
      <c r="O132" s="171" t="str">
        <f t="shared" si="11"/>
        <v/>
      </c>
    </row>
    <row r="133" spans="11:15">
      <c r="K133" s="170" t="str">
        <f t="shared" si="8"/>
        <v/>
      </c>
      <c r="L133" s="170" t="str">
        <f>IF(E133="","",IF(COUNTIFS(Table2[[#All],[De (Lote)]],Input_APM!F133)&gt;0,INDEX(Table2[[#All],[Para (Ticker Daniel)]],MATCH(Input_APM!F133,Table2[[#All],[De (Lote)]],0)),Input_APM!F133))</f>
        <v/>
      </c>
      <c r="M133" s="170" t="str">
        <f t="shared" si="9"/>
        <v/>
      </c>
      <c r="N133" s="171" t="str">
        <f t="shared" si="10"/>
        <v/>
      </c>
      <c r="O133" s="171" t="str">
        <f t="shared" si="11"/>
        <v/>
      </c>
    </row>
    <row r="134" spans="11:15">
      <c r="K134" s="170" t="str">
        <f t="shared" si="8"/>
        <v/>
      </c>
      <c r="L134" s="170" t="str">
        <f>IF(E134="","",IF(COUNTIFS(Table2[[#All],[De (Lote)]],Input_APM!F134)&gt;0,INDEX(Table2[[#All],[Para (Ticker Daniel)]],MATCH(Input_APM!F134,Table2[[#All],[De (Lote)]],0)),Input_APM!F134))</f>
        <v/>
      </c>
      <c r="M134" s="170" t="str">
        <f t="shared" si="9"/>
        <v/>
      </c>
      <c r="N134" s="171" t="str">
        <f t="shared" si="10"/>
        <v/>
      </c>
      <c r="O134" s="171" t="str">
        <f t="shared" si="11"/>
        <v/>
      </c>
    </row>
    <row r="135" spans="11:15">
      <c r="K135" s="170" t="str">
        <f t="shared" si="8"/>
        <v/>
      </c>
      <c r="L135" s="170" t="str">
        <f>IF(E135="","",IF(COUNTIFS(Table2[[#All],[De (Lote)]],Input_APM!F135)&gt;0,INDEX(Table2[[#All],[Para (Ticker Daniel)]],MATCH(Input_APM!F135,Table2[[#All],[De (Lote)]],0)),Input_APM!F135))</f>
        <v/>
      </c>
      <c r="M135" s="170" t="str">
        <f t="shared" si="9"/>
        <v/>
      </c>
      <c r="N135" s="171" t="str">
        <f t="shared" si="10"/>
        <v/>
      </c>
      <c r="O135" s="171" t="str">
        <f t="shared" si="11"/>
        <v/>
      </c>
    </row>
    <row r="136" spans="11:15">
      <c r="K136" s="170" t="str">
        <f t="shared" si="8"/>
        <v/>
      </c>
      <c r="L136" s="170" t="str">
        <f>IF(E136="","",IF(COUNTIFS(Table2[[#All],[De (Lote)]],Input_APM!F136)&gt;0,INDEX(Table2[[#All],[Para (Ticker Daniel)]],MATCH(Input_APM!F136,Table2[[#All],[De (Lote)]],0)),Input_APM!F136))</f>
        <v/>
      </c>
      <c r="M136" s="170" t="str">
        <f t="shared" si="9"/>
        <v/>
      </c>
      <c r="N136" s="171" t="str">
        <f t="shared" si="10"/>
        <v/>
      </c>
      <c r="O136" s="171" t="str">
        <f t="shared" si="11"/>
        <v/>
      </c>
    </row>
    <row r="137" spans="11:15">
      <c r="K137" s="170" t="str">
        <f t="shared" si="8"/>
        <v/>
      </c>
      <c r="L137" s="170" t="str">
        <f>IF(E137="","",IF(COUNTIFS(Table2[[#All],[De (Lote)]],Input_APM!F137)&gt;0,INDEX(Table2[[#All],[Para (Ticker Daniel)]],MATCH(Input_APM!F137,Table2[[#All],[De (Lote)]],0)),Input_APM!F137))</f>
        <v/>
      </c>
      <c r="M137" s="170" t="str">
        <f t="shared" si="9"/>
        <v/>
      </c>
      <c r="N137" s="171" t="str">
        <f t="shared" si="10"/>
        <v/>
      </c>
      <c r="O137" s="171" t="str">
        <f t="shared" si="11"/>
        <v/>
      </c>
    </row>
    <row r="138" spans="11:15">
      <c r="K138" s="170" t="str">
        <f t="shared" si="8"/>
        <v/>
      </c>
      <c r="L138" s="170" t="str">
        <f>IF(E138="","",IF(COUNTIFS(Table2[[#All],[De (Lote)]],Input_APM!F138)&gt;0,INDEX(Table2[[#All],[Para (Ticker Daniel)]],MATCH(Input_APM!F138,Table2[[#All],[De (Lote)]],0)),Input_APM!F138))</f>
        <v/>
      </c>
      <c r="M138" s="170" t="str">
        <f t="shared" si="9"/>
        <v/>
      </c>
      <c r="N138" s="171" t="str">
        <f t="shared" si="10"/>
        <v/>
      </c>
      <c r="O138" s="171" t="str">
        <f t="shared" si="11"/>
        <v/>
      </c>
    </row>
    <row r="139" spans="11:15">
      <c r="K139" s="170" t="str">
        <f t="shared" si="8"/>
        <v/>
      </c>
      <c r="L139" s="170" t="str">
        <f>IF(E139="","",IF(COUNTIFS(Table2[[#All],[De (Lote)]],Input_APM!F139)&gt;0,INDEX(Table2[[#All],[Para (Ticker Daniel)]],MATCH(Input_APM!F139,Table2[[#All],[De (Lote)]],0)),Input_APM!F139))</f>
        <v/>
      </c>
      <c r="M139" s="170" t="str">
        <f t="shared" si="9"/>
        <v/>
      </c>
      <c r="N139" s="171" t="str">
        <f t="shared" si="10"/>
        <v/>
      </c>
      <c r="O139" s="171" t="str">
        <f t="shared" si="11"/>
        <v/>
      </c>
    </row>
    <row r="140" spans="11:15">
      <c r="K140" s="170" t="str">
        <f t="shared" si="8"/>
        <v/>
      </c>
      <c r="L140" s="170" t="str">
        <f>IF(E140="","",IF(COUNTIFS(Table2[[#All],[De (Lote)]],Input_APM!F140)&gt;0,INDEX(Table2[[#All],[Para (Ticker Daniel)]],MATCH(Input_APM!F140,Table2[[#All],[De (Lote)]],0)),Input_APM!F140))</f>
        <v/>
      </c>
      <c r="M140" s="170" t="str">
        <f t="shared" si="9"/>
        <v/>
      </c>
      <c r="N140" s="171" t="str">
        <f t="shared" si="10"/>
        <v/>
      </c>
      <c r="O140" s="171" t="str">
        <f t="shared" si="11"/>
        <v/>
      </c>
    </row>
    <row r="141" spans="11:15">
      <c r="K141" s="170" t="str">
        <f t="shared" si="8"/>
        <v/>
      </c>
      <c r="L141" s="170" t="str">
        <f>IF(E141="","",IF(COUNTIFS(Table2[[#All],[De (Lote)]],Input_APM!F141)&gt;0,INDEX(Table2[[#All],[Para (Ticker Daniel)]],MATCH(Input_APM!F141,Table2[[#All],[De (Lote)]],0)),Input_APM!F141))</f>
        <v/>
      </c>
      <c r="M141" s="170" t="str">
        <f t="shared" si="9"/>
        <v/>
      </c>
      <c r="N141" s="171" t="str">
        <f t="shared" si="10"/>
        <v/>
      </c>
      <c r="O141" s="171" t="str">
        <f t="shared" si="11"/>
        <v/>
      </c>
    </row>
    <row r="142" spans="11:15">
      <c r="K142" s="170" t="str">
        <f t="shared" si="8"/>
        <v/>
      </c>
      <c r="L142" s="170" t="str">
        <f>IF(E142="","",IF(COUNTIFS(Table2[[#All],[De (Lote)]],Input_APM!F142)&gt;0,INDEX(Table2[[#All],[Para (Ticker Daniel)]],MATCH(Input_APM!F142,Table2[[#All],[De (Lote)]],0)),Input_APM!F142))</f>
        <v/>
      </c>
      <c r="M142" s="170" t="str">
        <f t="shared" si="9"/>
        <v/>
      </c>
      <c r="N142" s="171" t="str">
        <f t="shared" si="10"/>
        <v/>
      </c>
      <c r="O142" s="171" t="str">
        <f t="shared" si="11"/>
        <v/>
      </c>
    </row>
    <row r="143" spans="11:15">
      <c r="K143" s="170" t="str">
        <f t="shared" si="8"/>
        <v/>
      </c>
      <c r="L143" s="170" t="str">
        <f>IF(E143="","",IF(COUNTIFS(Table2[[#All],[De (Lote)]],Input_APM!F143)&gt;0,INDEX(Table2[[#All],[Para (Ticker Daniel)]],MATCH(Input_APM!F143,Table2[[#All],[De (Lote)]],0)),Input_APM!F143))</f>
        <v/>
      </c>
      <c r="M143" s="170" t="str">
        <f t="shared" si="9"/>
        <v/>
      </c>
      <c r="N143" s="171" t="str">
        <f t="shared" si="10"/>
        <v/>
      </c>
      <c r="O143" s="171" t="str">
        <f t="shared" si="11"/>
        <v/>
      </c>
    </row>
    <row r="144" spans="11:15">
      <c r="K144" s="170" t="str">
        <f t="shared" si="8"/>
        <v/>
      </c>
      <c r="L144" s="170" t="str">
        <f>IF(E144="","",IF(COUNTIFS(Table2[[#All],[De (Lote)]],Input_APM!F144)&gt;0,INDEX(Table2[[#All],[Para (Ticker Daniel)]],MATCH(Input_APM!F144,Table2[[#All],[De (Lote)]],0)),Input_APM!F144))</f>
        <v/>
      </c>
      <c r="M144" s="170" t="str">
        <f t="shared" si="9"/>
        <v/>
      </c>
      <c r="N144" s="171" t="str">
        <f t="shared" si="10"/>
        <v/>
      </c>
      <c r="O144" s="171" t="str">
        <f t="shared" si="11"/>
        <v/>
      </c>
    </row>
    <row r="145" spans="11:15">
      <c r="K145" s="170" t="str">
        <f t="shared" si="8"/>
        <v/>
      </c>
      <c r="L145" s="170" t="str">
        <f>IF(E145="","",IF(COUNTIFS(Table2[[#All],[De (Lote)]],Input_APM!F145)&gt;0,INDEX(Table2[[#All],[Para (Ticker Daniel)]],MATCH(Input_APM!F145,Table2[[#All],[De (Lote)]],0)),Input_APM!F145))</f>
        <v/>
      </c>
      <c r="M145" s="170" t="str">
        <f t="shared" si="9"/>
        <v/>
      </c>
      <c r="N145" s="171" t="str">
        <f t="shared" si="10"/>
        <v/>
      </c>
      <c r="O145" s="171" t="str">
        <f t="shared" si="11"/>
        <v/>
      </c>
    </row>
    <row r="146" spans="11:15">
      <c r="K146" s="170" t="str">
        <f t="shared" si="8"/>
        <v/>
      </c>
      <c r="L146" s="170" t="str">
        <f>IF(E146="","",IF(COUNTIFS(Table2[[#All],[De (Lote)]],Input_APM!F146)&gt;0,INDEX(Table2[[#All],[Para (Ticker Daniel)]],MATCH(Input_APM!F146,Table2[[#All],[De (Lote)]],0)),Input_APM!F146))</f>
        <v/>
      </c>
      <c r="M146" s="170" t="str">
        <f t="shared" si="9"/>
        <v/>
      </c>
      <c r="N146" s="171" t="str">
        <f t="shared" si="10"/>
        <v/>
      </c>
      <c r="O146" s="171" t="str">
        <f t="shared" si="11"/>
        <v/>
      </c>
    </row>
    <row r="147" spans="11:15">
      <c r="K147" s="170" t="str">
        <f t="shared" si="8"/>
        <v/>
      </c>
      <c r="L147" s="170" t="str">
        <f>IF(E147="","",IF(COUNTIFS(Table2[[#All],[De (Lote)]],Input_APM!F147)&gt;0,INDEX(Table2[[#All],[Para (Ticker Daniel)]],MATCH(Input_APM!F147,Table2[[#All],[De (Lote)]],0)),Input_APM!F147))</f>
        <v/>
      </c>
      <c r="M147" s="170" t="str">
        <f t="shared" si="9"/>
        <v/>
      </c>
      <c r="N147" s="171" t="str">
        <f t="shared" si="10"/>
        <v/>
      </c>
      <c r="O147" s="171" t="str">
        <f t="shared" si="11"/>
        <v/>
      </c>
    </row>
    <row r="148" spans="11:15">
      <c r="K148" s="170" t="str">
        <f t="shared" si="8"/>
        <v/>
      </c>
      <c r="L148" s="170" t="str">
        <f>IF(E148="","",IF(COUNTIFS(Table2[[#All],[De (Lote)]],Input_APM!F148)&gt;0,INDEX(Table2[[#All],[Para (Ticker Daniel)]],MATCH(Input_APM!F148,Table2[[#All],[De (Lote)]],0)),Input_APM!F148))</f>
        <v/>
      </c>
      <c r="M148" s="170" t="str">
        <f t="shared" si="9"/>
        <v/>
      </c>
      <c r="N148" s="171" t="str">
        <f t="shared" si="10"/>
        <v/>
      </c>
      <c r="O148" s="171" t="str">
        <f t="shared" si="11"/>
        <v/>
      </c>
    </row>
    <row r="149" spans="11:15">
      <c r="K149" s="170" t="str">
        <f t="shared" ref="K149:K207" si="12">IF(E149="","",E149)</f>
        <v/>
      </c>
      <c r="L149" s="170" t="str">
        <f>IF(E149="","",IF(COUNTIFS(Table2[[#All],[De (Lote)]],Input_APM!F149)&gt;0,INDEX(Table2[[#All],[Para (Ticker Daniel)]],MATCH(Input_APM!F149,Table2[[#All],[De (Lote)]],0)),Input_APM!F149))</f>
        <v/>
      </c>
      <c r="M149" s="170" t="str">
        <f t="shared" ref="M149:M207" si="13">IF(E149="","",G149)</f>
        <v/>
      </c>
      <c r="N149" s="171" t="str">
        <f t="shared" ref="N149:N207" si="14">IF(E149="","",H149)</f>
        <v/>
      </c>
      <c r="O149" s="171" t="str">
        <f t="shared" ref="O149:O207" si="15">IF(E149="","",I149)</f>
        <v/>
      </c>
    </row>
    <row r="150" spans="11:15">
      <c r="K150" s="170" t="str">
        <f t="shared" si="12"/>
        <v/>
      </c>
      <c r="L150" s="170" t="str">
        <f>IF(E150="","",IF(COUNTIFS(Table2[[#All],[De (Lote)]],Input_APM!F150)&gt;0,INDEX(Table2[[#All],[Para (Ticker Daniel)]],MATCH(Input_APM!F150,Table2[[#All],[De (Lote)]],0)),Input_APM!F150))</f>
        <v/>
      </c>
      <c r="M150" s="170" t="str">
        <f t="shared" si="13"/>
        <v/>
      </c>
      <c r="N150" s="171" t="str">
        <f t="shared" si="14"/>
        <v/>
      </c>
      <c r="O150" s="171" t="str">
        <f t="shared" si="15"/>
        <v/>
      </c>
    </row>
    <row r="151" spans="11:15">
      <c r="K151" s="170" t="str">
        <f t="shared" si="12"/>
        <v/>
      </c>
      <c r="L151" s="170" t="str">
        <f>IF(E151="","",IF(COUNTIFS(Table2[[#All],[De (Lote)]],Input_APM!F151)&gt;0,INDEX(Table2[[#All],[Para (Ticker Daniel)]],MATCH(Input_APM!F151,Table2[[#All],[De (Lote)]],0)),Input_APM!F151))</f>
        <v/>
      </c>
      <c r="M151" s="170" t="str">
        <f t="shared" si="13"/>
        <v/>
      </c>
      <c r="N151" s="171" t="str">
        <f t="shared" si="14"/>
        <v/>
      </c>
      <c r="O151" s="171" t="str">
        <f t="shared" si="15"/>
        <v/>
      </c>
    </row>
    <row r="152" spans="11:15">
      <c r="K152" s="170" t="str">
        <f t="shared" si="12"/>
        <v/>
      </c>
      <c r="L152" s="170" t="str">
        <f>IF(E152="","",IF(COUNTIFS(Table2[[#All],[De (Lote)]],Input_APM!F152)&gt;0,INDEX(Table2[[#All],[Para (Ticker Daniel)]],MATCH(Input_APM!F152,Table2[[#All],[De (Lote)]],0)),Input_APM!F152))</f>
        <v/>
      </c>
      <c r="M152" s="170" t="str">
        <f t="shared" si="13"/>
        <v/>
      </c>
      <c r="N152" s="171" t="str">
        <f t="shared" si="14"/>
        <v/>
      </c>
      <c r="O152" s="171" t="str">
        <f t="shared" si="15"/>
        <v/>
      </c>
    </row>
    <row r="153" spans="11:15">
      <c r="K153" s="170" t="str">
        <f t="shared" si="12"/>
        <v/>
      </c>
      <c r="L153" s="170" t="str">
        <f>IF(E153="","",IF(COUNTIFS(Table2[[#All],[De (Lote)]],Input_APM!F153)&gt;0,INDEX(Table2[[#All],[Para (Ticker Daniel)]],MATCH(Input_APM!F153,Table2[[#All],[De (Lote)]],0)),Input_APM!F153))</f>
        <v/>
      </c>
      <c r="M153" s="170" t="str">
        <f t="shared" si="13"/>
        <v/>
      </c>
      <c r="N153" s="171" t="str">
        <f t="shared" si="14"/>
        <v/>
      </c>
      <c r="O153" s="171" t="str">
        <f t="shared" si="15"/>
        <v/>
      </c>
    </row>
    <row r="154" spans="11:15">
      <c r="K154" s="170" t="str">
        <f t="shared" si="12"/>
        <v/>
      </c>
      <c r="L154" s="170" t="str">
        <f>IF(E154="","",IF(COUNTIFS(Table2[[#All],[De (Lote)]],Input_APM!F154)&gt;0,INDEX(Table2[[#All],[Para (Ticker Daniel)]],MATCH(Input_APM!F154,Table2[[#All],[De (Lote)]],0)),Input_APM!F154))</f>
        <v/>
      </c>
      <c r="M154" s="170" t="str">
        <f t="shared" si="13"/>
        <v/>
      </c>
      <c r="N154" s="171" t="str">
        <f t="shared" si="14"/>
        <v/>
      </c>
      <c r="O154" s="171" t="str">
        <f t="shared" si="15"/>
        <v/>
      </c>
    </row>
    <row r="155" spans="11:15">
      <c r="K155" s="170" t="str">
        <f t="shared" si="12"/>
        <v/>
      </c>
      <c r="L155" s="170" t="str">
        <f>IF(E155="","",IF(COUNTIFS(Table2[[#All],[De (Lote)]],Input_APM!F155)&gt;0,INDEX(Table2[[#All],[Para (Ticker Daniel)]],MATCH(Input_APM!F155,Table2[[#All],[De (Lote)]],0)),Input_APM!F155))</f>
        <v/>
      </c>
      <c r="M155" s="170" t="str">
        <f t="shared" si="13"/>
        <v/>
      </c>
      <c r="N155" s="171" t="str">
        <f t="shared" si="14"/>
        <v/>
      </c>
      <c r="O155" s="171" t="str">
        <f t="shared" si="15"/>
        <v/>
      </c>
    </row>
    <row r="156" spans="11:15">
      <c r="K156" s="170" t="str">
        <f t="shared" si="12"/>
        <v/>
      </c>
      <c r="L156" s="170" t="str">
        <f>IF(E156="","",IF(COUNTIFS(Table2[[#All],[De (Lote)]],Input_APM!F156)&gt;0,INDEX(Table2[[#All],[Para (Ticker Daniel)]],MATCH(Input_APM!F156,Table2[[#All],[De (Lote)]],0)),Input_APM!F156))</f>
        <v/>
      </c>
      <c r="M156" s="170" t="str">
        <f t="shared" si="13"/>
        <v/>
      </c>
      <c r="N156" s="171" t="str">
        <f t="shared" si="14"/>
        <v/>
      </c>
      <c r="O156" s="171" t="str">
        <f t="shared" si="15"/>
        <v/>
      </c>
    </row>
    <row r="157" spans="11:15">
      <c r="K157" s="170" t="str">
        <f t="shared" si="12"/>
        <v/>
      </c>
      <c r="L157" s="170" t="str">
        <f>IF(E157="","",IF(COUNTIFS(Table2[[#All],[De (Lote)]],Input_APM!F157)&gt;0,INDEX(Table2[[#All],[Para (Ticker Daniel)]],MATCH(Input_APM!F157,Table2[[#All],[De (Lote)]],0)),Input_APM!F157))</f>
        <v/>
      </c>
      <c r="M157" s="170" t="str">
        <f t="shared" si="13"/>
        <v/>
      </c>
      <c r="N157" s="171" t="str">
        <f t="shared" si="14"/>
        <v/>
      </c>
      <c r="O157" s="171" t="str">
        <f t="shared" si="15"/>
        <v/>
      </c>
    </row>
    <row r="158" spans="11:15">
      <c r="K158" s="170" t="str">
        <f t="shared" si="12"/>
        <v/>
      </c>
      <c r="L158" s="170" t="str">
        <f>IF(E158="","",IF(COUNTIFS(Table2[[#All],[De (Lote)]],Input_APM!F158)&gt;0,INDEX(Table2[[#All],[Para (Ticker Daniel)]],MATCH(Input_APM!F158,Table2[[#All],[De (Lote)]],0)),Input_APM!F158))</f>
        <v/>
      </c>
      <c r="M158" s="170" t="str">
        <f t="shared" si="13"/>
        <v/>
      </c>
      <c r="N158" s="171" t="str">
        <f t="shared" si="14"/>
        <v/>
      </c>
      <c r="O158" s="171" t="str">
        <f t="shared" si="15"/>
        <v/>
      </c>
    </row>
    <row r="159" spans="11:15">
      <c r="K159" s="170" t="str">
        <f t="shared" si="12"/>
        <v/>
      </c>
      <c r="L159" s="170" t="str">
        <f>IF(E159="","",IF(COUNTIFS(Table2[[#All],[De (Lote)]],Input_APM!F159)&gt;0,INDEX(Table2[[#All],[Para (Ticker Daniel)]],MATCH(Input_APM!F159,Table2[[#All],[De (Lote)]],0)),Input_APM!F159))</f>
        <v/>
      </c>
      <c r="M159" s="170" t="str">
        <f t="shared" si="13"/>
        <v/>
      </c>
      <c r="N159" s="171" t="str">
        <f t="shared" si="14"/>
        <v/>
      </c>
      <c r="O159" s="171" t="str">
        <f t="shared" si="15"/>
        <v/>
      </c>
    </row>
    <row r="160" spans="11:15">
      <c r="K160" s="170" t="str">
        <f t="shared" si="12"/>
        <v/>
      </c>
      <c r="L160" s="170" t="str">
        <f>IF(E160="","",IF(COUNTIFS(Table2[[#All],[De (Lote)]],Input_APM!F160)&gt;0,INDEX(Table2[[#All],[Para (Ticker Daniel)]],MATCH(Input_APM!F160,Table2[[#All],[De (Lote)]],0)),Input_APM!F160))</f>
        <v/>
      </c>
      <c r="M160" s="170" t="str">
        <f t="shared" si="13"/>
        <v/>
      </c>
      <c r="N160" s="171" t="str">
        <f t="shared" si="14"/>
        <v/>
      </c>
      <c r="O160" s="171" t="str">
        <f t="shared" si="15"/>
        <v/>
      </c>
    </row>
    <row r="161" spans="11:15">
      <c r="K161" s="170" t="str">
        <f t="shared" si="12"/>
        <v/>
      </c>
      <c r="L161" s="170" t="str">
        <f>IF(E161="","",IF(COUNTIFS(Table2[[#All],[De (Lote)]],Input_APM!F161)&gt;0,INDEX(Table2[[#All],[Para (Ticker Daniel)]],MATCH(Input_APM!F161,Table2[[#All],[De (Lote)]],0)),Input_APM!F161))</f>
        <v/>
      </c>
      <c r="M161" s="170" t="str">
        <f t="shared" si="13"/>
        <v/>
      </c>
      <c r="N161" s="171" t="str">
        <f t="shared" si="14"/>
        <v/>
      </c>
      <c r="O161" s="171" t="str">
        <f t="shared" si="15"/>
        <v/>
      </c>
    </row>
    <row r="162" spans="11:15">
      <c r="K162" s="170" t="str">
        <f t="shared" si="12"/>
        <v/>
      </c>
      <c r="L162" s="170" t="str">
        <f>IF(E162="","",IF(COUNTIFS(Table2[[#All],[De (Lote)]],Input_APM!F162)&gt;0,INDEX(Table2[[#All],[Para (Ticker Daniel)]],MATCH(Input_APM!F162,Table2[[#All],[De (Lote)]],0)),Input_APM!F162))</f>
        <v/>
      </c>
      <c r="M162" s="170" t="str">
        <f t="shared" si="13"/>
        <v/>
      </c>
      <c r="N162" s="171" t="str">
        <f t="shared" si="14"/>
        <v/>
      </c>
      <c r="O162" s="171" t="str">
        <f t="shared" si="15"/>
        <v/>
      </c>
    </row>
    <row r="163" spans="11:15">
      <c r="K163" s="170" t="str">
        <f t="shared" si="12"/>
        <v/>
      </c>
      <c r="L163" s="170" t="str">
        <f>IF(E163="","",IF(COUNTIFS(Table2[[#All],[De (Lote)]],Input_APM!F163)&gt;0,INDEX(Table2[[#All],[Para (Ticker Daniel)]],MATCH(Input_APM!F163,Table2[[#All],[De (Lote)]],0)),Input_APM!F163))</f>
        <v/>
      </c>
      <c r="M163" s="170" t="str">
        <f t="shared" si="13"/>
        <v/>
      </c>
      <c r="N163" s="171" t="str">
        <f t="shared" si="14"/>
        <v/>
      </c>
      <c r="O163" s="171" t="str">
        <f t="shared" si="15"/>
        <v/>
      </c>
    </row>
    <row r="164" spans="11:15">
      <c r="K164" s="170" t="str">
        <f t="shared" si="12"/>
        <v/>
      </c>
      <c r="L164" s="170" t="str">
        <f>IF(E164="","",IF(COUNTIFS(Table2[[#All],[De (Lote)]],Input_APM!F164)&gt;0,INDEX(Table2[[#All],[Para (Ticker Daniel)]],MATCH(Input_APM!F164,Table2[[#All],[De (Lote)]],0)),Input_APM!F164))</f>
        <v/>
      </c>
      <c r="M164" s="170" t="str">
        <f t="shared" si="13"/>
        <v/>
      </c>
      <c r="N164" s="171" t="str">
        <f t="shared" si="14"/>
        <v/>
      </c>
      <c r="O164" s="171" t="str">
        <f t="shared" si="15"/>
        <v/>
      </c>
    </row>
    <row r="165" spans="11:15">
      <c r="K165" s="170" t="str">
        <f t="shared" si="12"/>
        <v/>
      </c>
      <c r="L165" s="170" t="str">
        <f>IF(E165="","",IF(COUNTIFS(Table2[[#All],[De (Lote)]],Input_APM!F165)&gt;0,INDEX(Table2[[#All],[Para (Ticker Daniel)]],MATCH(Input_APM!F165,Table2[[#All],[De (Lote)]],0)),Input_APM!F165))</f>
        <v/>
      </c>
      <c r="M165" s="170" t="str">
        <f t="shared" si="13"/>
        <v/>
      </c>
      <c r="N165" s="171" t="str">
        <f t="shared" si="14"/>
        <v/>
      </c>
      <c r="O165" s="171" t="str">
        <f t="shared" si="15"/>
        <v/>
      </c>
    </row>
    <row r="166" spans="11:15">
      <c r="K166" s="170" t="str">
        <f t="shared" si="12"/>
        <v/>
      </c>
      <c r="L166" s="170" t="str">
        <f>IF(E166="","",IF(COUNTIFS(Table2[[#All],[De (Lote)]],Input_APM!F166)&gt;0,INDEX(Table2[[#All],[Para (Ticker Daniel)]],MATCH(Input_APM!F166,Table2[[#All],[De (Lote)]],0)),Input_APM!F166))</f>
        <v/>
      </c>
      <c r="M166" s="170" t="str">
        <f t="shared" si="13"/>
        <v/>
      </c>
      <c r="N166" s="171" t="str">
        <f t="shared" si="14"/>
        <v/>
      </c>
      <c r="O166" s="171" t="str">
        <f t="shared" si="15"/>
        <v/>
      </c>
    </row>
    <row r="167" spans="11:15">
      <c r="K167" s="170" t="str">
        <f t="shared" si="12"/>
        <v/>
      </c>
      <c r="L167" s="170" t="str">
        <f>IF(E167="","",IF(COUNTIFS(Table2[[#All],[De (Lote)]],Input_APM!F167)&gt;0,INDEX(Table2[[#All],[Para (Ticker Daniel)]],MATCH(Input_APM!F167,Table2[[#All],[De (Lote)]],0)),Input_APM!F167))</f>
        <v/>
      </c>
      <c r="M167" s="170" t="str">
        <f t="shared" si="13"/>
        <v/>
      </c>
      <c r="N167" s="171" t="str">
        <f t="shared" si="14"/>
        <v/>
      </c>
      <c r="O167" s="171" t="str">
        <f t="shared" si="15"/>
        <v/>
      </c>
    </row>
    <row r="168" spans="11:15">
      <c r="K168" s="170" t="str">
        <f t="shared" si="12"/>
        <v/>
      </c>
      <c r="L168" s="170" t="str">
        <f>IF(E168="","",IF(COUNTIFS(Table2[[#All],[De (Lote)]],Input_APM!F168)&gt;0,INDEX(Table2[[#All],[Para (Ticker Daniel)]],MATCH(Input_APM!F168,Table2[[#All],[De (Lote)]],0)),Input_APM!F168))</f>
        <v/>
      </c>
      <c r="M168" s="170" t="str">
        <f t="shared" si="13"/>
        <v/>
      </c>
      <c r="N168" s="171" t="str">
        <f t="shared" si="14"/>
        <v/>
      </c>
      <c r="O168" s="171" t="str">
        <f t="shared" si="15"/>
        <v/>
      </c>
    </row>
    <row r="169" spans="11:15">
      <c r="K169" s="170" t="str">
        <f t="shared" si="12"/>
        <v/>
      </c>
      <c r="L169" s="170" t="str">
        <f>IF(E169="","",IF(COUNTIFS(Table2[[#All],[De (Lote)]],Input_APM!F169)&gt;0,INDEX(Table2[[#All],[Para (Ticker Daniel)]],MATCH(Input_APM!F169,Table2[[#All],[De (Lote)]],0)),Input_APM!F169))</f>
        <v/>
      </c>
      <c r="M169" s="170" t="str">
        <f t="shared" si="13"/>
        <v/>
      </c>
      <c r="N169" s="171" t="str">
        <f t="shared" si="14"/>
        <v/>
      </c>
      <c r="O169" s="171" t="str">
        <f t="shared" si="15"/>
        <v/>
      </c>
    </row>
    <row r="170" spans="11:15">
      <c r="K170" s="170" t="str">
        <f t="shared" si="12"/>
        <v/>
      </c>
      <c r="L170" s="170" t="str">
        <f>IF(E170="","",IF(COUNTIFS(Table2[[#All],[De (Lote)]],Input_APM!F170)&gt;0,INDEX(Table2[[#All],[Para (Ticker Daniel)]],MATCH(Input_APM!F170,Table2[[#All],[De (Lote)]],0)),Input_APM!F170))</f>
        <v/>
      </c>
      <c r="M170" s="170" t="str">
        <f t="shared" si="13"/>
        <v/>
      </c>
      <c r="N170" s="171" t="str">
        <f t="shared" si="14"/>
        <v/>
      </c>
      <c r="O170" s="171" t="str">
        <f t="shared" si="15"/>
        <v/>
      </c>
    </row>
    <row r="171" spans="11:15">
      <c r="K171" s="170" t="str">
        <f t="shared" si="12"/>
        <v/>
      </c>
      <c r="L171" s="170" t="str">
        <f>IF(E171="","",IF(COUNTIFS(Table2[[#All],[De (Lote)]],Input_APM!F171)&gt;0,INDEX(Table2[[#All],[Para (Ticker Daniel)]],MATCH(Input_APM!F171,Table2[[#All],[De (Lote)]],0)),Input_APM!F171))</f>
        <v/>
      </c>
      <c r="M171" s="170" t="str">
        <f t="shared" si="13"/>
        <v/>
      </c>
      <c r="N171" s="171" t="str">
        <f t="shared" si="14"/>
        <v/>
      </c>
      <c r="O171" s="171" t="str">
        <f t="shared" si="15"/>
        <v/>
      </c>
    </row>
    <row r="172" spans="11:15">
      <c r="K172" s="170" t="str">
        <f t="shared" si="12"/>
        <v/>
      </c>
      <c r="L172" s="170" t="str">
        <f>IF(E172="","",IF(COUNTIFS(Table2[[#All],[De (Lote)]],Input_APM!F172)&gt;0,INDEX(Table2[[#All],[Para (Ticker Daniel)]],MATCH(Input_APM!F172,Table2[[#All],[De (Lote)]],0)),Input_APM!F172))</f>
        <v/>
      </c>
      <c r="M172" s="170" t="str">
        <f t="shared" si="13"/>
        <v/>
      </c>
      <c r="N172" s="171" t="str">
        <f t="shared" si="14"/>
        <v/>
      </c>
      <c r="O172" s="171" t="str">
        <f t="shared" si="15"/>
        <v/>
      </c>
    </row>
    <row r="173" spans="11:15">
      <c r="K173" s="170" t="str">
        <f t="shared" si="12"/>
        <v/>
      </c>
      <c r="L173" s="170" t="str">
        <f>IF(E173="","",IF(COUNTIFS(Table2[[#All],[De (Lote)]],Input_APM!F173)&gt;0,INDEX(Table2[[#All],[Para (Ticker Daniel)]],MATCH(Input_APM!F173,Table2[[#All],[De (Lote)]],0)),Input_APM!F173))</f>
        <v/>
      </c>
      <c r="M173" s="170" t="str">
        <f t="shared" si="13"/>
        <v/>
      </c>
      <c r="N173" s="171" t="str">
        <f t="shared" si="14"/>
        <v/>
      </c>
      <c r="O173" s="171" t="str">
        <f t="shared" si="15"/>
        <v/>
      </c>
    </row>
    <row r="174" spans="11:15">
      <c r="K174" s="170" t="str">
        <f t="shared" si="12"/>
        <v/>
      </c>
      <c r="L174" s="170" t="str">
        <f>IF(E174="","",IF(COUNTIFS(Table2[[#All],[De (Lote)]],Input_APM!F174)&gt;0,INDEX(Table2[[#All],[Para (Ticker Daniel)]],MATCH(Input_APM!F174,Table2[[#All],[De (Lote)]],0)),Input_APM!F174))</f>
        <v/>
      </c>
      <c r="M174" s="170" t="str">
        <f t="shared" si="13"/>
        <v/>
      </c>
      <c r="N174" s="171" t="str">
        <f t="shared" si="14"/>
        <v/>
      </c>
      <c r="O174" s="171" t="str">
        <f t="shared" si="15"/>
        <v/>
      </c>
    </row>
    <row r="175" spans="11:15">
      <c r="K175" s="170" t="str">
        <f t="shared" si="12"/>
        <v/>
      </c>
      <c r="L175" s="170" t="str">
        <f>IF(E175="","",IF(COUNTIFS(Table2[[#All],[De (Lote)]],Input_APM!F175)&gt;0,INDEX(Table2[[#All],[Para (Ticker Daniel)]],MATCH(Input_APM!F175,Table2[[#All],[De (Lote)]],0)),Input_APM!F175))</f>
        <v/>
      </c>
      <c r="M175" s="170" t="str">
        <f t="shared" si="13"/>
        <v/>
      </c>
      <c r="N175" s="171" t="str">
        <f t="shared" si="14"/>
        <v/>
      </c>
      <c r="O175" s="171" t="str">
        <f t="shared" si="15"/>
        <v/>
      </c>
    </row>
    <row r="176" spans="11:15">
      <c r="K176" s="170" t="str">
        <f t="shared" si="12"/>
        <v/>
      </c>
      <c r="L176" s="170" t="str">
        <f>IF(E176="","",IF(COUNTIFS(Table2[[#All],[De (Lote)]],Input_APM!F176)&gt;0,INDEX(Table2[[#All],[Para (Ticker Daniel)]],MATCH(Input_APM!F176,Table2[[#All],[De (Lote)]],0)),Input_APM!F176))</f>
        <v/>
      </c>
      <c r="M176" s="170" t="str">
        <f t="shared" si="13"/>
        <v/>
      </c>
      <c r="N176" s="171" t="str">
        <f t="shared" si="14"/>
        <v/>
      </c>
      <c r="O176" s="171" t="str">
        <f t="shared" si="15"/>
        <v/>
      </c>
    </row>
    <row r="177" spans="11:15">
      <c r="K177" s="170" t="str">
        <f t="shared" si="12"/>
        <v/>
      </c>
      <c r="L177" s="170" t="str">
        <f>IF(E177="","",IF(COUNTIFS(Table2[[#All],[De (Lote)]],Input_APM!F177)&gt;0,INDEX(Table2[[#All],[Para (Ticker Daniel)]],MATCH(Input_APM!F177,Table2[[#All],[De (Lote)]],0)),Input_APM!F177))</f>
        <v/>
      </c>
      <c r="M177" s="170" t="str">
        <f t="shared" si="13"/>
        <v/>
      </c>
      <c r="N177" s="171" t="str">
        <f t="shared" si="14"/>
        <v/>
      </c>
      <c r="O177" s="171" t="str">
        <f t="shared" si="15"/>
        <v/>
      </c>
    </row>
    <row r="178" spans="11:15">
      <c r="K178" s="170" t="str">
        <f t="shared" si="12"/>
        <v/>
      </c>
      <c r="L178" s="170" t="str">
        <f>IF(E178="","",IF(COUNTIFS(Table2[[#All],[De (Lote)]],Input_APM!F178)&gt;0,INDEX(Table2[[#All],[Para (Ticker Daniel)]],MATCH(Input_APM!F178,Table2[[#All],[De (Lote)]],0)),Input_APM!F178))</f>
        <v/>
      </c>
      <c r="M178" s="170" t="str">
        <f t="shared" si="13"/>
        <v/>
      </c>
      <c r="N178" s="171" t="str">
        <f t="shared" si="14"/>
        <v/>
      </c>
      <c r="O178" s="171" t="str">
        <f t="shared" si="15"/>
        <v/>
      </c>
    </row>
    <row r="179" spans="11:15">
      <c r="K179" s="170" t="str">
        <f t="shared" si="12"/>
        <v/>
      </c>
      <c r="L179" s="170" t="str">
        <f>IF(E179="","",IF(COUNTIFS(Table2[[#All],[De (Lote)]],Input_APM!F179)&gt;0,INDEX(Table2[[#All],[Para (Ticker Daniel)]],MATCH(Input_APM!F179,Table2[[#All],[De (Lote)]],0)),Input_APM!F179))</f>
        <v/>
      </c>
      <c r="M179" s="170" t="str">
        <f t="shared" si="13"/>
        <v/>
      </c>
      <c r="N179" s="171" t="str">
        <f t="shared" si="14"/>
        <v/>
      </c>
      <c r="O179" s="171" t="str">
        <f t="shared" si="15"/>
        <v/>
      </c>
    </row>
    <row r="180" spans="11:15">
      <c r="K180" s="170" t="str">
        <f t="shared" si="12"/>
        <v/>
      </c>
      <c r="L180" s="170" t="str">
        <f>IF(E180="","",IF(COUNTIFS(Table2[[#All],[De (Lote)]],Input_APM!F180)&gt;0,INDEX(Table2[[#All],[Para (Ticker Daniel)]],MATCH(Input_APM!F180,Table2[[#All],[De (Lote)]],0)),Input_APM!F180))</f>
        <v/>
      </c>
      <c r="M180" s="170" t="str">
        <f t="shared" si="13"/>
        <v/>
      </c>
      <c r="N180" s="171" t="str">
        <f t="shared" si="14"/>
        <v/>
      </c>
      <c r="O180" s="171" t="str">
        <f t="shared" si="15"/>
        <v/>
      </c>
    </row>
    <row r="181" spans="11:15">
      <c r="K181" s="170" t="str">
        <f t="shared" si="12"/>
        <v/>
      </c>
      <c r="L181" s="170" t="str">
        <f>IF(E181="","",IF(COUNTIFS(Table2[[#All],[De (Lote)]],Input_APM!F181)&gt;0,INDEX(Table2[[#All],[Para (Ticker Daniel)]],MATCH(Input_APM!F181,Table2[[#All],[De (Lote)]],0)),Input_APM!F181))</f>
        <v/>
      </c>
      <c r="M181" s="170" t="str">
        <f t="shared" si="13"/>
        <v/>
      </c>
      <c r="N181" s="171" t="str">
        <f t="shared" si="14"/>
        <v/>
      </c>
      <c r="O181" s="171" t="str">
        <f t="shared" si="15"/>
        <v/>
      </c>
    </row>
    <row r="182" spans="11:15">
      <c r="K182" s="170" t="str">
        <f t="shared" si="12"/>
        <v/>
      </c>
      <c r="L182" s="170" t="str">
        <f>IF(E182="","",IF(COUNTIFS(Table2[[#All],[De (Lote)]],Input_APM!F182)&gt;0,INDEX(Table2[[#All],[Para (Ticker Daniel)]],MATCH(Input_APM!F182,Table2[[#All],[De (Lote)]],0)),Input_APM!F182))</f>
        <v/>
      </c>
      <c r="M182" s="170" t="str">
        <f t="shared" si="13"/>
        <v/>
      </c>
      <c r="N182" s="171" t="str">
        <f t="shared" si="14"/>
        <v/>
      </c>
      <c r="O182" s="171" t="str">
        <f t="shared" si="15"/>
        <v/>
      </c>
    </row>
    <row r="183" spans="11:15">
      <c r="K183" s="170" t="str">
        <f t="shared" si="12"/>
        <v/>
      </c>
      <c r="L183" s="170" t="str">
        <f>IF(E183="","",IF(COUNTIFS(Table2[[#All],[De (Lote)]],Input_APM!F183)&gt;0,INDEX(Table2[[#All],[Para (Ticker Daniel)]],MATCH(Input_APM!F183,Table2[[#All],[De (Lote)]],0)),Input_APM!F183))</f>
        <v/>
      </c>
      <c r="M183" s="170" t="str">
        <f t="shared" si="13"/>
        <v/>
      </c>
      <c r="N183" s="171" t="str">
        <f t="shared" si="14"/>
        <v/>
      </c>
      <c r="O183" s="171" t="str">
        <f t="shared" si="15"/>
        <v/>
      </c>
    </row>
    <row r="184" spans="11:15">
      <c r="K184" s="170" t="str">
        <f t="shared" si="12"/>
        <v/>
      </c>
      <c r="L184" s="170" t="str">
        <f>IF(E184="","",IF(COUNTIFS(Table2[[#All],[De (Lote)]],Input_APM!F184)&gt;0,INDEX(Table2[[#All],[Para (Ticker Daniel)]],MATCH(Input_APM!F184,Table2[[#All],[De (Lote)]],0)),Input_APM!F184))</f>
        <v/>
      </c>
      <c r="M184" s="170" t="str">
        <f t="shared" si="13"/>
        <v/>
      </c>
      <c r="N184" s="171" t="str">
        <f t="shared" si="14"/>
        <v/>
      </c>
      <c r="O184" s="171" t="str">
        <f t="shared" si="15"/>
        <v/>
      </c>
    </row>
    <row r="185" spans="11:15">
      <c r="K185" s="170" t="str">
        <f t="shared" si="12"/>
        <v/>
      </c>
      <c r="L185" s="170" t="str">
        <f>IF(E185="","",IF(COUNTIFS(Table2[[#All],[De (Lote)]],Input_APM!F185)&gt;0,INDEX(Table2[[#All],[Para (Ticker Daniel)]],MATCH(Input_APM!F185,Table2[[#All],[De (Lote)]],0)),Input_APM!F185))</f>
        <v/>
      </c>
      <c r="M185" s="170" t="str">
        <f t="shared" si="13"/>
        <v/>
      </c>
      <c r="N185" s="171" t="str">
        <f t="shared" si="14"/>
        <v/>
      </c>
      <c r="O185" s="171" t="str">
        <f t="shared" si="15"/>
        <v/>
      </c>
    </row>
    <row r="186" spans="11:15">
      <c r="K186" s="170" t="str">
        <f t="shared" si="12"/>
        <v/>
      </c>
      <c r="L186" s="170" t="str">
        <f>IF(E186="","",IF(COUNTIFS(Table2[[#All],[De (Lote)]],Input_APM!F186)&gt;0,INDEX(Table2[[#All],[Para (Ticker Daniel)]],MATCH(Input_APM!F186,Table2[[#All],[De (Lote)]],0)),Input_APM!F186))</f>
        <v/>
      </c>
      <c r="M186" s="170" t="str">
        <f t="shared" si="13"/>
        <v/>
      </c>
      <c r="N186" s="171" t="str">
        <f t="shared" si="14"/>
        <v/>
      </c>
      <c r="O186" s="171" t="str">
        <f t="shared" si="15"/>
        <v/>
      </c>
    </row>
    <row r="187" spans="11:15">
      <c r="K187" s="170" t="str">
        <f t="shared" si="12"/>
        <v/>
      </c>
      <c r="L187" s="170" t="str">
        <f>IF(E187="","",IF(COUNTIFS(Table2[[#All],[De (Lote)]],Input_APM!F187)&gt;0,INDEX(Table2[[#All],[Para (Ticker Daniel)]],MATCH(Input_APM!F187,Table2[[#All],[De (Lote)]],0)),Input_APM!F187))</f>
        <v/>
      </c>
      <c r="M187" s="170" t="str">
        <f t="shared" si="13"/>
        <v/>
      </c>
      <c r="N187" s="171" t="str">
        <f t="shared" si="14"/>
        <v/>
      </c>
      <c r="O187" s="171" t="str">
        <f t="shared" si="15"/>
        <v/>
      </c>
    </row>
    <row r="188" spans="11:15">
      <c r="K188" s="170" t="str">
        <f t="shared" si="12"/>
        <v/>
      </c>
      <c r="L188" s="170" t="str">
        <f>IF(E188="","",IF(COUNTIFS(Table2[[#All],[De (Lote)]],Input_APM!F188)&gt;0,INDEX(Table2[[#All],[Para (Ticker Daniel)]],MATCH(Input_APM!F188,Table2[[#All],[De (Lote)]],0)),Input_APM!F188))</f>
        <v/>
      </c>
      <c r="M188" s="170" t="str">
        <f t="shared" si="13"/>
        <v/>
      </c>
      <c r="N188" s="171" t="str">
        <f t="shared" si="14"/>
        <v/>
      </c>
      <c r="O188" s="171" t="str">
        <f t="shared" si="15"/>
        <v/>
      </c>
    </row>
    <row r="189" spans="11:15">
      <c r="K189" s="170" t="str">
        <f t="shared" si="12"/>
        <v/>
      </c>
      <c r="L189" s="170" t="str">
        <f>IF(E189="","",IF(COUNTIFS(Table2[[#All],[De (Lote)]],Input_APM!F189)&gt;0,INDEX(Table2[[#All],[Para (Ticker Daniel)]],MATCH(Input_APM!F189,Table2[[#All],[De (Lote)]],0)),Input_APM!F189))</f>
        <v/>
      </c>
      <c r="M189" s="170" t="str">
        <f t="shared" si="13"/>
        <v/>
      </c>
      <c r="N189" s="171" t="str">
        <f t="shared" si="14"/>
        <v/>
      </c>
      <c r="O189" s="171" t="str">
        <f t="shared" si="15"/>
        <v/>
      </c>
    </row>
    <row r="190" spans="11:15">
      <c r="K190" s="170" t="str">
        <f t="shared" si="12"/>
        <v/>
      </c>
      <c r="L190" s="170" t="str">
        <f>IF(E190="","",IF(COUNTIFS(Table2[[#All],[De (Lote)]],Input_APM!F190)&gt;0,INDEX(Table2[[#All],[Para (Ticker Daniel)]],MATCH(Input_APM!F190,Table2[[#All],[De (Lote)]],0)),Input_APM!F190))</f>
        <v/>
      </c>
      <c r="M190" s="170" t="str">
        <f t="shared" si="13"/>
        <v/>
      </c>
      <c r="N190" s="171" t="str">
        <f t="shared" si="14"/>
        <v/>
      </c>
      <c r="O190" s="171" t="str">
        <f t="shared" si="15"/>
        <v/>
      </c>
    </row>
    <row r="191" spans="11:15">
      <c r="K191" s="170" t="str">
        <f t="shared" si="12"/>
        <v/>
      </c>
      <c r="L191" s="170" t="str">
        <f>IF(E191="","",IF(COUNTIFS(Table2[[#All],[De (Lote)]],Input_APM!F191)&gt;0,INDEX(Table2[[#All],[Para (Ticker Daniel)]],MATCH(Input_APM!F191,Table2[[#All],[De (Lote)]],0)),Input_APM!F191))</f>
        <v/>
      </c>
      <c r="M191" s="170" t="str">
        <f t="shared" si="13"/>
        <v/>
      </c>
      <c r="N191" s="171" t="str">
        <f t="shared" si="14"/>
        <v/>
      </c>
      <c r="O191" s="171" t="str">
        <f t="shared" si="15"/>
        <v/>
      </c>
    </row>
    <row r="192" spans="11:15">
      <c r="K192" s="170" t="str">
        <f t="shared" si="12"/>
        <v/>
      </c>
      <c r="L192" s="170" t="str">
        <f>IF(E192="","",IF(COUNTIFS(Table2[[#All],[De (Lote)]],Input_APM!F192)&gt;0,INDEX(Table2[[#All],[Para (Ticker Daniel)]],MATCH(Input_APM!F192,Table2[[#All],[De (Lote)]],0)),Input_APM!F192))</f>
        <v/>
      </c>
      <c r="M192" s="170" t="str">
        <f t="shared" si="13"/>
        <v/>
      </c>
      <c r="N192" s="171" t="str">
        <f t="shared" si="14"/>
        <v/>
      </c>
      <c r="O192" s="171" t="str">
        <f t="shared" si="15"/>
        <v/>
      </c>
    </row>
    <row r="193" spans="5:15">
      <c r="K193" s="170" t="str">
        <f t="shared" si="12"/>
        <v/>
      </c>
      <c r="L193" s="170" t="str">
        <f>IF(E193="","",IF(COUNTIFS(Table2[[#All],[De (Lote)]],Input_APM!F193)&gt;0,INDEX(Table2[[#All],[Para (Ticker Daniel)]],MATCH(Input_APM!F193,Table2[[#All],[De (Lote)]],0)),Input_APM!F193))</f>
        <v/>
      </c>
      <c r="M193" s="170" t="str">
        <f t="shared" si="13"/>
        <v/>
      </c>
      <c r="N193" s="171" t="str">
        <f t="shared" si="14"/>
        <v/>
      </c>
      <c r="O193" s="171" t="str">
        <f t="shared" si="15"/>
        <v/>
      </c>
    </row>
    <row r="194" spans="5:15">
      <c r="K194" s="170" t="str">
        <f t="shared" si="12"/>
        <v/>
      </c>
      <c r="L194" s="170" t="str">
        <f>IF(E194="","",IF(COUNTIFS(Table2[[#All],[De (Lote)]],Input_APM!F194)&gt;0,INDEX(Table2[[#All],[Para (Ticker Daniel)]],MATCH(Input_APM!F194,Table2[[#All],[De (Lote)]],0)),Input_APM!F194))</f>
        <v/>
      </c>
      <c r="M194" s="170" t="str">
        <f t="shared" si="13"/>
        <v/>
      </c>
      <c r="N194" s="171" t="str">
        <f t="shared" si="14"/>
        <v/>
      </c>
      <c r="O194" s="171" t="str">
        <f t="shared" si="15"/>
        <v/>
      </c>
    </row>
    <row r="195" spans="5:15">
      <c r="E195" s="296"/>
      <c r="K195" s="170" t="str">
        <f t="shared" si="12"/>
        <v/>
      </c>
      <c r="L195" s="170" t="str">
        <f>IF(E195="","",IF(COUNTIFS(Table2[[#All],[De (Lote)]],Input_APM!F195)&gt;0,INDEX(Table2[[#All],[Para (Ticker Daniel)]],MATCH(Input_APM!F195,Table2[[#All],[De (Lote)]],0)),Input_APM!F195))</f>
        <v/>
      </c>
      <c r="M195" s="170" t="str">
        <f t="shared" si="13"/>
        <v/>
      </c>
      <c r="N195" s="171" t="str">
        <f t="shared" si="14"/>
        <v/>
      </c>
      <c r="O195" s="171" t="str">
        <f t="shared" si="15"/>
        <v/>
      </c>
    </row>
    <row r="196" spans="5:15">
      <c r="E196" s="296"/>
      <c r="K196" s="170" t="str">
        <f t="shared" si="12"/>
        <v/>
      </c>
      <c r="L196" s="170" t="str">
        <f>IF(E196="","",IF(COUNTIFS(Table2[[#All],[De (Lote)]],Input_APM!F196)&gt;0,INDEX(Table2[[#All],[Para (Ticker Daniel)]],MATCH(Input_APM!F196,Table2[[#All],[De (Lote)]],0)),Input_APM!F196))</f>
        <v/>
      </c>
      <c r="M196" s="170" t="str">
        <f t="shared" si="13"/>
        <v/>
      </c>
      <c r="N196" s="171" t="str">
        <f t="shared" si="14"/>
        <v/>
      </c>
      <c r="O196" s="171" t="str">
        <f t="shared" si="15"/>
        <v/>
      </c>
    </row>
    <row r="197" spans="5:15">
      <c r="E197" s="296"/>
      <c r="K197" s="170" t="str">
        <f t="shared" si="12"/>
        <v/>
      </c>
      <c r="L197" s="170" t="str">
        <f>IF(E197="","",IF(COUNTIFS(Table2[[#All],[De (Lote)]],Input_APM!F197)&gt;0,INDEX(Table2[[#All],[Para (Ticker Daniel)]],MATCH(Input_APM!F197,Table2[[#All],[De (Lote)]],0)),Input_APM!F197))</f>
        <v/>
      </c>
      <c r="M197" s="170" t="str">
        <f t="shared" si="13"/>
        <v/>
      </c>
      <c r="N197" s="171" t="str">
        <f t="shared" si="14"/>
        <v/>
      </c>
      <c r="O197" s="171" t="str">
        <f t="shared" si="15"/>
        <v/>
      </c>
    </row>
    <row r="198" spans="5:15">
      <c r="E198" s="296"/>
      <c r="K198" s="170" t="str">
        <f t="shared" si="12"/>
        <v/>
      </c>
      <c r="L198" s="170" t="str">
        <f>IF(E198="","",IF(COUNTIFS(Table2[[#All],[De (Lote)]],Input_APM!F198)&gt;0,INDEX(Table2[[#All],[Para (Ticker Daniel)]],MATCH(Input_APM!F198,Table2[[#All],[De (Lote)]],0)),Input_APM!F198))</f>
        <v/>
      </c>
      <c r="M198" s="170" t="str">
        <f t="shared" si="13"/>
        <v/>
      </c>
      <c r="N198" s="171" t="str">
        <f t="shared" si="14"/>
        <v/>
      </c>
      <c r="O198" s="171" t="str">
        <f t="shared" si="15"/>
        <v/>
      </c>
    </row>
    <row r="199" spans="5:15">
      <c r="E199" s="296"/>
      <c r="K199" s="170" t="str">
        <f t="shared" si="12"/>
        <v/>
      </c>
      <c r="L199" s="170" t="str">
        <f>IF(E199="","",IF(COUNTIFS(Table2[[#All],[De (Lote)]],Input_APM!F199)&gt;0,INDEX(Table2[[#All],[Para (Ticker Daniel)]],MATCH(Input_APM!F199,Table2[[#All],[De (Lote)]],0)),Input_APM!F199))</f>
        <v/>
      </c>
      <c r="M199" s="170" t="str">
        <f t="shared" si="13"/>
        <v/>
      </c>
      <c r="N199" s="171" t="str">
        <f t="shared" si="14"/>
        <v/>
      </c>
      <c r="O199" s="171" t="str">
        <f t="shared" si="15"/>
        <v/>
      </c>
    </row>
    <row r="200" spans="5:15">
      <c r="E200" s="296"/>
      <c r="K200" s="170" t="str">
        <f t="shared" si="12"/>
        <v/>
      </c>
      <c r="L200" s="170" t="str">
        <f>IF(E200="","",IF(COUNTIFS(Table2[[#All],[De (Lote)]],Input_APM!F200)&gt;0,INDEX(Table2[[#All],[Para (Ticker Daniel)]],MATCH(Input_APM!F200,Table2[[#All],[De (Lote)]],0)),Input_APM!F200))</f>
        <v/>
      </c>
      <c r="M200" s="170" t="str">
        <f t="shared" si="13"/>
        <v/>
      </c>
      <c r="N200" s="171" t="str">
        <f t="shared" si="14"/>
        <v/>
      </c>
      <c r="O200" s="171" t="str">
        <f t="shared" si="15"/>
        <v/>
      </c>
    </row>
    <row r="201" spans="5:15">
      <c r="E201" s="296"/>
      <c r="K201" s="170" t="str">
        <f t="shared" si="12"/>
        <v/>
      </c>
      <c r="L201" s="170" t="str">
        <f>IF(E201="","",IF(COUNTIFS(Table2[[#All],[De (Lote)]],Input_APM!F201)&gt;0,INDEX(Table2[[#All],[Para (Ticker Daniel)]],MATCH(Input_APM!F201,Table2[[#All],[De (Lote)]],0)),Input_APM!F201))</f>
        <v/>
      </c>
      <c r="M201" s="170" t="str">
        <f t="shared" si="13"/>
        <v/>
      </c>
      <c r="N201" s="171" t="str">
        <f t="shared" si="14"/>
        <v/>
      </c>
      <c r="O201" s="171" t="str">
        <f t="shared" si="15"/>
        <v/>
      </c>
    </row>
    <row r="202" spans="5:15">
      <c r="E202" s="296"/>
      <c r="K202" s="170" t="str">
        <f t="shared" si="12"/>
        <v/>
      </c>
      <c r="L202" s="170" t="str">
        <f>IF(E202="","",IF(COUNTIFS(Table2[[#All],[De (Lote)]],Input_APM!F202)&gt;0,INDEX(Table2[[#All],[Para (Ticker Daniel)]],MATCH(Input_APM!F202,Table2[[#All],[De (Lote)]],0)),Input_APM!F202))</f>
        <v/>
      </c>
      <c r="M202" s="170" t="str">
        <f t="shared" si="13"/>
        <v/>
      </c>
      <c r="N202" s="171" t="str">
        <f t="shared" si="14"/>
        <v/>
      </c>
      <c r="O202" s="171" t="str">
        <f t="shared" si="15"/>
        <v/>
      </c>
    </row>
    <row r="203" spans="5:15">
      <c r="E203" s="296"/>
      <c r="K203" s="170" t="str">
        <f t="shared" si="12"/>
        <v/>
      </c>
      <c r="L203" s="170" t="str">
        <f>IF(E203="","",IF(COUNTIFS(Table2[[#All],[De (Lote)]],Input_APM!F203)&gt;0,INDEX(Table2[[#All],[Para (Ticker Daniel)]],MATCH(Input_APM!F203,Table2[[#All],[De (Lote)]],0)),Input_APM!F203))</f>
        <v/>
      </c>
      <c r="M203" s="170" t="str">
        <f t="shared" si="13"/>
        <v/>
      </c>
      <c r="N203" s="171" t="str">
        <f t="shared" si="14"/>
        <v/>
      </c>
      <c r="O203" s="171" t="str">
        <f t="shared" si="15"/>
        <v/>
      </c>
    </row>
    <row r="204" spans="5:15">
      <c r="E204" s="296"/>
      <c r="K204" s="170" t="str">
        <f t="shared" si="12"/>
        <v/>
      </c>
      <c r="L204" s="170" t="str">
        <f>IF(E204="","",IF(COUNTIFS(Table2[[#All],[De (Lote)]],Input_APM!F204)&gt;0,INDEX(Table2[[#All],[Para (Ticker Daniel)]],MATCH(Input_APM!F204,Table2[[#All],[De (Lote)]],0)),Input_APM!F204))</f>
        <v/>
      </c>
      <c r="M204" s="170" t="str">
        <f t="shared" si="13"/>
        <v/>
      </c>
      <c r="N204" s="171" t="str">
        <f t="shared" si="14"/>
        <v/>
      </c>
      <c r="O204" s="171" t="str">
        <f t="shared" si="15"/>
        <v/>
      </c>
    </row>
    <row r="205" spans="5:15">
      <c r="E205" s="296"/>
      <c r="K205" s="170" t="str">
        <f t="shared" si="12"/>
        <v/>
      </c>
      <c r="L205" s="170" t="str">
        <f>IF(E205="","",IF(COUNTIFS(Table2[[#All],[De (Lote)]],Input_APM!F205)&gt;0,INDEX(Table2[[#All],[Para (Ticker Daniel)]],MATCH(Input_APM!F205,Table2[[#All],[De (Lote)]],0)),Input_APM!F205))</f>
        <v/>
      </c>
      <c r="M205" s="170" t="str">
        <f t="shared" si="13"/>
        <v/>
      </c>
      <c r="N205" s="171" t="str">
        <f t="shared" si="14"/>
        <v/>
      </c>
      <c r="O205" s="171" t="str">
        <f t="shared" si="15"/>
        <v/>
      </c>
    </row>
    <row r="206" spans="5:15">
      <c r="E206" s="296"/>
      <c r="K206" s="170" t="str">
        <f t="shared" si="12"/>
        <v/>
      </c>
      <c r="L206" s="170" t="str">
        <f>IF(E206="","",IF(COUNTIFS(Table2[[#All],[De (Lote)]],Input_APM!F206)&gt;0,INDEX(Table2[[#All],[Para (Ticker Daniel)]],MATCH(Input_APM!F206,Table2[[#All],[De (Lote)]],0)),Input_APM!F206))</f>
        <v/>
      </c>
      <c r="M206" s="170" t="str">
        <f t="shared" si="13"/>
        <v/>
      </c>
      <c r="N206" s="171" t="str">
        <f t="shared" si="14"/>
        <v/>
      </c>
      <c r="O206" s="171" t="str">
        <f t="shared" si="15"/>
        <v/>
      </c>
    </row>
    <row r="207" spans="5:15">
      <c r="E207" s="296"/>
      <c r="K207" s="170" t="str">
        <f t="shared" si="12"/>
        <v/>
      </c>
      <c r="L207" s="170" t="str">
        <f>IF(E207="","",IF(COUNTIFS(Table2[[#All],[De (Lote)]],Input_APM!F207)&gt;0,INDEX(Table2[[#All],[Para (Ticker Daniel)]],MATCH(Input_APM!F207,Table2[[#All],[De (Lote)]],0)),Input_APM!F207))</f>
        <v/>
      </c>
      <c r="M207" s="170" t="str">
        <f t="shared" si="13"/>
        <v/>
      </c>
      <c r="N207" s="171" t="str">
        <f t="shared" si="14"/>
        <v/>
      </c>
      <c r="O207" s="171" t="str">
        <f t="shared" si="15"/>
        <v/>
      </c>
    </row>
    <row r="208" spans="5:15">
      <c r="E208" s="296"/>
      <c r="K208" s="170" t="str">
        <f t="shared" ref="K208:K234" si="16">IF(E208="","",E208)</f>
        <v/>
      </c>
      <c r="L208" s="170" t="str">
        <f>IF(E208="","",IF(COUNTIFS(Table2[[#All],[De (Lote)]],Input_APM!F208)&gt;0,INDEX(Table2[[#All],[Para (Ticker Daniel)]],MATCH(Input_APM!F208,Table2[[#All],[De (Lote)]],0)),Input_APM!F208))</f>
        <v/>
      </c>
      <c r="M208" s="170" t="str">
        <f t="shared" ref="M208:M234" si="17">IF(E208="","",G208)</f>
        <v/>
      </c>
      <c r="N208" s="171" t="str">
        <f t="shared" ref="N208:N234" si="18">IF(E208="","",H208)</f>
        <v/>
      </c>
      <c r="O208" s="171" t="str">
        <f t="shared" ref="O208:O234" si="19">IF(E208="","",I208)</f>
        <v/>
      </c>
    </row>
    <row r="209" spans="5:15">
      <c r="E209" s="296"/>
      <c r="K209" s="170" t="str">
        <f t="shared" si="16"/>
        <v/>
      </c>
      <c r="L209" s="170" t="str">
        <f>IF(E209="","",IF(COUNTIFS(Table2[[#All],[De (Lote)]],Input_APM!F209)&gt;0,INDEX(Table2[[#All],[Para (Ticker Daniel)]],MATCH(Input_APM!F209,Table2[[#All],[De (Lote)]],0)),Input_APM!F209))</f>
        <v/>
      </c>
      <c r="M209" s="170" t="str">
        <f t="shared" si="17"/>
        <v/>
      </c>
      <c r="N209" s="171" t="str">
        <f t="shared" si="18"/>
        <v/>
      </c>
      <c r="O209" s="171" t="str">
        <f t="shared" si="19"/>
        <v/>
      </c>
    </row>
    <row r="210" spans="5:15">
      <c r="E210" s="296"/>
      <c r="K210" s="170" t="str">
        <f t="shared" si="16"/>
        <v/>
      </c>
      <c r="L210" s="170" t="str">
        <f>IF(E210="","",IF(COUNTIFS(Table2[[#All],[De (Lote)]],Input_APM!F210)&gt;0,INDEX(Table2[[#All],[Para (Ticker Daniel)]],MATCH(Input_APM!F210,Table2[[#All],[De (Lote)]],0)),Input_APM!F210))</f>
        <v/>
      </c>
      <c r="M210" s="170" t="str">
        <f t="shared" si="17"/>
        <v/>
      </c>
      <c r="N210" s="171" t="str">
        <f t="shared" si="18"/>
        <v/>
      </c>
      <c r="O210" s="171" t="str">
        <f t="shared" si="19"/>
        <v/>
      </c>
    </row>
    <row r="211" spans="5:15">
      <c r="E211" s="296"/>
      <c r="K211" s="170" t="str">
        <f t="shared" si="16"/>
        <v/>
      </c>
      <c r="L211" s="170" t="str">
        <f>IF(E211="","",IF(COUNTIFS(Table2[[#All],[De (Lote)]],Input_APM!F211)&gt;0,INDEX(Table2[[#All],[Para (Ticker Daniel)]],MATCH(Input_APM!F211,Table2[[#All],[De (Lote)]],0)),Input_APM!F211))</f>
        <v/>
      </c>
      <c r="M211" s="170" t="str">
        <f t="shared" si="17"/>
        <v/>
      </c>
      <c r="N211" s="171" t="str">
        <f t="shared" si="18"/>
        <v/>
      </c>
      <c r="O211" s="171" t="str">
        <f t="shared" si="19"/>
        <v/>
      </c>
    </row>
    <row r="212" spans="5:15">
      <c r="E212" s="296"/>
      <c r="K212" s="170" t="str">
        <f t="shared" si="16"/>
        <v/>
      </c>
      <c r="L212" s="170" t="str">
        <f>IF(E212="","",IF(COUNTIFS(Table2[[#All],[De (Lote)]],Input_APM!F212)&gt;0,INDEX(Table2[[#All],[Para (Ticker Daniel)]],MATCH(Input_APM!F212,Table2[[#All],[De (Lote)]],0)),Input_APM!F212))</f>
        <v/>
      </c>
      <c r="M212" s="170" t="str">
        <f t="shared" si="17"/>
        <v/>
      </c>
      <c r="N212" s="171" t="str">
        <f t="shared" si="18"/>
        <v/>
      </c>
      <c r="O212" s="171" t="str">
        <f t="shared" si="19"/>
        <v/>
      </c>
    </row>
    <row r="213" spans="5:15">
      <c r="E213" s="296"/>
      <c r="K213" s="170" t="str">
        <f t="shared" si="16"/>
        <v/>
      </c>
      <c r="L213" s="170" t="str">
        <f>IF(E213="","",IF(COUNTIFS(Table2[[#All],[De (Lote)]],Input_APM!F213)&gt;0,INDEX(Table2[[#All],[Para (Ticker Daniel)]],MATCH(Input_APM!F213,Table2[[#All],[De (Lote)]],0)),Input_APM!F213))</f>
        <v/>
      </c>
      <c r="M213" s="170" t="str">
        <f t="shared" si="17"/>
        <v/>
      </c>
      <c r="N213" s="171" t="str">
        <f t="shared" si="18"/>
        <v/>
      </c>
      <c r="O213" s="171" t="str">
        <f t="shared" si="19"/>
        <v/>
      </c>
    </row>
    <row r="214" spans="5:15">
      <c r="E214" s="296"/>
      <c r="K214" s="170" t="str">
        <f t="shared" si="16"/>
        <v/>
      </c>
      <c r="L214" s="170" t="str">
        <f>IF(E214="","",IF(COUNTIFS(Table2[[#All],[De (Lote)]],Input_APM!F214)&gt;0,INDEX(Table2[[#All],[Para (Ticker Daniel)]],MATCH(Input_APM!F214,Table2[[#All],[De (Lote)]],0)),Input_APM!F214))</f>
        <v/>
      </c>
      <c r="M214" s="170" t="str">
        <f t="shared" si="17"/>
        <v/>
      </c>
      <c r="N214" s="171" t="str">
        <f t="shared" si="18"/>
        <v/>
      </c>
      <c r="O214" s="171" t="str">
        <f t="shared" si="19"/>
        <v/>
      </c>
    </row>
    <row r="215" spans="5:15">
      <c r="E215" s="296"/>
      <c r="K215" s="170" t="str">
        <f t="shared" si="16"/>
        <v/>
      </c>
      <c r="L215" s="170" t="str">
        <f>IF(E215="","",IF(COUNTIFS(Table2[[#All],[De (Lote)]],Input_APM!F215)&gt;0,INDEX(Table2[[#All],[Para (Ticker Daniel)]],MATCH(Input_APM!F215,Table2[[#All],[De (Lote)]],0)),Input_APM!F215))</f>
        <v/>
      </c>
      <c r="M215" s="170" t="str">
        <f t="shared" si="17"/>
        <v/>
      </c>
      <c r="N215" s="171" t="str">
        <f t="shared" si="18"/>
        <v/>
      </c>
      <c r="O215" s="171" t="str">
        <f t="shared" si="19"/>
        <v/>
      </c>
    </row>
    <row r="216" spans="5:15">
      <c r="E216" s="296"/>
      <c r="K216" s="170" t="str">
        <f t="shared" si="16"/>
        <v/>
      </c>
      <c r="L216" s="170" t="str">
        <f>IF(E216="","",IF(COUNTIFS(Table2[[#All],[De (Lote)]],Input_APM!F216)&gt;0,INDEX(Table2[[#All],[Para (Ticker Daniel)]],MATCH(Input_APM!F216,Table2[[#All],[De (Lote)]],0)),Input_APM!F216))</f>
        <v/>
      </c>
      <c r="M216" s="170" t="str">
        <f t="shared" si="17"/>
        <v/>
      </c>
      <c r="N216" s="171" t="str">
        <f t="shared" si="18"/>
        <v/>
      </c>
      <c r="O216" s="171" t="str">
        <f t="shared" si="19"/>
        <v/>
      </c>
    </row>
    <row r="217" spans="5:15">
      <c r="E217" s="296"/>
      <c r="K217" s="170" t="str">
        <f t="shared" si="16"/>
        <v/>
      </c>
      <c r="L217" s="170" t="str">
        <f>IF(E217="","",IF(COUNTIFS(Table2[[#All],[De (Lote)]],Input_APM!F217)&gt;0,INDEX(Table2[[#All],[Para (Ticker Daniel)]],MATCH(Input_APM!F217,Table2[[#All],[De (Lote)]],0)),Input_APM!F217))</f>
        <v/>
      </c>
      <c r="M217" s="170" t="str">
        <f t="shared" si="17"/>
        <v/>
      </c>
      <c r="N217" s="171" t="str">
        <f t="shared" si="18"/>
        <v/>
      </c>
      <c r="O217" s="171" t="str">
        <f t="shared" si="19"/>
        <v/>
      </c>
    </row>
    <row r="218" spans="5:15">
      <c r="E218" s="296"/>
      <c r="K218" s="170" t="str">
        <f t="shared" si="16"/>
        <v/>
      </c>
      <c r="L218" s="170" t="str">
        <f>IF(E218="","",IF(COUNTIFS(Table2[[#All],[De (Lote)]],Input_APM!F218)&gt;0,INDEX(Table2[[#All],[Para (Ticker Daniel)]],MATCH(Input_APM!F218,Table2[[#All],[De (Lote)]],0)),Input_APM!F218))</f>
        <v/>
      </c>
      <c r="M218" s="170" t="str">
        <f t="shared" si="17"/>
        <v/>
      </c>
      <c r="N218" s="171" t="str">
        <f t="shared" si="18"/>
        <v/>
      </c>
      <c r="O218" s="171" t="str">
        <f t="shared" si="19"/>
        <v/>
      </c>
    </row>
    <row r="219" spans="5:15">
      <c r="E219" s="296"/>
      <c r="K219" s="170" t="str">
        <f t="shared" si="16"/>
        <v/>
      </c>
      <c r="L219" s="170" t="str">
        <f>IF(E219="","",IF(COUNTIFS(Table2[[#All],[De (Lote)]],Input_APM!F219)&gt;0,INDEX(Table2[[#All],[Para (Ticker Daniel)]],MATCH(Input_APM!F219,Table2[[#All],[De (Lote)]],0)),Input_APM!F219))</f>
        <v/>
      </c>
      <c r="M219" s="170" t="str">
        <f t="shared" si="17"/>
        <v/>
      </c>
      <c r="N219" s="171" t="str">
        <f t="shared" si="18"/>
        <v/>
      </c>
      <c r="O219" s="171" t="str">
        <f t="shared" si="19"/>
        <v/>
      </c>
    </row>
    <row r="220" spans="5:15">
      <c r="E220" s="296"/>
      <c r="K220" s="170" t="str">
        <f t="shared" si="16"/>
        <v/>
      </c>
      <c r="L220" s="170" t="str">
        <f>IF(E220="","",IF(COUNTIFS(Table2[[#All],[De (Lote)]],Input_APM!F220)&gt;0,INDEX(Table2[[#All],[Para (Ticker Daniel)]],MATCH(Input_APM!F220,Table2[[#All],[De (Lote)]],0)),Input_APM!F220))</f>
        <v/>
      </c>
      <c r="M220" s="170" t="str">
        <f t="shared" si="17"/>
        <v/>
      </c>
      <c r="N220" s="171" t="str">
        <f t="shared" si="18"/>
        <v/>
      </c>
      <c r="O220" s="171" t="str">
        <f t="shared" si="19"/>
        <v/>
      </c>
    </row>
    <row r="221" spans="5:15">
      <c r="E221" s="296"/>
      <c r="K221" s="170" t="str">
        <f t="shared" si="16"/>
        <v/>
      </c>
      <c r="L221" s="170" t="str">
        <f>IF(E221="","",IF(COUNTIFS(Table2[[#All],[De (Lote)]],Input_APM!F221)&gt;0,INDEX(Table2[[#All],[Para (Ticker Daniel)]],MATCH(Input_APM!F221,Table2[[#All],[De (Lote)]],0)),Input_APM!F221))</f>
        <v/>
      </c>
      <c r="M221" s="170" t="str">
        <f t="shared" si="17"/>
        <v/>
      </c>
      <c r="N221" s="171" t="str">
        <f t="shared" si="18"/>
        <v/>
      </c>
      <c r="O221" s="171" t="str">
        <f t="shared" si="19"/>
        <v/>
      </c>
    </row>
    <row r="222" spans="5:15">
      <c r="E222" s="296"/>
      <c r="K222" s="170" t="str">
        <f t="shared" si="16"/>
        <v/>
      </c>
      <c r="L222" s="170" t="str">
        <f>IF(E222="","",IF(COUNTIFS(Table2[[#All],[De (Lote)]],Input_APM!F222)&gt;0,INDEX(Table2[[#All],[Para (Ticker Daniel)]],MATCH(Input_APM!F222,Table2[[#All],[De (Lote)]],0)),Input_APM!F222))</f>
        <v/>
      </c>
      <c r="M222" s="170" t="str">
        <f t="shared" si="17"/>
        <v/>
      </c>
      <c r="N222" s="171" t="str">
        <f t="shared" si="18"/>
        <v/>
      </c>
      <c r="O222" s="171" t="str">
        <f t="shared" si="19"/>
        <v/>
      </c>
    </row>
    <row r="223" spans="5:15">
      <c r="E223" s="296"/>
      <c r="K223" s="170" t="str">
        <f t="shared" si="16"/>
        <v/>
      </c>
      <c r="L223" s="170" t="str">
        <f>IF(E223="","",IF(COUNTIFS(Table2[[#All],[De (Lote)]],Input_APM!F223)&gt;0,INDEX(Table2[[#All],[Para (Ticker Daniel)]],MATCH(Input_APM!F223,Table2[[#All],[De (Lote)]],0)),Input_APM!F223))</f>
        <v/>
      </c>
      <c r="M223" s="170" t="str">
        <f t="shared" si="17"/>
        <v/>
      </c>
      <c r="N223" s="171" t="str">
        <f t="shared" si="18"/>
        <v/>
      </c>
      <c r="O223" s="171" t="str">
        <f t="shared" si="19"/>
        <v/>
      </c>
    </row>
    <row r="224" spans="5:15">
      <c r="E224" s="296"/>
      <c r="K224" s="170" t="str">
        <f t="shared" si="16"/>
        <v/>
      </c>
      <c r="L224" s="170" t="str">
        <f>IF(E224="","",IF(COUNTIFS(Table2[[#All],[De (Lote)]],Input_APM!F224)&gt;0,INDEX(Table2[[#All],[Para (Ticker Daniel)]],MATCH(Input_APM!F224,Table2[[#All],[De (Lote)]],0)),Input_APM!F224))</f>
        <v/>
      </c>
      <c r="M224" s="170" t="str">
        <f t="shared" si="17"/>
        <v/>
      </c>
      <c r="N224" s="171" t="str">
        <f t="shared" si="18"/>
        <v/>
      </c>
      <c r="O224" s="171" t="str">
        <f t="shared" si="19"/>
        <v/>
      </c>
    </row>
    <row r="225" spans="5:15">
      <c r="E225" s="296"/>
      <c r="K225" s="170" t="str">
        <f t="shared" si="16"/>
        <v/>
      </c>
      <c r="L225" s="170" t="str">
        <f>IF(E225="","",IF(COUNTIFS(Table2[[#All],[De (Lote)]],Input_APM!F225)&gt;0,INDEX(Table2[[#All],[Para (Ticker Daniel)]],MATCH(Input_APM!F225,Table2[[#All],[De (Lote)]],0)),Input_APM!F225))</f>
        <v/>
      </c>
      <c r="M225" s="170" t="str">
        <f t="shared" si="17"/>
        <v/>
      </c>
      <c r="N225" s="171" t="str">
        <f t="shared" si="18"/>
        <v/>
      </c>
      <c r="O225" s="171" t="str">
        <f t="shared" si="19"/>
        <v/>
      </c>
    </row>
    <row r="226" spans="5:15">
      <c r="E226" s="296"/>
      <c r="K226" s="170" t="str">
        <f t="shared" si="16"/>
        <v/>
      </c>
      <c r="L226" s="170" t="str">
        <f>IF(E226="","",IF(COUNTIFS(Table2[[#All],[De (Lote)]],Input_APM!F226)&gt;0,INDEX(Table2[[#All],[Para (Ticker Daniel)]],MATCH(Input_APM!F226,Table2[[#All],[De (Lote)]],0)),Input_APM!F226))</f>
        <v/>
      </c>
      <c r="M226" s="170" t="str">
        <f t="shared" si="17"/>
        <v/>
      </c>
      <c r="N226" s="171" t="str">
        <f t="shared" si="18"/>
        <v/>
      </c>
      <c r="O226" s="171" t="str">
        <f t="shared" si="19"/>
        <v/>
      </c>
    </row>
    <row r="227" spans="5:15">
      <c r="E227" s="296"/>
      <c r="K227" s="170" t="str">
        <f t="shared" si="16"/>
        <v/>
      </c>
      <c r="L227" s="170" t="str">
        <f>IF(E227="","",IF(COUNTIFS(Table2[[#All],[De (Lote)]],Input_APM!F227)&gt;0,INDEX(Table2[[#All],[Para (Ticker Daniel)]],MATCH(Input_APM!F227,Table2[[#All],[De (Lote)]],0)),Input_APM!F227))</f>
        <v/>
      </c>
      <c r="M227" s="170" t="str">
        <f t="shared" si="17"/>
        <v/>
      </c>
      <c r="N227" s="171" t="str">
        <f t="shared" si="18"/>
        <v/>
      </c>
      <c r="O227" s="171" t="str">
        <f t="shared" si="19"/>
        <v/>
      </c>
    </row>
    <row r="228" spans="5:15">
      <c r="E228" s="296"/>
      <c r="K228" s="170" t="str">
        <f t="shared" si="16"/>
        <v/>
      </c>
      <c r="L228" s="170" t="str">
        <f>IF(E228="","",IF(COUNTIFS(Table2[[#All],[De (Lote)]],Input_APM!F228)&gt;0,INDEX(Table2[[#All],[Para (Ticker Daniel)]],MATCH(Input_APM!F228,Table2[[#All],[De (Lote)]],0)),Input_APM!F228))</f>
        <v/>
      </c>
      <c r="M228" s="170" t="str">
        <f t="shared" si="17"/>
        <v/>
      </c>
      <c r="N228" s="171" t="str">
        <f t="shared" si="18"/>
        <v/>
      </c>
      <c r="O228" s="171" t="str">
        <f t="shared" si="19"/>
        <v/>
      </c>
    </row>
    <row r="229" spans="5:15">
      <c r="E229" s="296"/>
      <c r="K229" s="170" t="str">
        <f t="shared" si="16"/>
        <v/>
      </c>
      <c r="L229" s="170" t="str">
        <f>IF(E229="","",IF(COUNTIFS(Table2[[#All],[De (Lote)]],Input_APM!F229)&gt;0,INDEX(Table2[[#All],[Para (Ticker Daniel)]],MATCH(Input_APM!F229,Table2[[#All],[De (Lote)]],0)),Input_APM!F229))</f>
        <v/>
      </c>
      <c r="M229" s="170" t="str">
        <f t="shared" si="17"/>
        <v/>
      </c>
      <c r="N229" s="171" t="str">
        <f t="shared" si="18"/>
        <v/>
      </c>
      <c r="O229" s="171" t="str">
        <f t="shared" si="19"/>
        <v/>
      </c>
    </row>
    <row r="230" spans="5:15">
      <c r="E230" s="296"/>
      <c r="K230" s="170" t="str">
        <f t="shared" si="16"/>
        <v/>
      </c>
      <c r="L230" s="170" t="str">
        <f>IF(E230="","",IF(COUNTIFS(Table2[[#All],[De (Lote)]],Input_APM!F230)&gt;0,INDEX(Table2[[#All],[Para (Ticker Daniel)]],MATCH(Input_APM!F230,Table2[[#All],[De (Lote)]],0)),Input_APM!F230))</f>
        <v/>
      </c>
      <c r="M230" s="170" t="str">
        <f t="shared" si="17"/>
        <v/>
      </c>
      <c r="N230" s="171" t="str">
        <f t="shared" si="18"/>
        <v/>
      </c>
      <c r="O230" s="171" t="str">
        <f t="shared" si="19"/>
        <v/>
      </c>
    </row>
    <row r="231" spans="5:15">
      <c r="E231" s="296"/>
      <c r="K231" s="170" t="str">
        <f t="shared" si="16"/>
        <v/>
      </c>
      <c r="L231" s="170" t="str">
        <f>IF(E231="","",IF(COUNTIFS(Table2[[#All],[De (Lote)]],Input_APM!F231)&gt;0,INDEX(Table2[[#All],[Para (Ticker Daniel)]],MATCH(Input_APM!F231,Table2[[#All],[De (Lote)]],0)),Input_APM!F231))</f>
        <v/>
      </c>
      <c r="M231" s="170" t="str">
        <f t="shared" si="17"/>
        <v/>
      </c>
      <c r="N231" s="171" t="str">
        <f t="shared" si="18"/>
        <v/>
      </c>
      <c r="O231" s="171" t="str">
        <f t="shared" si="19"/>
        <v/>
      </c>
    </row>
    <row r="232" spans="5:15">
      <c r="E232" s="296"/>
      <c r="K232" s="170" t="str">
        <f t="shared" si="16"/>
        <v/>
      </c>
      <c r="L232" s="170" t="str">
        <f>IF(E232="","",IF(COUNTIFS(Table2[[#All],[De (Lote)]],Input_APM!F232)&gt;0,INDEX(Table2[[#All],[Para (Ticker Daniel)]],MATCH(Input_APM!F232,Table2[[#All],[De (Lote)]],0)),Input_APM!F232))</f>
        <v/>
      </c>
      <c r="M232" s="170" t="str">
        <f t="shared" si="17"/>
        <v/>
      </c>
      <c r="N232" s="171" t="str">
        <f t="shared" si="18"/>
        <v/>
      </c>
      <c r="O232" s="171" t="str">
        <f t="shared" si="19"/>
        <v/>
      </c>
    </row>
    <row r="233" spans="5:15">
      <c r="E233" s="296"/>
      <c r="K233" s="170" t="str">
        <f t="shared" si="16"/>
        <v/>
      </c>
      <c r="L233" s="170" t="str">
        <f>IF(E233="","",IF(COUNTIFS(Table2[[#All],[De (Lote)]],Input_APM!F233)&gt;0,INDEX(Table2[[#All],[Para (Ticker Daniel)]],MATCH(Input_APM!F233,Table2[[#All],[De (Lote)]],0)),Input_APM!F233))</f>
        <v/>
      </c>
      <c r="M233" s="170" t="str">
        <f t="shared" si="17"/>
        <v/>
      </c>
      <c r="N233" s="171" t="str">
        <f t="shared" si="18"/>
        <v/>
      </c>
      <c r="O233" s="171" t="str">
        <f t="shared" si="19"/>
        <v/>
      </c>
    </row>
    <row r="234" spans="5:15">
      <c r="E234" s="296"/>
      <c r="K234" s="170" t="str">
        <f t="shared" si="16"/>
        <v/>
      </c>
      <c r="L234" s="170" t="str">
        <f>IF(E234="","",IF(COUNTIFS(Table2[[#All],[De (Lote)]],Input_APM!F234)&gt;0,INDEX(Table2[[#All],[Para (Ticker Daniel)]],MATCH(Input_APM!F234,Table2[[#All],[De (Lote)]],0)),Input_APM!F234))</f>
        <v/>
      </c>
      <c r="M234" s="170" t="str">
        <f t="shared" si="17"/>
        <v/>
      </c>
      <c r="N234" s="171" t="str">
        <f t="shared" si="18"/>
        <v/>
      </c>
      <c r="O234" s="171" t="str">
        <f t="shared" si="19"/>
        <v/>
      </c>
    </row>
    <row r="235" spans="5:15">
      <c r="E235" s="296"/>
      <c r="K235" s="170" t="str">
        <f>IF(E235="","",E235)</f>
        <v/>
      </c>
      <c r="L235" s="170" t="str">
        <f>IF(E235="","",IF(COUNTIFS(Table2[[#All],[De (Lote)]],Input_APM!F235)&gt;0,INDEX(Table2[[#All],[Para (Ticker Daniel)]],MATCH(Input_APM!F235,Table2[[#All],[De (Lote)]],0)),Input_APM!F235))</f>
        <v/>
      </c>
      <c r="M235" s="170" t="str">
        <f>IF(E235="","",G235)</f>
        <v/>
      </c>
      <c r="N235" s="171" t="str">
        <f>IF(E235="","",H235)</f>
        <v/>
      </c>
      <c r="O235" s="171" t="str">
        <f>IF(E235="","",I235)</f>
        <v/>
      </c>
    </row>
    <row r="236" spans="5:15">
      <c r="E236" s="296"/>
      <c r="K236" s="170" t="str">
        <f>IF(E236="","",E236)</f>
        <v/>
      </c>
      <c r="L236" s="170" t="str">
        <f>IF(E236="","",IF(COUNTIFS(Table2[[#All],[De (Lote)]],Input_APM!F236)&gt;0,INDEX(Table2[[#All],[Para (Ticker Daniel)]],MATCH(Input_APM!F236,Table2[[#All],[De (Lote)]],0)),Input_APM!F236))</f>
        <v/>
      </c>
      <c r="M236" s="170" t="str">
        <f>IF(E236="","",G236)</f>
        <v/>
      </c>
      <c r="N236" s="171" t="str">
        <f>IF(E236="","",H236)</f>
        <v/>
      </c>
      <c r="O236" s="171" t="str">
        <f>IF(E236="","",I236)</f>
        <v/>
      </c>
    </row>
    <row r="237" spans="5:15">
      <c r="E237" s="296"/>
      <c r="K237" s="170" t="str">
        <f>IF(E237="","",E237)</f>
        <v/>
      </c>
      <c r="L237" s="170" t="str">
        <f>IF(E237="","",IF(COUNTIFS(Table2[[#All],[De (Lote)]],Input_APM!F237)&gt;0,INDEX(Table2[[#All],[Para (Ticker Daniel)]],MATCH(Input_APM!F237,Table2[[#All],[De (Lote)]],0)),Input_APM!F237))</f>
        <v/>
      </c>
      <c r="M237" s="170" t="str">
        <f>IF(E237="","",G237)</f>
        <v/>
      </c>
      <c r="N237" s="171" t="str">
        <f>IF(E237="","",H237)</f>
        <v/>
      </c>
      <c r="O237" s="171" t="str">
        <f>IF(E237="","",I237)</f>
        <v/>
      </c>
    </row>
    <row r="238" spans="5:15">
      <c r="E238" s="296"/>
      <c r="K238" s="170" t="str">
        <f>IF(E238="","",E238)</f>
        <v/>
      </c>
      <c r="L238" s="170" t="str">
        <f>IF(E238="","",IF(COUNTIFS(Table2[[#All],[De (Lote)]],Input_APM!F238)&gt;0,INDEX(Table2[[#All],[Para (Ticker Daniel)]],MATCH(Input_APM!F238,Table2[[#All],[De (Lote)]],0)),Input_APM!F238))</f>
        <v/>
      </c>
      <c r="M238" s="170" t="str">
        <f>IF(E238="","",G238)</f>
        <v/>
      </c>
      <c r="N238" s="171" t="str">
        <f>IF(E238="","",H238)</f>
        <v/>
      </c>
      <c r="O238" s="171" t="str">
        <f>IF(E238="","",I238)</f>
        <v/>
      </c>
    </row>
    <row r="239" spans="5:15">
      <c r="E239" s="296"/>
      <c r="K239" s="170" t="str">
        <f>IF(E239="","",E239)</f>
        <v/>
      </c>
      <c r="L239" s="170" t="str">
        <f>IF(E239="","",IF(COUNTIFS(Table2[[#All],[De (Lote)]],Input_APM!F239)&gt;0,INDEX(Table2[[#All],[Para (Ticker Daniel)]],MATCH(Input_APM!F239,Table2[[#All],[De (Lote)]],0)),Input_APM!F239))</f>
        <v/>
      </c>
      <c r="M239" s="170" t="str">
        <f>IF(E239="","",G239)</f>
        <v/>
      </c>
      <c r="N239" s="171" t="str">
        <f>IF(E239="","",H239)</f>
        <v/>
      </c>
      <c r="O239" s="171" t="str">
        <f>IF(E239="","",I239)</f>
        <v/>
      </c>
    </row>
    <row r="240" spans="5:15">
      <c r="E240" s="296"/>
      <c r="K240" s="170" t="str">
        <f t="shared" ref="K240:K303" si="20">IF(E240="","",E240)</f>
        <v/>
      </c>
      <c r="L240" s="170" t="str">
        <f>IF(E240="","",IF(COUNTIFS(Table2[[#All],[De (Lote)]],Input_APM!F240)&gt;0,INDEX(Table2[[#All],[Para (Ticker Daniel)]],MATCH(Input_APM!F240,Table2[[#All],[De (Lote)]],0)),Input_APM!F240))</f>
        <v/>
      </c>
      <c r="M240" s="170" t="str">
        <f t="shared" ref="M240:M303" si="21">IF(E240="","",G240)</f>
        <v/>
      </c>
      <c r="N240" s="171" t="str">
        <f t="shared" ref="N240:N303" si="22">IF(E240="","",H240)</f>
        <v/>
      </c>
      <c r="O240" s="171" t="str">
        <f t="shared" ref="O240:O303" si="23">IF(E240="","",I240)</f>
        <v/>
      </c>
    </row>
    <row r="241" spans="5:15">
      <c r="E241" s="296"/>
      <c r="K241" s="170" t="str">
        <f t="shared" si="20"/>
        <v/>
      </c>
      <c r="L241" s="170" t="str">
        <f>IF(E241="","",IF(COUNTIFS(Table2[[#All],[De (Lote)]],Input_APM!F241)&gt;0,INDEX(Table2[[#All],[Para (Ticker Daniel)]],MATCH(Input_APM!F241,Table2[[#All],[De (Lote)]],0)),Input_APM!F241))</f>
        <v/>
      </c>
      <c r="M241" s="170" t="str">
        <f t="shared" si="21"/>
        <v/>
      </c>
      <c r="N241" s="171" t="str">
        <f t="shared" si="22"/>
        <v/>
      </c>
      <c r="O241" s="171" t="str">
        <f t="shared" si="23"/>
        <v/>
      </c>
    </row>
    <row r="242" spans="5:15">
      <c r="E242" s="296"/>
      <c r="K242" s="170" t="str">
        <f t="shared" si="20"/>
        <v/>
      </c>
      <c r="L242" s="170" t="str">
        <f>IF(E242="","",IF(COUNTIFS(Table2[[#All],[De (Lote)]],Input_APM!F242)&gt;0,INDEX(Table2[[#All],[Para (Ticker Daniel)]],MATCH(Input_APM!F242,Table2[[#All],[De (Lote)]],0)),Input_APM!F242))</f>
        <v/>
      </c>
      <c r="M242" s="170" t="str">
        <f t="shared" si="21"/>
        <v/>
      </c>
      <c r="N242" s="171" t="str">
        <f t="shared" si="22"/>
        <v/>
      </c>
      <c r="O242" s="171" t="str">
        <f t="shared" si="23"/>
        <v/>
      </c>
    </row>
    <row r="243" spans="5:15">
      <c r="E243" s="296"/>
      <c r="K243" s="170" t="str">
        <f t="shared" si="20"/>
        <v/>
      </c>
      <c r="L243" s="170" t="str">
        <f>IF(E243="","",IF(COUNTIFS(Table2[[#All],[De (Lote)]],Input_APM!F243)&gt;0,INDEX(Table2[[#All],[Para (Ticker Daniel)]],MATCH(Input_APM!F243,Table2[[#All],[De (Lote)]],0)),Input_APM!F243))</f>
        <v/>
      </c>
      <c r="M243" s="170" t="str">
        <f t="shared" si="21"/>
        <v/>
      </c>
      <c r="N243" s="171" t="str">
        <f t="shared" si="22"/>
        <v/>
      </c>
      <c r="O243" s="171" t="str">
        <f t="shared" si="23"/>
        <v/>
      </c>
    </row>
    <row r="244" spans="5:15">
      <c r="E244" s="296"/>
      <c r="K244" s="170" t="str">
        <f t="shared" si="20"/>
        <v/>
      </c>
      <c r="L244" s="170" t="str">
        <f>IF(E244="","",IF(COUNTIFS(Table2[[#All],[De (Lote)]],Input_APM!F244)&gt;0,INDEX(Table2[[#All],[Para (Ticker Daniel)]],MATCH(Input_APM!F244,Table2[[#All],[De (Lote)]],0)),Input_APM!F244))</f>
        <v/>
      </c>
      <c r="M244" s="170" t="str">
        <f t="shared" si="21"/>
        <v/>
      </c>
      <c r="N244" s="171" t="str">
        <f t="shared" si="22"/>
        <v/>
      </c>
      <c r="O244" s="171" t="str">
        <f t="shared" si="23"/>
        <v/>
      </c>
    </row>
    <row r="245" spans="5:15">
      <c r="E245" s="296"/>
      <c r="K245" s="170" t="str">
        <f t="shared" si="20"/>
        <v/>
      </c>
      <c r="L245" s="170" t="str">
        <f>IF(E245="","",IF(COUNTIFS(Table2[[#All],[De (Lote)]],Input_APM!F245)&gt;0,INDEX(Table2[[#All],[Para (Ticker Daniel)]],MATCH(Input_APM!F245,Table2[[#All],[De (Lote)]],0)),Input_APM!F245))</f>
        <v/>
      </c>
      <c r="M245" s="170" t="str">
        <f t="shared" si="21"/>
        <v/>
      </c>
      <c r="N245" s="171" t="str">
        <f t="shared" si="22"/>
        <v/>
      </c>
      <c r="O245" s="171" t="str">
        <f t="shared" si="23"/>
        <v/>
      </c>
    </row>
    <row r="246" spans="5:15">
      <c r="E246" s="296"/>
      <c r="K246" s="170" t="str">
        <f t="shared" si="20"/>
        <v/>
      </c>
      <c r="L246" s="170" t="str">
        <f>IF(E246="","",IF(COUNTIFS(Table2[[#All],[De (Lote)]],Input_APM!F246)&gt;0,INDEX(Table2[[#All],[Para (Ticker Daniel)]],MATCH(Input_APM!F246,Table2[[#All],[De (Lote)]],0)),Input_APM!F246))</f>
        <v/>
      </c>
      <c r="M246" s="170" t="str">
        <f t="shared" si="21"/>
        <v/>
      </c>
      <c r="N246" s="171" t="str">
        <f t="shared" si="22"/>
        <v/>
      </c>
      <c r="O246" s="171" t="str">
        <f t="shared" si="23"/>
        <v/>
      </c>
    </row>
    <row r="247" spans="5:15">
      <c r="E247" s="296"/>
      <c r="K247" s="170" t="str">
        <f t="shared" si="20"/>
        <v/>
      </c>
      <c r="L247" s="170" t="str">
        <f>IF(E247="","",IF(COUNTIFS(Table2[[#All],[De (Lote)]],Input_APM!F247)&gt;0,INDEX(Table2[[#All],[Para (Ticker Daniel)]],MATCH(Input_APM!F247,Table2[[#All],[De (Lote)]],0)),Input_APM!F247))</f>
        <v/>
      </c>
      <c r="M247" s="170" t="str">
        <f t="shared" si="21"/>
        <v/>
      </c>
      <c r="N247" s="171" t="str">
        <f t="shared" si="22"/>
        <v/>
      </c>
      <c r="O247" s="171" t="str">
        <f t="shared" si="23"/>
        <v/>
      </c>
    </row>
    <row r="248" spans="5:15">
      <c r="E248" s="296"/>
      <c r="K248" s="170" t="str">
        <f t="shared" si="20"/>
        <v/>
      </c>
      <c r="L248" s="170" t="str">
        <f>IF(E248="","",IF(COUNTIFS(Table2[[#All],[De (Lote)]],Input_APM!F248)&gt;0,INDEX(Table2[[#All],[Para (Ticker Daniel)]],MATCH(Input_APM!F248,Table2[[#All],[De (Lote)]],0)),Input_APM!F248))</f>
        <v/>
      </c>
      <c r="M248" s="170" t="str">
        <f t="shared" si="21"/>
        <v/>
      </c>
      <c r="N248" s="171" t="str">
        <f t="shared" si="22"/>
        <v/>
      </c>
      <c r="O248" s="171" t="str">
        <f t="shared" si="23"/>
        <v/>
      </c>
    </row>
    <row r="249" spans="5:15">
      <c r="E249" s="296"/>
      <c r="K249" s="170" t="str">
        <f t="shared" si="20"/>
        <v/>
      </c>
      <c r="L249" s="170" t="str">
        <f>IF(E249="","",IF(COUNTIFS(Table2[[#All],[De (Lote)]],Input_APM!F249)&gt;0,INDEX(Table2[[#All],[Para (Ticker Daniel)]],MATCH(Input_APM!F249,Table2[[#All],[De (Lote)]],0)),Input_APM!F249))</f>
        <v/>
      </c>
      <c r="M249" s="170" t="str">
        <f t="shared" si="21"/>
        <v/>
      </c>
      <c r="N249" s="171" t="str">
        <f t="shared" si="22"/>
        <v/>
      </c>
      <c r="O249" s="171" t="str">
        <f t="shared" si="23"/>
        <v/>
      </c>
    </row>
    <row r="250" spans="5:15">
      <c r="E250" s="296"/>
      <c r="K250" s="170" t="str">
        <f t="shared" si="20"/>
        <v/>
      </c>
      <c r="L250" s="170" t="str">
        <f>IF(E250="","",IF(COUNTIFS(Table2[[#All],[De (Lote)]],Input_APM!F250)&gt;0,INDEX(Table2[[#All],[Para (Ticker Daniel)]],MATCH(Input_APM!F250,Table2[[#All],[De (Lote)]],0)),Input_APM!F250))</f>
        <v/>
      </c>
      <c r="M250" s="170" t="str">
        <f t="shared" si="21"/>
        <v/>
      </c>
      <c r="N250" s="171" t="str">
        <f t="shared" si="22"/>
        <v/>
      </c>
      <c r="O250" s="171" t="str">
        <f t="shared" si="23"/>
        <v/>
      </c>
    </row>
    <row r="251" spans="5:15">
      <c r="E251" s="296"/>
      <c r="K251" s="170" t="str">
        <f t="shared" si="20"/>
        <v/>
      </c>
      <c r="L251" s="170" t="str">
        <f>IF(E251="","",IF(COUNTIFS(Table2[[#All],[De (Lote)]],Input_APM!F251)&gt;0,INDEX(Table2[[#All],[Para (Ticker Daniel)]],MATCH(Input_APM!F251,Table2[[#All],[De (Lote)]],0)),Input_APM!F251))</f>
        <v/>
      </c>
      <c r="M251" s="170" t="str">
        <f t="shared" si="21"/>
        <v/>
      </c>
      <c r="N251" s="171" t="str">
        <f t="shared" si="22"/>
        <v/>
      </c>
      <c r="O251" s="171" t="str">
        <f t="shared" si="23"/>
        <v/>
      </c>
    </row>
    <row r="252" spans="5:15">
      <c r="E252" s="296"/>
      <c r="K252" s="170" t="str">
        <f t="shared" si="20"/>
        <v/>
      </c>
      <c r="L252" s="170" t="str">
        <f>IF(E252="","",IF(COUNTIFS(Table2[[#All],[De (Lote)]],Input_APM!F252)&gt;0,INDEX(Table2[[#All],[Para (Ticker Daniel)]],MATCH(Input_APM!F252,Table2[[#All],[De (Lote)]],0)),Input_APM!F252))</f>
        <v/>
      </c>
      <c r="M252" s="170" t="str">
        <f t="shared" si="21"/>
        <v/>
      </c>
      <c r="N252" s="171" t="str">
        <f t="shared" si="22"/>
        <v/>
      </c>
      <c r="O252" s="171" t="str">
        <f t="shared" si="23"/>
        <v/>
      </c>
    </row>
    <row r="253" spans="5:15">
      <c r="E253" s="296"/>
      <c r="K253" s="170" t="str">
        <f t="shared" si="20"/>
        <v/>
      </c>
      <c r="L253" s="170" t="str">
        <f>IF(E253="","",IF(COUNTIFS(Table2[[#All],[De (Lote)]],Input_APM!F253)&gt;0,INDEX(Table2[[#All],[Para (Ticker Daniel)]],MATCH(Input_APM!F253,Table2[[#All],[De (Lote)]],0)),Input_APM!F253))</f>
        <v/>
      </c>
      <c r="M253" s="170" t="str">
        <f t="shared" si="21"/>
        <v/>
      </c>
      <c r="N253" s="171" t="str">
        <f t="shared" si="22"/>
        <v/>
      </c>
      <c r="O253" s="171" t="str">
        <f t="shared" si="23"/>
        <v/>
      </c>
    </row>
    <row r="254" spans="5:15">
      <c r="E254" s="296"/>
      <c r="K254" s="170" t="str">
        <f t="shared" si="20"/>
        <v/>
      </c>
      <c r="L254" s="170" t="str">
        <f>IF(E254="","",IF(COUNTIFS(Table2[[#All],[De (Lote)]],Input_APM!F254)&gt;0,INDEX(Table2[[#All],[Para (Ticker Daniel)]],MATCH(Input_APM!F254,Table2[[#All],[De (Lote)]],0)),Input_APM!F254))</f>
        <v/>
      </c>
      <c r="M254" s="170" t="str">
        <f t="shared" si="21"/>
        <v/>
      </c>
      <c r="N254" s="171" t="str">
        <f t="shared" si="22"/>
        <v/>
      </c>
      <c r="O254" s="171" t="str">
        <f t="shared" si="23"/>
        <v/>
      </c>
    </row>
    <row r="255" spans="5:15">
      <c r="E255" s="296"/>
      <c r="K255" s="170" t="str">
        <f t="shared" si="20"/>
        <v/>
      </c>
      <c r="L255" s="170" t="str">
        <f>IF(E255="","",IF(COUNTIFS(Table2[[#All],[De (Lote)]],Input_APM!F255)&gt;0,INDEX(Table2[[#All],[Para (Ticker Daniel)]],MATCH(Input_APM!F255,Table2[[#All],[De (Lote)]],0)),Input_APM!F255))</f>
        <v/>
      </c>
      <c r="M255" s="170" t="str">
        <f t="shared" si="21"/>
        <v/>
      </c>
      <c r="N255" s="171" t="str">
        <f t="shared" si="22"/>
        <v/>
      </c>
      <c r="O255" s="171" t="str">
        <f t="shared" si="23"/>
        <v/>
      </c>
    </row>
    <row r="256" spans="5:15">
      <c r="E256" s="296"/>
      <c r="K256" s="170" t="str">
        <f t="shared" si="20"/>
        <v/>
      </c>
      <c r="L256" s="170" t="str">
        <f>IF(E256="","",IF(COUNTIFS(Table2[[#All],[De (Lote)]],Input_APM!F256)&gt;0,INDEX(Table2[[#All],[Para (Ticker Daniel)]],MATCH(Input_APM!F256,Table2[[#All],[De (Lote)]],0)),Input_APM!F256))</f>
        <v/>
      </c>
      <c r="M256" s="170" t="str">
        <f t="shared" si="21"/>
        <v/>
      </c>
      <c r="N256" s="171" t="str">
        <f t="shared" si="22"/>
        <v/>
      </c>
      <c r="O256" s="171" t="str">
        <f t="shared" si="23"/>
        <v/>
      </c>
    </row>
    <row r="257" spans="5:15">
      <c r="E257" s="296"/>
      <c r="K257" s="170" t="str">
        <f t="shared" si="20"/>
        <v/>
      </c>
      <c r="L257" s="170" t="str">
        <f>IF(E257="","",IF(COUNTIFS(Table2[[#All],[De (Lote)]],Input_APM!F257)&gt;0,INDEX(Table2[[#All],[Para (Ticker Daniel)]],MATCH(Input_APM!F257,Table2[[#All],[De (Lote)]],0)),Input_APM!F257))</f>
        <v/>
      </c>
      <c r="M257" s="170" t="str">
        <f t="shared" si="21"/>
        <v/>
      </c>
      <c r="N257" s="171" t="str">
        <f t="shared" si="22"/>
        <v/>
      </c>
      <c r="O257" s="171" t="str">
        <f t="shared" si="23"/>
        <v/>
      </c>
    </row>
    <row r="258" spans="5:15">
      <c r="E258" s="296"/>
      <c r="K258" s="170" t="str">
        <f t="shared" si="20"/>
        <v/>
      </c>
      <c r="L258" s="170" t="str">
        <f>IF(E258="","",IF(COUNTIFS(Table2[[#All],[De (Lote)]],Input_APM!F258)&gt;0,INDEX(Table2[[#All],[Para (Ticker Daniel)]],MATCH(Input_APM!F258,Table2[[#All],[De (Lote)]],0)),Input_APM!F258))</f>
        <v/>
      </c>
      <c r="M258" s="170" t="str">
        <f t="shared" si="21"/>
        <v/>
      </c>
      <c r="N258" s="171" t="str">
        <f t="shared" si="22"/>
        <v/>
      </c>
      <c r="O258" s="171" t="str">
        <f t="shared" si="23"/>
        <v/>
      </c>
    </row>
    <row r="259" spans="5:15">
      <c r="E259" s="296"/>
      <c r="K259" s="170" t="str">
        <f t="shared" si="20"/>
        <v/>
      </c>
      <c r="L259" s="170" t="str">
        <f>IF(E259="","",IF(COUNTIFS(Table2[[#All],[De (Lote)]],Input_APM!F259)&gt;0,INDEX(Table2[[#All],[Para (Ticker Daniel)]],MATCH(Input_APM!F259,Table2[[#All],[De (Lote)]],0)),Input_APM!F259))</f>
        <v/>
      </c>
      <c r="M259" s="170" t="str">
        <f t="shared" si="21"/>
        <v/>
      </c>
      <c r="N259" s="171" t="str">
        <f t="shared" si="22"/>
        <v/>
      </c>
      <c r="O259" s="171" t="str">
        <f t="shared" si="23"/>
        <v/>
      </c>
    </row>
    <row r="260" spans="5:15">
      <c r="E260" s="296"/>
      <c r="K260" s="170" t="str">
        <f t="shared" si="20"/>
        <v/>
      </c>
      <c r="L260" s="170" t="str">
        <f>IF(E260="","",IF(COUNTIFS(Table2[[#All],[De (Lote)]],Input_APM!F260)&gt;0,INDEX(Table2[[#All],[Para (Ticker Daniel)]],MATCH(Input_APM!F260,Table2[[#All],[De (Lote)]],0)),Input_APM!F260))</f>
        <v/>
      </c>
      <c r="M260" s="170" t="str">
        <f t="shared" si="21"/>
        <v/>
      </c>
      <c r="N260" s="171" t="str">
        <f t="shared" si="22"/>
        <v/>
      </c>
      <c r="O260" s="171" t="str">
        <f t="shared" si="23"/>
        <v/>
      </c>
    </row>
    <row r="261" spans="5:15">
      <c r="E261" s="296"/>
      <c r="K261" s="170" t="str">
        <f t="shared" si="20"/>
        <v/>
      </c>
      <c r="L261" s="170" t="str">
        <f>IF(E261="","",IF(COUNTIFS(Table2[[#All],[De (Lote)]],Input_APM!F261)&gt;0,INDEX(Table2[[#All],[Para (Ticker Daniel)]],MATCH(Input_APM!F261,Table2[[#All],[De (Lote)]],0)),Input_APM!F261))</f>
        <v/>
      </c>
      <c r="M261" s="170" t="str">
        <f t="shared" si="21"/>
        <v/>
      </c>
      <c r="N261" s="171" t="str">
        <f t="shared" si="22"/>
        <v/>
      </c>
      <c r="O261" s="171" t="str">
        <f t="shared" si="23"/>
        <v/>
      </c>
    </row>
    <row r="262" spans="5:15">
      <c r="E262" s="296"/>
      <c r="K262" s="170" t="str">
        <f t="shared" si="20"/>
        <v/>
      </c>
      <c r="L262" s="170" t="str">
        <f>IF(E262="","",IF(COUNTIFS(Table2[[#All],[De (Lote)]],Input_APM!F262)&gt;0,INDEX(Table2[[#All],[Para (Ticker Daniel)]],MATCH(Input_APM!F262,Table2[[#All],[De (Lote)]],0)),Input_APM!F262))</f>
        <v/>
      </c>
      <c r="M262" s="170" t="str">
        <f t="shared" si="21"/>
        <v/>
      </c>
      <c r="N262" s="171" t="str">
        <f t="shared" si="22"/>
        <v/>
      </c>
      <c r="O262" s="171" t="str">
        <f t="shared" si="23"/>
        <v/>
      </c>
    </row>
    <row r="263" spans="5:15">
      <c r="E263" s="296"/>
      <c r="K263" s="170" t="str">
        <f t="shared" si="20"/>
        <v/>
      </c>
      <c r="L263" s="170" t="str">
        <f>IF(E263="","",IF(COUNTIFS(Table2[[#All],[De (Lote)]],Input_APM!F263)&gt;0,INDEX(Table2[[#All],[Para (Ticker Daniel)]],MATCH(Input_APM!F263,Table2[[#All],[De (Lote)]],0)),Input_APM!F263))</f>
        <v/>
      </c>
      <c r="M263" s="170" t="str">
        <f t="shared" si="21"/>
        <v/>
      </c>
      <c r="N263" s="171" t="str">
        <f t="shared" si="22"/>
        <v/>
      </c>
      <c r="O263" s="171" t="str">
        <f t="shared" si="23"/>
        <v/>
      </c>
    </row>
    <row r="264" spans="5:15">
      <c r="E264" s="296"/>
      <c r="K264" s="170" t="str">
        <f t="shared" si="20"/>
        <v/>
      </c>
      <c r="L264" s="170" t="str">
        <f>IF(E264="","",IF(COUNTIFS(Table2[[#All],[De (Lote)]],Input_APM!F264)&gt;0,INDEX(Table2[[#All],[Para (Ticker Daniel)]],MATCH(Input_APM!F264,Table2[[#All],[De (Lote)]],0)),Input_APM!F264))</f>
        <v/>
      </c>
      <c r="M264" s="170" t="str">
        <f t="shared" si="21"/>
        <v/>
      </c>
      <c r="N264" s="171" t="str">
        <f t="shared" si="22"/>
        <v/>
      </c>
      <c r="O264" s="171" t="str">
        <f t="shared" si="23"/>
        <v/>
      </c>
    </row>
    <row r="265" spans="5:15">
      <c r="E265" s="296"/>
      <c r="K265" s="170" t="str">
        <f t="shared" si="20"/>
        <v/>
      </c>
      <c r="L265" s="170" t="str">
        <f>IF(E265="","",IF(COUNTIFS(Table2[[#All],[De (Lote)]],Input_APM!F265)&gt;0,INDEX(Table2[[#All],[Para (Ticker Daniel)]],MATCH(Input_APM!F265,Table2[[#All],[De (Lote)]],0)),Input_APM!F265))</f>
        <v/>
      </c>
      <c r="M265" s="170" t="str">
        <f t="shared" si="21"/>
        <v/>
      </c>
      <c r="N265" s="171" t="str">
        <f t="shared" si="22"/>
        <v/>
      </c>
      <c r="O265" s="171" t="str">
        <f t="shared" si="23"/>
        <v/>
      </c>
    </row>
    <row r="266" spans="5:15">
      <c r="E266" s="296"/>
      <c r="K266" s="170" t="str">
        <f t="shared" si="20"/>
        <v/>
      </c>
      <c r="L266" s="170" t="str">
        <f>IF(E266="","",IF(COUNTIFS(Table2[[#All],[De (Lote)]],Input_APM!F266)&gt;0,INDEX(Table2[[#All],[Para (Ticker Daniel)]],MATCH(Input_APM!F266,Table2[[#All],[De (Lote)]],0)),Input_APM!F266))</f>
        <v/>
      </c>
      <c r="M266" s="170" t="str">
        <f t="shared" si="21"/>
        <v/>
      </c>
      <c r="N266" s="171" t="str">
        <f t="shared" si="22"/>
        <v/>
      </c>
      <c r="O266" s="171" t="str">
        <f t="shared" si="23"/>
        <v/>
      </c>
    </row>
    <row r="267" spans="5:15">
      <c r="E267" s="296"/>
      <c r="K267" s="170" t="str">
        <f t="shared" si="20"/>
        <v/>
      </c>
      <c r="L267" s="170" t="str">
        <f>IF(E267="","",IF(COUNTIFS(Table2[[#All],[De (Lote)]],Input_APM!F267)&gt;0,INDEX(Table2[[#All],[Para (Ticker Daniel)]],MATCH(Input_APM!F267,Table2[[#All],[De (Lote)]],0)),Input_APM!F267))</f>
        <v/>
      </c>
      <c r="M267" s="170" t="str">
        <f t="shared" si="21"/>
        <v/>
      </c>
      <c r="N267" s="171" t="str">
        <f t="shared" si="22"/>
        <v/>
      </c>
      <c r="O267" s="171" t="str">
        <f t="shared" si="23"/>
        <v/>
      </c>
    </row>
    <row r="268" spans="5:15">
      <c r="E268" s="296"/>
      <c r="K268" s="170" t="str">
        <f t="shared" si="20"/>
        <v/>
      </c>
      <c r="L268" s="170" t="str">
        <f>IF(E268="","",IF(COUNTIFS(Table2[[#All],[De (Lote)]],Input_APM!F268)&gt;0,INDEX(Table2[[#All],[Para (Ticker Daniel)]],MATCH(Input_APM!F268,Table2[[#All],[De (Lote)]],0)),Input_APM!F268))</f>
        <v/>
      </c>
      <c r="M268" s="170" t="str">
        <f t="shared" si="21"/>
        <v/>
      </c>
      <c r="N268" s="171" t="str">
        <f t="shared" si="22"/>
        <v/>
      </c>
      <c r="O268" s="171" t="str">
        <f t="shared" si="23"/>
        <v/>
      </c>
    </row>
    <row r="269" spans="5:15">
      <c r="E269" s="296"/>
      <c r="K269" s="170" t="str">
        <f t="shared" si="20"/>
        <v/>
      </c>
      <c r="L269" s="170" t="str">
        <f>IF(E269="","",IF(COUNTIFS(Table2[[#All],[De (Lote)]],Input_APM!F269)&gt;0,INDEX(Table2[[#All],[Para (Ticker Daniel)]],MATCH(Input_APM!F269,Table2[[#All],[De (Lote)]],0)),Input_APM!F269))</f>
        <v/>
      </c>
      <c r="M269" s="170" t="str">
        <f t="shared" si="21"/>
        <v/>
      </c>
      <c r="N269" s="171" t="str">
        <f t="shared" si="22"/>
        <v/>
      </c>
      <c r="O269" s="171" t="str">
        <f t="shared" si="23"/>
        <v/>
      </c>
    </row>
    <row r="270" spans="5:15">
      <c r="E270" s="296"/>
      <c r="K270" s="170" t="str">
        <f t="shared" si="20"/>
        <v/>
      </c>
      <c r="L270" s="170" t="str">
        <f>IF(E270="","",IF(COUNTIFS(Table2[[#All],[De (Lote)]],Input_APM!F270)&gt;0,INDEX(Table2[[#All],[Para (Ticker Daniel)]],MATCH(Input_APM!F270,Table2[[#All],[De (Lote)]],0)),Input_APM!F270))</f>
        <v/>
      </c>
      <c r="M270" s="170" t="str">
        <f t="shared" si="21"/>
        <v/>
      </c>
      <c r="N270" s="171" t="str">
        <f t="shared" si="22"/>
        <v/>
      </c>
      <c r="O270" s="171" t="str">
        <f t="shared" si="23"/>
        <v/>
      </c>
    </row>
    <row r="271" spans="5:15">
      <c r="E271" s="296"/>
      <c r="K271" s="170" t="str">
        <f t="shared" si="20"/>
        <v/>
      </c>
      <c r="L271" s="170" t="str">
        <f>IF(E271="","",IF(COUNTIFS(Table2[[#All],[De (Lote)]],Input_APM!F271)&gt;0,INDEX(Table2[[#All],[Para (Ticker Daniel)]],MATCH(Input_APM!F271,Table2[[#All],[De (Lote)]],0)),Input_APM!F271))</f>
        <v/>
      </c>
      <c r="M271" s="170" t="str">
        <f t="shared" si="21"/>
        <v/>
      </c>
      <c r="N271" s="171" t="str">
        <f t="shared" si="22"/>
        <v/>
      </c>
      <c r="O271" s="171" t="str">
        <f t="shared" si="23"/>
        <v/>
      </c>
    </row>
    <row r="272" spans="5:15">
      <c r="E272" s="296"/>
      <c r="K272" s="170" t="str">
        <f t="shared" si="20"/>
        <v/>
      </c>
      <c r="L272" s="170" t="str">
        <f>IF(E272="","",IF(COUNTIFS(Table2[[#All],[De (Lote)]],Input_APM!F272)&gt;0,INDEX(Table2[[#All],[Para (Ticker Daniel)]],MATCH(Input_APM!F272,Table2[[#All],[De (Lote)]],0)),Input_APM!F272))</f>
        <v/>
      </c>
      <c r="M272" s="170" t="str">
        <f t="shared" si="21"/>
        <v/>
      </c>
      <c r="N272" s="171" t="str">
        <f t="shared" si="22"/>
        <v/>
      </c>
      <c r="O272" s="171" t="str">
        <f t="shared" si="23"/>
        <v/>
      </c>
    </row>
    <row r="273" spans="5:15">
      <c r="E273" s="296"/>
      <c r="K273" s="170" t="str">
        <f t="shared" si="20"/>
        <v/>
      </c>
      <c r="L273" s="170" t="str">
        <f>IF(E273="","",IF(COUNTIFS(Table2[[#All],[De (Lote)]],Input_APM!F273)&gt;0,INDEX(Table2[[#All],[Para (Ticker Daniel)]],MATCH(Input_APM!F273,Table2[[#All],[De (Lote)]],0)),Input_APM!F273))</f>
        <v/>
      </c>
      <c r="M273" s="170" t="str">
        <f t="shared" si="21"/>
        <v/>
      </c>
      <c r="N273" s="171" t="str">
        <f t="shared" si="22"/>
        <v/>
      </c>
      <c r="O273" s="171" t="str">
        <f t="shared" si="23"/>
        <v/>
      </c>
    </row>
    <row r="274" spans="5:15">
      <c r="E274" s="296"/>
      <c r="K274" s="170" t="str">
        <f t="shared" si="20"/>
        <v/>
      </c>
      <c r="L274" s="170" t="str">
        <f>IF(E274="","",IF(COUNTIFS(Table2[[#All],[De (Lote)]],Input_APM!F274)&gt;0,INDEX(Table2[[#All],[Para (Ticker Daniel)]],MATCH(Input_APM!F274,Table2[[#All],[De (Lote)]],0)),Input_APM!F274))</f>
        <v/>
      </c>
      <c r="M274" s="170" t="str">
        <f t="shared" si="21"/>
        <v/>
      </c>
      <c r="N274" s="171" t="str">
        <f t="shared" si="22"/>
        <v/>
      </c>
      <c r="O274" s="171" t="str">
        <f t="shared" si="23"/>
        <v/>
      </c>
    </row>
    <row r="275" spans="5:15">
      <c r="E275" s="296"/>
      <c r="K275" s="170" t="str">
        <f t="shared" si="20"/>
        <v/>
      </c>
      <c r="L275" s="170" t="str">
        <f>IF(E275="","",IF(COUNTIFS(Table2[[#All],[De (Lote)]],Input_APM!F275)&gt;0,INDEX(Table2[[#All],[Para (Ticker Daniel)]],MATCH(Input_APM!F275,Table2[[#All],[De (Lote)]],0)),Input_APM!F275))</f>
        <v/>
      </c>
      <c r="M275" s="170" t="str">
        <f t="shared" si="21"/>
        <v/>
      </c>
      <c r="N275" s="171" t="str">
        <f t="shared" si="22"/>
        <v/>
      </c>
      <c r="O275" s="171" t="str">
        <f t="shared" si="23"/>
        <v/>
      </c>
    </row>
    <row r="276" spans="5:15">
      <c r="E276" s="296"/>
      <c r="K276" s="170" t="str">
        <f t="shared" si="20"/>
        <v/>
      </c>
      <c r="L276" s="170" t="str">
        <f>IF(E276="","",IF(COUNTIFS(Table2[[#All],[De (Lote)]],Input_APM!F276)&gt;0,INDEX(Table2[[#All],[Para (Ticker Daniel)]],MATCH(Input_APM!F276,Table2[[#All],[De (Lote)]],0)),Input_APM!F276))</f>
        <v/>
      </c>
      <c r="M276" s="170" t="str">
        <f t="shared" si="21"/>
        <v/>
      </c>
      <c r="N276" s="171" t="str">
        <f t="shared" si="22"/>
        <v/>
      </c>
      <c r="O276" s="171" t="str">
        <f t="shared" si="23"/>
        <v/>
      </c>
    </row>
    <row r="277" spans="5:15">
      <c r="E277" s="296"/>
      <c r="K277" s="170" t="str">
        <f t="shared" si="20"/>
        <v/>
      </c>
      <c r="L277" s="170" t="str">
        <f>IF(E277="","",IF(COUNTIFS(Table2[[#All],[De (Lote)]],Input_APM!F277)&gt;0,INDEX(Table2[[#All],[Para (Ticker Daniel)]],MATCH(Input_APM!F277,Table2[[#All],[De (Lote)]],0)),Input_APM!F277))</f>
        <v/>
      </c>
      <c r="M277" s="170" t="str">
        <f t="shared" si="21"/>
        <v/>
      </c>
      <c r="N277" s="171" t="str">
        <f t="shared" si="22"/>
        <v/>
      </c>
      <c r="O277" s="171" t="str">
        <f t="shared" si="23"/>
        <v/>
      </c>
    </row>
    <row r="278" spans="5:15">
      <c r="E278" s="296"/>
      <c r="K278" s="170" t="str">
        <f t="shared" si="20"/>
        <v/>
      </c>
      <c r="L278" s="170" t="str">
        <f>IF(E278="","",IF(COUNTIFS(Table2[[#All],[De (Lote)]],Input_APM!F278)&gt;0,INDEX(Table2[[#All],[Para (Ticker Daniel)]],MATCH(Input_APM!F278,Table2[[#All],[De (Lote)]],0)),Input_APM!F278))</f>
        <v/>
      </c>
      <c r="M278" s="170" t="str">
        <f t="shared" si="21"/>
        <v/>
      </c>
      <c r="N278" s="171" t="str">
        <f t="shared" si="22"/>
        <v/>
      </c>
      <c r="O278" s="171" t="str">
        <f t="shared" si="23"/>
        <v/>
      </c>
    </row>
    <row r="279" spans="5:15">
      <c r="E279" s="296"/>
      <c r="K279" s="170" t="str">
        <f t="shared" si="20"/>
        <v/>
      </c>
      <c r="L279" s="170" t="str">
        <f>IF(E279="","",IF(COUNTIFS(Table2[[#All],[De (Lote)]],Input_APM!F279)&gt;0,INDEX(Table2[[#All],[Para (Ticker Daniel)]],MATCH(Input_APM!F279,Table2[[#All],[De (Lote)]],0)),Input_APM!F279))</f>
        <v/>
      </c>
      <c r="M279" s="170" t="str">
        <f t="shared" si="21"/>
        <v/>
      </c>
      <c r="N279" s="171" t="str">
        <f t="shared" si="22"/>
        <v/>
      </c>
      <c r="O279" s="171" t="str">
        <f t="shared" si="23"/>
        <v/>
      </c>
    </row>
    <row r="280" spans="5:15">
      <c r="E280" s="296"/>
      <c r="K280" s="170" t="str">
        <f t="shared" si="20"/>
        <v/>
      </c>
      <c r="L280" s="170" t="str">
        <f>IF(E280="","",IF(COUNTIFS(Table2[[#All],[De (Lote)]],Input_APM!F280)&gt;0,INDEX(Table2[[#All],[Para (Ticker Daniel)]],MATCH(Input_APM!F280,Table2[[#All],[De (Lote)]],0)),Input_APM!F280))</f>
        <v/>
      </c>
      <c r="M280" s="170" t="str">
        <f t="shared" si="21"/>
        <v/>
      </c>
      <c r="N280" s="171" t="str">
        <f t="shared" si="22"/>
        <v/>
      </c>
      <c r="O280" s="171" t="str">
        <f t="shared" si="23"/>
        <v/>
      </c>
    </row>
    <row r="281" spans="5:15">
      <c r="E281" s="296"/>
      <c r="K281" s="170" t="str">
        <f t="shared" si="20"/>
        <v/>
      </c>
      <c r="L281" s="170" t="str">
        <f>IF(E281="","",IF(COUNTIFS(Table2[[#All],[De (Lote)]],Input_APM!F281)&gt;0,INDEX(Table2[[#All],[Para (Ticker Daniel)]],MATCH(Input_APM!F281,Table2[[#All],[De (Lote)]],0)),Input_APM!F281))</f>
        <v/>
      </c>
      <c r="M281" s="170" t="str">
        <f t="shared" si="21"/>
        <v/>
      </c>
      <c r="N281" s="171" t="str">
        <f t="shared" si="22"/>
        <v/>
      </c>
      <c r="O281" s="171" t="str">
        <f t="shared" si="23"/>
        <v/>
      </c>
    </row>
    <row r="282" spans="5:15">
      <c r="E282" s="296"/>
      <c r="K282" s="170" t="str">
        <f t="shared" si="20"/>
        <v/>
      </c>
      <c r="L282" s="170" t="str">
        <f>IF(E282="","",IF(COUNTIFS(Table2[[#All],[De (Lote)]],Input_APM!F282)&gt;0,INDEX(Table2[[#All],[Para (Ticker Daniel)]],MATCH(Input_APM!F282,Table2[[#All],[De (Lote)]],0)),Input_APM!F282))</f>
        <v/>
      </c>
      <c r="M282" s="170" t="str">
        <f t="shared" si="21"/>
        <v/>
      </c>
      <c r="N282" s="171" t="str">
        <f t="shared" si="22"/>
        <v/>
      </c>
      <c r="O282" s="171" t="str">
        <f t="shared" si="23"/>
        <v/>
      </c>
    </row>
    <row r="283" spans="5:15">
      <c r="E283" s="296"/>
      <c r="K283" s="170" t="str">
        <f t="shared" si="20"/>
        <v/>
      </c>
      <c r="L283" s="170" t="str">
        <f>IF(E283="","",IF(COUNTIFS(Table2[[#All],[De (Lote)]],Input_APM!F283)&gt;0,INDEX(Table2[[#All],[Para (Ticker Daniel)]],MATCH(Input_APM!F283,Table2[[#All],[De (Lote)]],0)),Input_APM!F283))</f>
        <v/>
      </c>
      <c r="M283" s="170" t="str">
        <f t="shared" si="21"/>
        <v/>
      </c>
      <c r="N283" s="171" t="str">
        <f t="shared" si="22"/>
        <v/>
      </c>
      <c r="O283" s="171" t="str">
        <f t="shared" si="23"/>
        <v/>
      </c>
    </row>
    <row r="284" spans="5:15">
      <c r="E284" s="296"/>
      <c r="K284" s="170" t="str">
        <f t="shared" si="20"/>
        <v/>
      </c>
      <c r="L284" s="170" t="str">
        <f>IF(E284="","",IF(COUNTIFS(Table2[[#All],[De (Lote)]],Input_APM!F284)&gt;0,INDEX(Table2[[#All],[Para (Ticker Daniel)]],MATCH(Input_APM!F284,Table2[[#All],[De (Lote)]],0)),Input_APM!F284))</f>
        <v/>
      </c>
      <c r="M284" s="170" t="str">
        <f t="shared" si="21"/>
        <v/>
      </c>
      <c r="N284" s="171" t="str">
        <f t="shared" si="22"/>
        <v/>
      </c>
      <c r="O284" s="171" t="str">
        <f t="shared" si="23"/>
        <v/>
      </c>
    </row>
    <row r="285" spans="5:15">
      <c r="E285" s="296"/>
      <c r="K285" s="170" t="str">
        <f t="shared" si="20"/>
        <v/>
      </c>
      <c r="L285" s="170" t="str">
        <f>IF(E285="","",IF(COUNTIFS(Table2[[#All],[De (Lote)]],Input_APM!F285)&gt;0,INDEX(Table2[[#All],[Para (Ticker Daniel)]],MATCH(Input_APM!F285,Table2[[#All],[De (Lote)]],0)),Input_APM!F285))</f>
        <v/>
      </c>
      <c r="M285" s="170" t="str">
        <f t="shared" si="21"/>
        <v/>
      </c>
      <c r="N285" s="171" t="str">
        <f t="shared" si="22"/>
        <v/>
      </c>
      <c r="O285" s="171" t="str">
        <f t="shared" si="23"/>
        <v/>
      </c>
    </row>
    <row r="286" spans="5:15">
      <c r="E286" s="296"/>
      <c r="K286" s="170" t="str">
        <f t="shared" si="20"/>
        <v/>
      </c>
      <c r="L286" s="170" t="str">
        <f>IF(E286="","",IF(COUNTIFS(Table2[[#All],[De (Lote)]],Input_APM!F286)&gt;0,INDEX(Table2[[#All],[Para (Ticker Daniel)]],MATCH(Input_APM!F286,Table2[[#All],[De (Lote)]],0)),Input_APM!F286))</f>
        <v/>
      </c>
      <c r="M286" s="170" t="str">
        <f t="shared" si="21"/>
        <v/>
      </c>
      <c r="N286" s="171" t="str">
        <f t="shared" si="22"/>
        <v/>
      </c>
      <c r="O286" s="171" t="str">
        <f t="shared" si="23"/>
        <v/>
      </c>
    </row>
    <row r="287" spans="5:15">
      <c r="E287" s="296"/>
      <c r="K287" s="170" t="str">
        <f t="shared" si="20"/>
        <v/>
      </c>
      <c r="L287" s="170" t="str">
        <f>IF(E287="","",IF(COUNTIFS(Table2[[#All],[De (Lote)]],Input_APM!F287)&gt;0,INDEX(Table2[[#All],[Para (Ticker Daniel)]],MATCH(Input_APM!F287,Table2[[#All],[De (Lote)]],0)),Input_APM!F287))</f>
        <v/>
      </c>
      <c r="M287" s="170" t="str">
        <f t="shared" si="21"/>
        <v/>
      </c>
      <c r="N287" s="171" t="str">
        <f t="shared" si="22"/>
        <v/>
      </c>
      <c r="O287" s="171" t="str">
        <f t="shared" si="23"/>
        <v/>
      </c>
    </row>
    <row r="288" spans="5:15">
      <c r="E288" s="296"/>
      <c r="K288" s="170" t="str">
        <f t="shared" si="20"/>
        <v/>
      </c>
      <c r="L288" s="170" t="str">
        <f>IF(E288="","",IF(COUNTIFS(Table2[[#All],[De (Lote)]],Input_APM!F288)&gt;0,INDEX(Table2[[#All],[Para (Ticker Daniel)]],MATCH(Input_APM!F288,Table2[[#All],[De (Lote)]],0)),Input_APM!F288))</f>
        <v/>
      </c>
      <c r="M288" s="170" t="str">
        <f t="shared" si="21"/>
        <v/>
      </c>
      <c r="N288" s="171" t="str">
        <f t="shared" si="22"/>
        <v/>
      </c>
      <c r="O288" s="171" t="str">
        <f t="shared" si="23"/>
        <v/>
      </c>
    </row>
    <row r="289" spans="5:15">
      <c r="E289" s="296"/>
      <c r="K289" s="170" t="str">
        <f t="shared" si="20"/>
        <v/>
      </c>
      <c r="L289" s="170" t="str">
        <f>IF(E289="","",IF(COUNTIFS(Table2[[#All],[De (Lote)]],Input_APM!F289)&gt;0,INDEX(Table2[[#All],[Para (Ticker Daniel)]],MATCH(Input_APM!F289,Table2[[#All],[De (Lote)]],0)),Input_APM!F289))</f>
        <v/>
      </c>
      <c r="M289" s="170" t="str">
        <f t="shared" si="21"/>
        <v/>
      </c>
      <c r="N289" s="171" t="str">
        <f t="shared" si="22"/>
        <v/>
      </c>
      <c r="O289" s="171" t="str">
        <f t="shared" si="23"/>
        <v/>
      </c>
    </row>
    <row r="290" spans="5:15">
      <c r="E290" s="296"/>
      <c r="K290" s="170" t="str">
        <f t="shared" si="20"/>
        <v/>
      </c>
      <c r="L290" s="170" t="str">
        <f>IF(E290="","",IF(COUNTIFS(Table2[[#All],[De (Lote)]],Input_APM!F290)&gt;0,INDEX(Table2[[#All],[Para (Ticker Daniel)]],MATCH(Input_APM!F290,Table2[[#All],[De (Lote)]],0)),Input_APM!F290))</f>
        <v/>
      </c>
      <c r="M290" s="170" t="str">
        <f t="shared" si="21"/>
        <v/>
      </c>
      <c r="N290" s="171" t="str">
        <f t="shared" si="22"/>
        <v/>
      </c>
      <c r="O290" s="171" t="str">
        <f t="shared" si="23"/>
        <v/>
      </c>
    </row>
    <row r="291" spans="5:15">
      <c r="E291" s="296"/>
      <c r="K291" s="170" t="str">
        <f t="shared" si="20"/>
        <v/>
      </c>
      <c r="L291" s="170" t="str">
        <f>IF(E291="","",IF(COUNTIFS(Table2[[#All],[De (Lote)]],Input_APM!F291)&gt;0,INDEX(Table2[[#All],[Para (Ticker Daniel)]],MATCH(Input_APM!F291,Table2[[#All],[De (Lote)]],0)),Input_APM!F291))</f>
        <v/>
      </c>
      <c r="M291" s="170" t="str">
        <f t="shared" si="21"/>
        <v/>
      </c>
      <c r="N291" s="171" t="str">
        <f t="shared" si="22"/>
        <v/>
      </c>
      <c r="O291" s="171" t="str">
        <f t="shared" si="23"/>
        <v/>
      </c>
    </row>
    <row r="292" spans="5:15">
      <c r="E292" s="296"/>
      <c r="K292" s="170" t="str">
        <f t="shared" si="20"/>
        <v/>
      </c>
      <c r="L292" s="170" t="str">
        <f>IF(E292="","",IF(COUNTIFS(Table2[[#All],[De (Lote)]],Input_APM!F292)&gt;0,INDEX(Table2[[#All],[Para (Ticker Daniel)]],MATCH(Input_APM!F292,Table2[[#All],[De (Lote)]],0)),Input_APM!F292))</f>
        <v/>
      </c>
      <c r="M292" s="170" t="str">
        <f t="shared" si="21"/>
        <v/>
      </c>
      <c r="N292" s="171" t="str">
        <f t="shared" si="22"/>
        <v/>
      </c>
      <c r="O292" s="171" t="str">
        <f t="shared" si="23"/>
        <v/>
      </c>
    </row>
    <row r="293" spans="5:15">
      <c r="E293" s="296"/>
      <c r="K293" s="170" t="str">
        <f t="shared" si="20"/>
        <v/>
      </c>
      <c r="L293" s="170" t="str">
        <f>IF(E293="","",IF(COUNTIFS(Table2[[#All],[De (Lote)]],Input_APM!F293)&gt;0,INDEX(Table2[[#All],[Para (Ticker Daniel)]],MATCH(Input_APM!F293,Table2[[#All],[De (Lote)]],0)),Input_APM!F293))</f>
        <v/>
      </c>
      <c r="M293" s="170" t="str">
        <f t="shared" si="21"/>
        <v/>
      </c>
      <c r="N293" s="171" t="str">
        <f t="shared" si="22"/>
        <v/>
      </c>
      <c r="O293" s="171" t="str">
        <f t="shared" si="23"/>
        <v/>
      </c>
    </row>
    <row r="294" spans="5:15">
      <c r="E294" s="296"/>
      <c r="K294" s="170" t="str">
        <f t="shared" si="20"/>
        <v/>
      </c>
      <c r="L294" s="170" t="str">
        <f>IF(E294="","",IF(COUNTIFS(Table2[[#All],[De (Lote)]],Input_APM!F294)&gt;0,INDEX(Table2[[#All],[Para (Ticker Daniel)]],MATCH(Input_APM!F294,Table2[[#All],[De (Lote)]],0)),Input_APM!F294))</f>
        <v/>
      </c>
      <c r="M294" s="170" t="str">
        <f t="shared" si="21"/>
        <v/>
      </c>
      <c r="N294" s="171" t="str">
        <f t="shared" si="22"/>
        <v/>
      </c>
      <c r="O294" s="171" t="str">
        <f t="shared" si="23"/>
        <v/>
      </c>
    </row>
    <row r="295" spans="5:15">
      <c r="E295" s="296"/>
      <c r="K295" s="170" t="str">
        <f t="shared" si="20"/>
        <v/>
      </c>
      <c r="L295" s="170" t="str">
        <f>IF(E295="","",IF(COUNTIFS(Table2[[#All],[De (Lote)]],Input_APM!F295)&gt;0,INDEX(Table2[[#All],[Para (Ticker Daniel)]],MATCH(Input_APM!F295,Table2[[#All],[De (Lote)]],0)),Input_APM!F295))</f>
        <v/>
      </c>
      <c r="M295" s="170" t="str">
        <f t="shared" si="21"/>
        <v/>
      </c>
      <c r="N295" s="171" t="str">
        <f t="shared" si="22"/>
        <v/>
      </c>
      <c r="O295" s="171" t="str">
        <f t="shared" si="23"/>
        <v/>
      </c>
    </row>
    <row r="296" spans="5:15">
      <c r="E296" s="296"/>
      <c r="K296" s="170" t="str">
        <f t="shared" si="20"/>
        <v/>
      </c>
      <c r="L296" s="170" t="str">
        <f>IF(E296="","",IF(COUNTIFS(Table2[[#All],[De (Lote)]],Input_APM!F296)&gt;0,INDEX(Table2[[#All],[Para (Ticker Daniel)]],MATCH(Input_APM!F296,Table2[[#All],[De (Lote)]],0)),Input_APM!F296))</f>
        <v/>
      </c>
      <c r="M296" s="170" t="str">
        <f t="shared" si="21"/>
        <v/>
      </c>
      <c r="N296" s="171" t="str">
        <f t="shared" si="22"/>
        <v/>
      </c>
      <c r="O296" s="171" t="str">
        <f t="shared" si="23"/>
        <v/>
      </c>
    </row>
    <row r="297" spans="5:15">
      <c r="E297" s="296"/>
      <c r="K297" s="170" t="str">
        <f t="shared" si="20"/>
        <v/>
      </c>
      <c r="L297" s="170" t="str">
        <f>IF(E297="","",IF(COUNTIFS(Table2[[#All],[De (Lote)]],Input_APM!F297)&gt;0,INDEX(Table2[[#All],[Para (Ticker Daniel)]],MATCH(Input_APM!F297,Table2[[#All],[De (Lote)]],0)),Input_APM!F297))</f>
        <v/>
      </c>
      <c r="M297" s="170" t="str">
        <f t="shared" si="21"/>
        <v/>
      </c>
      <c r="N297" s="171" t="str">
        <f t="shared" si="22"/>
        <v/>
      </c>
      <c r="O297" s="171" t="str">
        <f t="shared" si="23"/>
        <v/>
      </c>
    </row>
    <row r="298" spans="5:15">
      <c r="E298" s="296"/>
      <c r="K298" s="170" t="str">
        <f t="shared" si="20"/>
        <v/>
      </c>
      <c r="L298" s="170" t="str">
        <f>IF(E298="","",IF(COUNTIFS(Table2[[#All],[De (Lote)]],Input_APM!F298)&gt;0,INDEX(Table2[[#All],[Para (Ticker Daniel)]],MATCH(Input_APM!F298,Table2[[#All],[De (Lote)]],0)),Input_APM!F298))</f>
        <v/>
      </c>
      <c r="M298" s="170" t="str">
        <f t="shared" si="21"/>
        <v/>
      </c>
      <c r="N298" s="171" t="str">
        <f t="shared" si="22"/>
        <v/>
      </c>
      <c r="O298" s="171" t="str">
        <f t="shared" si="23"/>
        <v/>
      </c>
    </row>
    <row r="299" spans="5:15">
      <c r="E299" s="296"/>
      <c r="K299" s="170" t="str">
        <f t="shared" si="20"/>
        <v/>
      </c>
      <c r="L299" s="170" t="str">
        <f>IF(E299="","",IF(COUNTIFS(Table2[[#All],[De (Lote)]],Input_APM!F299)&gt;0,INDEX(Table2[[#All],[Para (Ticker Daniel)]],MATCH(Input_APM!F299,Table2[[#All],[De (Lote)]],0)),Input_APM!F299))</f>
        <v/>
      </c>
      <c r="M299" s="170" t="str">
        <f t="shared" si="21"/>
        <v/>
      </c>
      <c r="N299" s="171" t="str">
        <f t="shared" si="22"/>
        <v/>
      </c>
      <c r="O299" s="171" t="str">
        <f t="shared" si="23"/>
        <v/>
      </c>
    </row>
    <row r="300" spans="5:15">
      <c r="E300" s="296"/>
      <c r="K300" s="170" t="str">
        <f t="shared" si="20"/>
        <v/>
      </c>
      <c r="L300" s="170" t="str">
        <f>IF(E300="","",IF(COUNTIFS(Table2[[#All],[De (Lote)]],Input_APM!F300)&gt;0,INDEX(Table2[[#All],[Para (Ticker Daniel)]],MATCH(Input_APM!F300,Table2[[#All],[De (Lote)]],0)),Input_APM!F300))</f>
        <v/>
      </c>
      <c r="M300" s="170" t="str">
        <f t="shared" si="21"/>
        <v/>
      </c>
      <c r="N300" s="171" t="str">
        <f t="shared" si="22"/>
        <v/>
      </c>
      <c r="O300" s="171" t="str">
        <f t="shared" si="23"/>
        <v/>
      </c>
    </row>
    <row r="301" spans="5:15">
      <c r="E301" s="296"/>
      <c r="K301" s="170" t="str">
        <f t="shared" si="20"/>
        <v/>
      </c>
      <c r="L301" s="170" t="str">
        <f>IF(E301="","",IF(COUNTIFS(Table2[[#All],[De (Lote)]],Input_APM!F301)&gt;0,INDEX(Table2[[#All],[Para (Ticker Daniel)]],MATCH(Input_APM!F301,Table2[[#All],[De (Lote)]],0)),Input_APM!F301))</f>
        <v/>
      </c>
      <c r="M301" s="170" t="str">
        <f t="shared" si="21"/>
        <v/>
      </c>
      <c r="N301" s="171" t="str">
        <f t="shared" si="22"/>
        <v/>
      </c>
      <c r="O301" s="171" t="str">
        <f t="shared" si="23"/>
        <v/>
      </c>
    </row>
    <row r="302" spans="5:15">
      <c r="E302" s="296"/>
      <c r="K302" s="170" t="str">
        <f t="shared" si="20"/>
        <v/>
      </c>
      <c r="L302" s="170" t="str">
        <f>IF(E302="","",IF(COUNTIFS(Table2[[#All],[De (Lote)]],Input_APM!F302)&gt;0,INDEX(Table2[[#All],[Para (Ticker Daniel)]],MATCH(Input_APM!F302,Table2[[#All],[De (Lote)]],0)),Input_APM!F302))</f>
        <v/>
      </c>
      <c r="M302" s="170" t="str">
        <f t="shared" si="21"/>
        <v/>
      </c>
      <c r="N302" s="171" t="str">
        <f t="shared" si="22"/>
        <v/>
      </c>
      <c r="O302" s="171" t="str">
        <f t="shared" si="23"/>
        <v/>
      </c>
    </row>
    <row r="303" spans="5:15">
      <c r="E303" s="296"/>
      <c r="K303" s="170" t="str">
        <f t="shared" si="20"/>
        <v/>
      </c>
      <c r="L303" s="170" t="str">
        <f>IF(E303="","",IF(COUNTIFS(Table2[[#All],[De (Lote)]],Input_APM!F303)&gt;0,INDEX(Table2[[#All],[Para (Ticker Daniel)]],MATCH(Input_APM!F303,Table2[[#All],[De (Lote)]],0)),Input_APM!F303))</f>
        <v/>
      </c>
      <c r="M303" s="170" t="str">
        <f t="shared" si="21"/>
        <v/>
      </c>
      <c r="N303" s="171" t="str">
        <f t="shared" si="22"/>
        <v/>
      </c>
      <c r="O303" s="171" t="str">
        <f t="shared" si="23"/>
        <v/>
      </c>
    </row>
    <row r="304" spans="5:15">
      <c r="E304" s="296"/>
      <c r="K304" s="170" t="str">
        <f t="shared" ref="K304:K355" si="24">IF(E304="","",E304)</f>
        <v/>
      </c>
      <c r="L304" s="170" t="str">
        <f>IF(E304="","",IF(COUNTIFS(Table2[[#All],[De (Lote)]],Input_APM!F304)&gt;0,INDEX(Table2[[#All],[Para (Ticker Daniel)]],MATCH(Input_APM!F304,Table2[[#All],[De (Lote)]],0)),Input_APM!F304))</f>
        <v/>
      </c>
      <c r="M304" s="170" t="str">
        <f t="shared" ref="M304:M355" si="25">IF(E304="","",G304)</f>
        <v/>
      </c>
      <c r="N304" s="171" t="str">
        <f t="shared" ref="N304:N355" si="26">IF(E304="","",H304)</f>
        <v/>
      </c>
      <c r="O304" s="171" t="str">
        <f t="shared" ref="O304:O355" si="27">IF(E304="","",I304)</f>
        <v/>
      </c>
    </row>
    <row r="305" spans="5:15">
      <c r="E305" s="296"/>
      <c r="K305" s="170" t="str">
        <f t="shared" si="24"/>
        <v/>
      </c>
      <c r="L305" s="170" t="str">
        <f>IF(E305="","",IF(COUNTIFS(Table2[[#All],[De (Lote)]],Input_APM!F305)&gt;0,INDEX(Table2[[#All],[Para (Ticker Daniel)]],MATCH(Input_APM!F305,Table2[[#All],[De (Lote)]],0)),Input_APM!F305))</f>
        <v/>
      </c>
      <c r="M305" s="170" t="str">
        <f t="shared" si="25"/>
        <v/>
      </c>
      <c r="N305" s="171" t="str">
        <f t="shared" si="26"/>
        <v/>
      </c>
      <c r="O305" s="171" t="str">
        <f t="shared" si="27"/>
        <v/>
      </c>
    </row>
    <row r="306" spans="5:15">
      <c r="E306" s="296"/>
      <c r="K306" s="170" t="str">
        <f t="shared" si="24"/>
        <v/>
      </c>
      <c r="L306" s="170" t="str">
        <f>IF(E306="","",IF(COUNTIFS(Table2[[#All],[De (Lote)]],Input_APM!F306)&gt;0,INDEX(Table2[[#All],[Para (Ticker Daniel)]],MATCH(Input_APM!F306,Table2[[#All],[De (Lote)]],0)),Input_APM!F306))</f>
        <v/>
      </c>
      <c r="M306" s="170" t="str">
        <f t="shared" si="25"/>
        <v/>
      </c>
      <c r="N306" s="171" t="str">
        <f t="shared" si="26"/>
        <v/>
      </c>
      <c r="O306" s="171" t="str">
        <f t="shared" si="27"/>
        <v/>
      </c>
    </row>
    <row r="307" spans="5:15">
      <c r="E307" s="296"/>
      <c r="K307" s="170" t="str">
        <f t="shared" si="24"/>
        <v/>
      </c>
      <c r="L307" s="170" t="str">
        <f>IF(E307="","",IF(COUNTIFS(Table2[[#All],[De (Lote)]],Input_APM!F307)&gt;0,INDEX(Table2[[#All],[Para (Ticker Daniel)]],MATCH(Input_APM!F307,Table2[[#All],[De (Lote)]],0)),Input_APM!F307))</f>
        <v/>
      </c>
      <c r="M307" s="170" t="str">
        <f t="shared" si="25"/>
        <v/>
      </c>
      <c r="N307" s="171" t="str">
        <f t="shared" si="26"/>
        <v/>
      </c>
      <c r="O307" s="171" t="str">
        <f t="shared" si="27"/>
        <v/>
      </c>
    </row>
    <row r="308" spans="5:15">
      <c r="E308" s="296"/>
      <c r="K308" s="170" t="str">
        <f t="shared" si="24"/>
        <v/>
      </c>
      <c r="L308" s="170" t="str">
        <f>IF(E308="","",IF(COUNTIFS(Table2[[#All],[De (Lote)]],Input_APM!F308)&gt;0,INDEX(Table2[[#All],[Para (Ticker Daniel)]],MATCH(Input_APM!F308,Table2[[#All],[De (Lote)]],0)),Input_APM!F308))</f>
        <v/>
      </c>
      <c r="M308" s="170" t="str">
        <f t="shared" si="25"/>
        <v/>
      </c>
      <c r="N308" s="171" t="str">
        <f t="shared" si="26"/>
        <v/>
      </c>
      <c r="O308" s="171" t="str">
        <f t="shared" si="27"/>
        <v/>
      </c>
    </row>
    <row r="309" spans="5:15">
      <c r="E309" s="296"/>
      <c r="K309" s="170" t="str">
        <f t="shared" si="24"/>
        <v/>
      </c>
      <c r="L309" s="170" t="str">
        <f>IF(E309="","",IF(COUNTIFS(Table2[[#All],[De (Lote)]],Input_APM!F309)&gt;0,INDEX(Table2[[#All],[Para (Ticker Daniel)]],MATCH(Input_APM!F309,Table2[[#All],[De (Lote)]],0)),Input_APM!F309))</f>
        <v/>
      </c>
      <c r="M309" s="170" t="str">
        <f t="shared" si="25"/>
        <v/>
      </c>
      <c r="N309" s="171" t="str">
        <f t="shared" si="26"/>
        <v/>
      </c>
      <c r="O309" s="171" t="str">
        <f t="shared" si="27"/>
        <v/>
      </c>
    </row>
    <row r="310" spans="5:15">
      <c r="E310" s="296"/>
      <c r="K310" s="170" t="str">
        <f t="shared" si="24"/>
        <v/>
      </c>
      <c r="L310" s="170" t="str">
        <f>IF(E310="","",IF(COUNTIFS(Table2[[#All],[De (Lote)]],Input_APM!F310)&gt;0,INDEX(Table2[[#All],[Para (Ticker Daniel)]],MATCH(Input_APM!F310,Table2[[#All],[De (Lote)]],0)),Input_APM!F310))</f>
        <v/>
      </c>
      <c r="M310" s="170" t="str">
        <f t="shared" si="25"/>
        <v/>
      </c>
      <c r="N310" s="171" t="str">
        <f t="shared" si="26"/>
        <v/>
      </c>
      <c r="O310" s="171" t="str">
        <f t="shared" si="27"/>
        <v/>
      </c>
    </row>
    <row r="311" spans="5:15">
      <c r="E311" s="296"/>
      <c r="K311" s="170" t="str">
        <f t="shared" si="24"/>
        <v/>
      </c>
      <c r="L311" s="170" t="str">
        <f>IF(E311="","",IF(COUNTIFS(Table2[[#All],[De (Lote)]],Input_APM!F311)&gt;0,INDEX(Table2[[#All],[Para (Ticker Daniel)]],MATCH(Input_APM!F311,Table2[[#All],[De (Lote)]],0)),Input_APM!F311))</f>
        <v/>
      </c>
      <c r="M311" s="170" t="str">
        <f t="shared" si="25"/>
        <v/>
      </c>
      <c r="N311" s="171" t="str">
        <f t="shared" si="26"/>
        <v/>
      </c>
      <c r="O311" s="171" t="str">
        <f t="shared" si="27"/>
        <v/>
      </c>
    </row>
    <row r="312" spans="5:15">
      <c r="E312" s="296"/>
      <c r="K312" s="170" t="str">
        <f t="shared" si="24"/>
        <v/>
      </c>
      <c r="L312" s="170" t="str">
        <f>IF(E312="","",IF(COUNTIFS(Table2[[#All],[De (Lote)]],Input_APM!F312)&gt;0,INDEX(Table2[[#All],[Para (Ticker Daniel)]],MATCH(Input_APM!F312,Table2[[#All],[De (Lote)]],0)),Input_APM!F312))</f>
        <v/>
      </c>
      <c r="M312" s="170" t="str">
        <f t="shared" si="25"/>
        <v/>
      </c>
      <c r="N312" s="171" t="str">
        <f t="shared" si="26"/>
        <v/>
      </c>
      <c r="O312" s="171" t="str">
        <f t="shared" si="27"/>
        <v/>
      </c>
    </row>
    <row r="313" spans="5:15">
      <c r="E313" s="296"/>
      <c r="K313" s="170" t="str">
        <f t="shared" si="24"/>
        <v/>
      </c>
      <c r="L313" s="170" t="str">
        <f>IF(E313="","",IF(COUNTIFS(Table2[[#All],[De (Lote)]],Input_APM!F313)&gt;0,INDEX(Table2[[#All],[Para (Ticker Daniel)]],MATCH(Input_APM!F313,Table2[[#All],[De (Lote)]],0)),Input_APM!F313))</f>
        <v/>
      </c>
      <c r="M313" s="170" t="str">
        <f t="shared" si="25"/>
        <v/>
      </c>
      <c r="N313" s="171" t="str">
        <f t="shared" si="26"/>
        <v/>
      </c>
      <c r="O313" s="171" t="str">
        <f t="shared" si="27"/>
        <v/>
      </c>
    </row>
    <row r="314" spans="5:15">
      <c r="E314" s="296"/>
      <c r="K314" s="170" t="str">
        <f t="shared" si="24"/>
        <v/>
      </c>
      <c r="L314" s="170" t="str">
        <f>IF(E314="","",IF(COUNTIFS(Table2[[#All],[De (Lote)]],Input_APM!F314)&gt;0,INDEX(Table2[[#All],[Para (Ticker Daniel)]],MATCH(Input_APM!F314,Table2[[#All],[De (Lote)]],0)),Input_APM!F314))</f>
        <v/>
      </c>
      <c r="M314" s="170" t="str">
        <f t="shared" si="25"/>
        <v/>
      </c>
      <c r="N314" s="171" t="str">
        <f t="shared" si="26"/>
        <v/>
      </c>
      <c r="O314" s="171" t="str">
        <f t="shared" si="27"/>
        <v/>
      </c>
    </row>
    <row r="315" spans="5:15">
      <c r="E315" s="296"/>
      <c r="K315" s="170" t="str">
        <f t="shared" si="24"/>
        <v/>
      </c>
      <c r="L315" s="170" t="str">
        <f>IF(E315="","",IF(COUNTIFS(Table2[[#All],[De (Lote)]],Input_APM!F315)&gt;0,INDEX(Table2[[#All],[Para (Ticker Daniel)]],MATCH(Input_APM!F315,Table2[[#All],[De (Lote)]],0)),Input_APM!F315))</f>
        <v/>
      </c>
      <c r="M315" s="170" t="str">
        <f t="shared" si="25"/>
        <v/>
      </c>
      <c r="N315" s="171" t="str">
        <f t="shared" si="26"/>
        <v/>
      </c>
      <c r="O315" s="171" t="str">
        <f t="shared" si="27"/>
        <v/>
      </c>
    </row>
    <row r="316" spans="5:15">
      <c r="E316" s="296"/>
      <c r="K316" s="170" t="str">
        <f t="shared" si="24"/>
        <v/>
      </c>
      <c r="L316" s="170" t="str">
        <f>IF(E316="","",IF(COUNTIFS(Table2[[#All],[De (Lote)]],Input_APM!F316)&gt;0,INDEX(Table2[[#All],[Para (Ticker Daniel)]],MATCH(Input_APM!F316,Table2[[#All],[De (Lote)]],0)),Input_APM!F316))</f>
        <v/>
      </c>
      <c r="M316" s="170" t="str">
        <f t="shared" si="25"/>
        <v/>
      </c>
      <c r="N316" s="171" t="str">
        <f t="shared" si="26"/>
        <v/>
      </c>
      <c r="O316" s="171" t="str">
        <f t="shared" si="27"/>
        <v/>
      </c>
    </row>
    <row r="317" spans="5:15">
      <c r="E317" s="296"/>
      <c r="K317" s="170" t="str">
        <f t="shared" si="24"/>
        <v/>
      </c>
      <c r="L317" s="170" t="str">
        <f>IF(E317="","",IF(COUNTIFS(Table2[[#All],[De (Lote)]],Input_APM!F317)&gt;0,INDEX(Table2[[#All],[Para (Ticker Daniel)]],MATCH(Input_APM!F317,Table2[[#All],[De (Lote)]],0)),Input_APM!F317))</f>
        <v/>
      </c>
      <c r="M317" s="170" t="str">
        <f t="shared" si="25"/>
        <v/>
      </c>
      <c r="N317" s="171" t="str">
        <f t="shared" si="26"/>
        <v/>
      </c>
      <c r="O317" s="171" t="str">
        <f t="shared" si="27"/>
        <v/>
      </c>
    </row>
    <row r="318" spans="5:15">
      <c r="E318" s="296"/>
      <c r="K318" s="170" t="str">
        <f t="shared" si="24"/>
        <v/>
      </c>
      <c r="L318" s="170" t="str">
        <f>IF(E318="","",IF(COUNTIFS(Table2[[#All],[De (Lote)]],Input_APM!F318)&gt;0,INDEX(Table2[[#All],[Para (Ticker Daniel)]],MATCH(Input_APM!F318,Table2[[#All],[De (Lote)]],0)),Input_APM!F318))</f>
        <v/>
      </c>
      <c r="M318" s="170" t="str">
        <f t="shared" si="25"/>
        <v/>
      </c>
      <c r="N318" s="171" t="str">
        <f t="shared" si="26"/>
        <v/>
      </c>
      <c r="O318" s="171" t="str">
        <f t="shared" si="27"/>
        <v/>
      </c>
    </row>
    <row r="319" spans="5:15">
      <c r="E319" s="296"/>
      <c r="K319" s="170" t="str">
        <f t="shared" si="24"/>
        <v/>
      </c>
      <c r="L319" s="170" t="str">
        <f>IF(E319="","",IF(COUNTIFS(Table2[[#All],[De (Lote)]],Input_APM!F319)&gt;0,INDEX(Table2[[#All],[Para (Ticker Daniel)]],MATCH(Input_APM!F319,Table2[[#All],[De (Lote)]],0)),Input_APM!F319))</f>
        <v/>
      </c>
      <c r="M319" s="170" t="str">
        <f t="shared" si="25"/>
        <v/>
      </c>
      <c r="N319" s="171" t="str">
        <f t="shared" si="26"/>
        <v/>
      </c>
      <c r="O319" s="171" t="str">
        <f t="shared" si="27"/>
        <v/>
      </c>
    </row>
    <row r="320" spans="5:15">
      <c r="E320" s="296"/>
      <c r="K320" s="170" t="str">
        <f t="shared" si="24"/>
        <v/>
      </c>
      <c r="L320" s="170" t="str">
        <f>IF(E320="","",IF(COUNTIFS(Table2[[#All],[De (Lote)]],Input_APM!F320)&gt;0,INDEX(Table2[[#All],[Para (Ticker Daniel)]],MATCH(Input_APM!F320,Table2[[#All],[De (Lote)]],0)),Input_APM!F320))</f>
        <v/>
      </c>
      <c r="M320" s="170" t="str">
        <f t="shared" si="25"/>
        <v/>
      </c>
      <c r="N320" s="171" t="str">
        <f t="shared" si="26"/>
        <v/>
      </c>
      <c r="O320" s="171" t="str">
        <f t="shared" si="27"/>
        <v/>
      </c>
    </row>
    <row r="321" spans="5:15">
      <c r="E321" s="296"/>
      <c r="K321" s="170" t="str">
        <f t="shared" si="24"/>
        <v/>
      </c>
      <c r="L321" s="170" t="str">
        <f>IF(E321="","",IF(COUNTIFS(Table2[[#All],[De (Lote)]],Input_APM!F321)&gt;0,INDEX(Table2[[#All],[Para (Ticker Daniel)]],MATCH(Input_APM!F321,Table2[[#All],[De (Lote)]],0)),Input_APM!F321))</f>
        <v/>
      </c>
      <c r="M321" s="170" t="str">
        <f t="shared" si="25"/>
        <v/>
      </c>
      <c r="N321" s="171" t="str">
        <f t="shared" si="26"/>
        <v/>
      </c>
      <c r="O321" s="171" t="str">
        <f t="shared" si="27"/>
        <v/>
      </c>
    </row>
    <row r="322" spans="5:15">
      <c r="E322" s="296"/>
      <c r="K322" s="170" t="str">
        <f t="shared" si="24"/>
        <v/>
      </c>
      <c r="L322" s="170" t="str">
        <f>IF(E322="","",IF(COUNTIFS(Table2[[#All],[De (Lote)]],Input_APM!F322)&gt;0,INDEX(Table2[[#All],[Para (Ticker Daniel)]],MATCH(Input_APM!F322,Table2[[#All],[De (Lote)]],0)),Input_APM!F322))</f>
        <v/>
      </c>
      <c r="M322" s="170" t="str">
        <f t="shared" si="25"/>
        <v/>
      </c>
      <c r="N322" s="171" t="str">
        <f t="shared" si="26"/>
        <v/>
      </c>
      <c r="O322" s="171" t="str">
        <f t="shared" si="27"/>
        <v/>
      </c>
    </row>
    <row r="323" spans="5:15">
      <c r="E323" s="296"/>
      <c r="K323" s="170" t="str">
        <f t="shared" si="24"/>
        <v/>
      </c>
      <c r="L323" s="170" t="str">
        <f>IF(E323="","",IF(COUNTIFS(Table2[[#All],[De (Lote)]],Input_APM!F323)&gt;0,INDEX(Table2[[#All],[Para (Ticker Daniel)]],MATCH(Input_APM!F323,Table2[[#All],[De (Lote)]],0)),Input_APM!F323))</f>
        <v/>
      </c>
      <c r="M323" s="170" t="str">
        <f t="shared" si="25"/>
        <v/>
      </c>
      <c r="N323" s="171" t="str">
        <f t="shared" si="26"/>
        <v/>
      </c>
      <c r="O323" s="171" t="str">
        <f t="shared" si="27"/>
        <v/>
      </c>
    </row>
    <row r="324" spans="5:15">
      <c r="E324" s="296"/>
      <c r="K324" s="170" t="str">
        <f t="shared" si="24"/>
        <v/>
      </c>
      <c r="L324" s="170" t="str">
        <f>IF(E324="","",IF(COUNTIFS(Table2[[#All],[De (Lote)]],Input_APM!F324)&gt;0,INDEX(Table2[[#All],[Para (Ticker Daniel)]],MATCH(Input_APM!F324,Table2[[#All],[De (Lote)]],0)),Input_APM!F324))</f>
        <v/>
      </c>
      <c r="M324" s="170" t="str">
        <f t="shared" si="25"/>
        <v/>
      </c>
      <c r="N324" s="171" t="str">
        <f t="shared" si="26"/>
        <v/>
      </c>
      <c r="O324" s="171" t="str">
        <f t="shared" si="27"/>
        <v/>
      </c>
    </row>
    <row r="325" spans="5:15">
      <c r="E325" s="296"/>
      <c r="K325" s="170" t="str">
        <f t="shared" si="24"/>
        <v/>
      </c>
      <c r="L325" s="170" t="str">
        <f>IF(E325="","",IF(COUNTIFS(Table2[[#All],[De (Lote)]],Input_APM!F325)&gt;0,INDEX(Table2[[#All],[Para (Ticker Daniel)]],MATCH(Input_APM!F325,Table2[[#All],[De (Lote)]],0)),Input_APM!F325))</f>
        <v/>
      </c>
      <c r="M325" s="170" t="str">
        <f t="shared" si="25"/>
        <v/>
      </c>
      <c r="N325" s="171" t="str">
        <f t="shared" si="26"/>
        <v/>
      </c>
      <c r="O325" s="171" t="str">
        <f t="shared" si="27"/>
        <v/>
      </c>
    </row>
    <row r="326" spans="5:15">
      <c r="E326" s="296"/>
      <c r="K326" s="170" t="str">
        <f t="shared" si="24"/>
        <v/>
      </c>
      <c r="L326" s="170" t="str">
        <f>IF(E326="","",IF(COUNTIFS(Table2[[#All],[De (Lote)]],Input_APM!F326)&gt;0,INDEX(Table2[[#All],[Para (Ticker Daniel)]],MATCH(Input_APM!F326,Table2[[#All],[De (Lote)]],0)),Input_APM!F326))</f>
        <v/>
      </c>
      <c r="M326" s="170" t="str">
        <f t="shared" si="25"/>
        <v/>
      </c>
      <c r="N326" s="171" t="str">
        <f t="shared" si="26"/>
        <v/>
      </c>
      <c r="O326" s="171" t="str">
        <f t="shared" si="27"/>
        <v/>
      </c>
    </row>
    <row r="327" spans="5:15">
      <c r="E327" s="296"/>
      <c r="K327" s="170" t="str">
        <f t="shared" si="24"/>
        <v/>
      </c>
      <c r="L327" s="170" t="str">
        <f>IF(E327="","",IF(COUNTIFS(Table2[[#All],[De (Lote)]],Input_APM!F327)&gt;0,INDEX(Table2[[#All],[Para (Ticker Daniel)]],MATCH(Input_APM!F327,Table2[[#All],[De (Lote)]],0)),Input_APM!F327))</f>
        <v/>
      </c>
      <c r="M327" s="170" t="str">
        <f t="shared" si="25"/>
        <v/>
      </c>
      <c r="N327" s="171" t="str">
        <f t="shared" si="26"/>
        <v/>
      </c>
      <c r="O327" s="171" t="str">
        <f t="shared" si="27"/>
        <v/>
      </c>
    </row>
    <row r="328" spans="5:15">
      <c r="E328" s="296"/>
      <c r="K328" s="170" t="str">
        <f t="shared" si="24"/>
        <v/>
      </c>
      <c r="L328" s="170" t="str">
        <f>IF(E328="","",IF(COUNTIFS(Table2[[#All],[De (Lote)]],Input_APM!F328)&gt;0,INDEX(Table2[[#All],[Para (Ticker Daniel)]],MATCH(Input_APM!F328,Table2[[#All],[De (Lote)]],0)),Input_APM!F328))</f>
        <v/>
      </c>
      <c r="M328" s="170" t="str">
        <f t="shared" si="25"/>
        <v/>
      </c>
      <c r="N328" s="171" t="str">
        <f t="shared" si="26"/>
        <v/>
      </c>
      <c r="O328" s="171" t="str">
        <f t="shared" si="27"/>
        <v/>
      </c>
    </row>
    <row r="329" spans="5:15">
      <c r="E329" s="296"/>
      <c r="K329" s="170" t="str">
        <f t="shared" si="24"/>
        <v/>
      </c>
      <c r="L329" s="170" t="str">
        <f>IF(E329="","",IF(COUNTIFS(Table2[[#All],[De (Lote)]],Input_APM!F329)&gt;0,INDEX(Table2[[#All],[Para (Ticker Daniel)]],MATCH(Input_APM!F329,Table2[[#All],[De (Lote)]],0)),Input_APM!F329))</f>
        <v/>
      </c>
      <c r="M329" s="170" t="str">
        <f t="shared" si="25"/>
        <v/>
      </c>
      <c r="N329" s="171" t="str">
        <f t="shared" si="26"/>
        <v/>
      </c>
      <c r="O329" s="171" t="str">
        <f t="shared" si="27"/>
        <v/>
      </c>
    </row>
    <row r="330" spans="5:15">
      <c r="E330" s="296"/>
      <c r="K330" s="170" t="str">
        <f t="shared" si="24"/>
        <v/>
      </c>
      <c r="L330" s="170" t="str">
        <f>IF(E330="","",IF(COUNTIFS(Table2[[#All],[De (Lote)]],Input_APM!F330)&gt;0,INDEX(Table2[[#All],[Para (Ticker Daniel)]],MATCH(Input_APM!F330,Table2[[#All],[De (Lote)]],0)),Input_APM!F330))</f>
        <v/>
      </c>
      <c r="M330" s="170" t="str">
        <f t="shared" si="25"/>
        <v/>
      </c>
      <c r="N330" s="171" t="str">
        <f t="shared" si="26"/>
        <v/>
      </c>
      <c r="O330" s="171" t="str">
        <f t="shared" si="27"/>
        <v/>
      </c>
    </row>
    <row r="331" spans="5:15">
      <c r="E331" s="296"/>
      <c r="K331" s="170" t="str">
        <f t="shared" si="24"/>
        <v/>
      </c>
      <c r="L331" s="170" t="str">
        <f>IF(E331="","",IF(COUNTIFS(Table2[[#All],[De (Lote)]],Input_APM!F331)&gt;0,INDEX(Table2[[#All],[Para (Ticker Daniel)]],MATCH(Input_APM!F331,Table2[[#All],[De (Lote)]],0)),Input_APM!F331))</f>
        <v/>
      </c>
      <c r="M331" s="170" t="str">
        <f t="shared" si="25"/>
        <v/>
      </c>
      <c r="N331" s="171" t="str">
        <f t="shared" si="26"/>
        <v/>
      </c>
      <c r="O331" s="171" t="str">
        <f t="shared" si="27"/>
        <v/>
      </c>
    </row>
    <row r="332" spans="5:15">
      <c r="E332" s="296"/>
      <c r="K332" s="170" t="str">
        <f t="shared" si="24"/>
        <v/>
      </c>
      <c r="L332" s="170" t="str">
        <f>IF(E332="","",IF(COUNTIFS(Table2[[#All],[De (Lote)]],Input_APM!F332)&gt;0,INDEX(Table2[[#All],[Para (Ticker Daniel)]],MATCH(Input_APM!F332,Table2[[#All],[De (Lote)]],0)),Input_APM!F332))</f>
        <v/>
      </c>
      <c r="M332" s="170" t="str">
        <f t="shared" si="25"/>
        <v/>
      </c>
      <c r="N332" s="171" t="str">
        <f t="shared" si="26"/>
        <v/>
      </c>
      <c r="O332" s="171" t="str">
        <f t="shared" si="27"/>
        <v/>
      </c>
    </row>
    <row r="333" spans="5:15">
      <c r="E333" s="296"/>
      <c r="K333" s="170" t="str">
        <f t="shared" si="24"/>
        <v/>
      </c>
      <c r="L333" s="170" t="str">
        <f>IF(E333="","",IF(COUNTIFS(Table2[[#All],[De (Lote)]],Input_APM!F333)&gt;0,INDEX(Table2[[#All],[Para (Ticker Daniel)]],MATCH(Input_APM!F333,Table2[[#All],[De (Lote)]],0)),Input_APM!F333))</f>
        <v/>
      </c>
      <c r="M333" s="170" t="str">
        <f t="shared" si="25"/>
        <v/>
      </c>
      <c r="N333" s="171" t="str">
        <f t="shared" si="26"/>
        <v/>
      </c>
      <c r="O333" s="171" t="str">
        <f t="shared" si="27"/>
        <v/>
      </c>
    </row>
    <row r="334" spans="5:15">
      <c r="E334" s="296"/>
      <c r="K334" s="170" t="str">
        <f t="shared" si="24"/>
        <v/>
      </c>
      <c r="L334" s="170" t="str">
        <f>IF(E334="","",IF(COUNTIFS(Table2[[#All],[De (Lote)]],Input_APM!F334)&gt;0,INDEX(Table2[[#All],[Para (Ticker Daniel)]],MATCH(Input_APM!F334,Table2[[#All],[De (Lote)]],0)),Input_APM!F334))</f>
        <v/>
      </c>
      <c r="M334" s="170" t="str">
        <f t="shared" si="25"/>
        <v/>
      </c>
      <c r="N334" s="171" t="str">
        <f t="shared" si="26"/>
        <v/>
      </c>
      <c r="O334" s="171" t="str">
        <f t="shared" si="27"/>
        <v/>
      </c>
    </row>
    <row r="335" spans="5:15">
      <c r="E335" s="296"/>
      <c r="K335" s="170" t="str">
        <f t="shared" si="24"/>
        <v/>
      </c>
      <c r="L335" s="170" t="str">
        <f>IF(E335="","",IF(COUNTIFS(Table2[[#All],[De (Lote)]],Input_APM!F335)&gt;0,INDEX(Table2[[#All],[Para (Ticker Daniel)]],MATCH(Input_APM!F335,Table2[[#All],[De (Lote)]],0)),Input_APM!F335))</f>
        <v/>
      </c>
      <c r="M335" s="170" t="str">
        <f t="shared" si="25"/>
        <v/>
      </c>
      <c r="N335" s="171" t="str">
        <f t="shared" si="26"/>
        <v/>
      </c>
      <c r="O335" s="171" t="str">
        <f t="shared" si="27"/>
        <v/>
      </c>
    </row>
    <row r="336" spans="5:15">
      <c r="E336" s="296"/>
      <c r="K336" s="170" t="str">
        <f t="shared" si="24"/>
        <v/>
      </c>
      <c r="L336" s="170" t="str">
        <f>IF(E336="","",IF(COUNTIFS(Table2[[#All],[De (Lote)]],Input_APM!F336)&gt;0,INDEX(Table2[[#All],[Para (Ticker Daniel)]],MATCH(Input_APM!F336,Table2[[#All],[De (Lote)]],0)),Input_APM!F336))</f>
        <v/>
      </c>
      <c r="M336" s="170" t="str">
        <f t="shared" si="25"/>
        <v/>
      </c>
      <c r="N336" s="171" t="str">
        <f t="shared" si="26"/>
        <v/>
      </c>
      <c r="O336" s="171" t="str">
        <f t="shared" si="27"/>
        <v/>
      </c>
    </row>
    <row r="337" spans="5:15">
      <c r="E337" s="296"/>
      <c r="K337" s="170" t="str">
        <f t="shared" si="24"/>
        <v/>
      </c>
      <c r="L337" s="170" t="str">
        <f>IF(E337="","",IF(COUNTIFS(Table2[[#All],[De (Lote)]],Input_APM!F337)&gt;0,INDEX(Table2[[#All],[Para (Ticker Daniel)]],MATCH(Input_APM!F337,Table2[[#All],[De (Lote)]],0)),Input_APM!F337))</f>
        <v/>
      </c>
      <c r="M337" s="170" t="str">
        <f t="shared" si="25"/>
        <v/>
      </c>
      <c r="N337" s="171" t="str">
        <f t="shared" si="26"/>
        <v/>
      </c>
      <c r="O337" s="171" t="str">
        <f t="shared" si="27"/>
        <v/>
      </c>
    </row>
    <row r="338" spans="5:15">
      <c r="E338" s="296"/>
      <c r="K338" s="170" t="str">
        <f t="shared" si="24"/>
        <v/>
      </c>
      <c r="L338" s="170" t="str">
        <f>IF(E338="","",IF(COUNTIFS(Table2[[#All],[De (Lote)]],Input_APM!F338)&gt;0,INDEX(Table2[[#All],[Para (Ticker Daniel)]],MATCH(Input_APM!F338,Table2[[#All],[De (Lote)]],0)),Input_APM!F338))</f>
        <v/>
      </c>
      <c r="M338" s="170" t="str">
        <f t="shared" si="25"/>
        <v/>
      </c>
      <c r="N338" s="171" t="str">
        <f t="shared" si="26"/>
        <v/>
      </c>
      <c r="O338" s="171" t="str">
        <f t="shared" si="27"/>
        <v/>
      </c>
    </row>
    <row r="339" spans="5:15">
      <c r="E339" s="296"/>
      <c r="K339" s="170" t="str">
        <f t="shared" si="24"/>
        <v/>
      </c>
      <c r="L339" s="170" t="str">
        <f>IF(E339="","",IF(COUNTIFS(Table2[[#All],[De (Lote)]],Input_APM!F339)&gt;0,INDEX(Table2[[#All],[Para (Ticker Daniel)]],MATCH(Input_APM!F339,Table2[[#All],[De (Lote)]],0)),Input_APM!F339))</f>
        <v/>
      </c>
      <c r="M339" s="170" t="str">
        <f t="shared" si="25"/>
        <v/>
      </c>
      <c r="N339" s="171" t="str">
        <f t="shared" si="26"/>
        <v/>
      </c>
      <c r="O339" s="171" t="str">
        <f t="shared" si="27"/>
        <v/>
      </c>
    </row>
    <row r="340" spans="5:15">
      <c r="E340" s="296"/>
      <c r="K340" s="170" t="str">
        <f t="shared" si="24"/>
        <v/>
      </c>
      <c r="L340" s="170" t="str">
        <f>IF(E340="","",IF(COUNTIFS(Table2[[#All],[De (Lote)]],Input_APM!F340)&gt;0,INDEX(Table2[[#All],[Para (Ticker Daniel)]],MATCH(Input_APM!F340,Table2[[#All],[De (Lote)]],0)),Input_APM!F340))</f>
        <v/>
      </c>
      <c r="M340" s="170" t="str">
        <f t="shared" si="25"/>
        <v/>
      </c>
      <c r="N340" s="171" t="str">
        <f t="shared" si="26"/>
        <v/>
      </c>
      <c r="O340" s="171" t="str">
        <f t="shared" si="27"/>
        <v/>
      </c>
    </row>
    <row r="341" spans="5:15">
      <c r="E341" s="296"/>
      <c r="K341" s="170" t="str">
        <f t="shared" si="24"/>
        <v/>
      </c>
      <c r="L341" s="170" t="str">
        <f>IF(E341="","",IF(COUNTIFS(Table2[[#All],[De (Lote)]],Input_APM!F341)&gt;0,INDEX(Table2[[#All],[Para (Ticker Daniel)]],MATCH(Input_APM!F341,Table2[[#All],[De (Lote)]],0)),Input_APM!F341))</f>
        <v/>
      </c>
      <c r="M341" s="170" t="str">
        <f t="shared" si="25"/>
        <v/>
      </c>
      <c r="N341" s="171" t="str">
        <f t="shared" si="26"/>
        <v/>
      </c>
      <c r="O341" s="171" t="str">
        <f t="shared" si="27"/>
        <v/>
      </c>
    </row>
    <row r="342" spans="5:15">
      <c r="E342" s="296"/>
      <c r="K342" s="170" t="str">
        <f t="shared" si="24"/>
        <v/>
      </c>
      <c r="L342" s="170" t="str">
        <f>IF(E342="","",IF(COUNTIFS(Table2[[#All],[De (Lote)]],Input_APM!F342)&gt;0,INDEX(Table2[[#All],[Para (Ticker Daniel)]],MATCH(Input_APM!F342,Table2[[#All],[De (Lote)]],0)),Input_APM!F342))</f>
        <v/>
      </c>
      <c r="M342" s="170" t="str">
        <f t="shared" si="25"/>
        <v/>
      </c>
      <c r="N342" s="171" t="str">
        <f t="shared" si="26"/>
        <v/>
      </c>
      <c r="O342" s="171" t="str">
        <f t="shared" si="27"/>
        <v/>
      </c>
    </row>
    <row r="343" spans="5:15">
      <c r="E343" s="296"/>
      <c r="K343" s="170" t="str">
        <f t="shared" si="24"/>
        <v/>
      </c>
      <c r="L343" s="170" t="str">
        <f>IF(E343="","",IF(COUNTIFS(Table2[[#All],[De (Lote)]],Input_APM!F343)&gt;0,INDEX(Table2[[#All],[Para (Ticker Daniel)]],MATCH(Input_APM!F343,Table2[[#All],[De (Lote)]],0)),Input_APM!F343))</f>
        <v/>
      </c>
      <c r="M343" s="170" t="str">
        <f t="shared" si="25"/>
        <v/>
      </c>
      <c r="N343" s="171" t="str">
        <f t="shared" si="26"/>
        <v/>
      </c>
      <c r="O343" s="171" t="str">
        <f t="shared" si="27"/>
        <v/>
      </c>
    </row>
    <row r="344" spans="5:15">
      <c r="E344" s="296"/>
      <c r="K344" s="170" t="str">
        <f t="shared" si="24"/>
        <v/>
      </c>
      <c r="L344" s="170" t="str">
        <f>IF(E344="","",IF(COUNTIFS(Table2[[#All],[De (Lote)]],Input_APM!F344)&gt;0,INDEX(Table2[[#All],[Para (Ticker Daniel)]],MATCH(Input_APM!F344,Table2[[#All],[De (Lote)]],0)),Input_APM!F344))</f>
        <v/>
      </c>
      <c r="M344" s="170" t="str">
        <f t="shared" si="25"/>
        <v/>
      </c>
      <c r="N344" s="171" t="str">
        <f t="shared" si="26"/>
        <v/>
      </c>
      <c r="O344" s="171" t="str">
        <f t="shared" si="27"/>
        <v/>
      </c>
    </row>
    <row r="345" spans="5:15">
      <c r="E345" s="296"/>
      <c r="K345" s="170" t="str">
        <f t="shared" si="24"/>
        <v/>
      </c>
      <c r="L345" s="170" t="str">
        <f>IF(E345="","",IF(COUNTIFS(Table2[[#All],[De (Lote)]],Input_APM!F345)&gt;0,INDEX(Table2[[#All],[Para (Ticker Daniel)]],MATCH(Input_APM!F345,Table2[[#All],[De (Lote)]],0)),Input_APM!F345))</f>
        <v/>
      </c>
      <c r="M345" s="170" t="str">
        <f t="shared" si="25"/>
        <v/>
      </c>
      <c r="N345" s="171" t="str">
        <f t="shared" si="26"/>
        <v/>
      </c>
      <c r="O345" s="171" t="str">
        <f t="shared" si="27"/>
        <v/>
      </c>
    </row>
    <row r="346" spans="5:15">
      <c r="E346" s="296"/>
      <c r="K346" s="170" t="str">
        <f t="shared" si="24"/>
        <v/>
      </c>
      <c r="L346" s="170" t="str">
        <f>IF(E346="","",IF(COUNTIFS(Table2[[#All],[De (Lote)]],Input_APM!F346)&gt;0,INDEX(Table2[[#All],[Para (Ticker Daniel)]],MATCH(Input_APM!F346,Table2[[#All],[De (Lote)]],0)),Input_APM!F346))</f>
        <v/>
      </c>
      <c r="M346" s="170" t="str">
        <f t="shared" si="25"/>
        <v/>
      </c>
      <c r="N346" s="171" t="str">
        <f t="shared" si="26"/>
        <v/>
      </c>
      <c r="O346" s="171" t="str">
        <f t="shared" si="27"/>
        <v/>
      </c>
    </row>
    <row r="347" spans="5:15">
      <c r="E347" s="296"/>
      <c r="K347" s="170" t="str">
        <f t="shared" si="24"/>
        <v/>
      </c>
      <c r="L347" s="170" t="str">
        <f>IF(E347="","",IF(COUNTIFS(Table2[[#All],[De (Lote)]],Input_APM!F347)&gt;0,INDEX(Table2[[#All],[Para (Ticker Daniel)]],MATCH(Input_APM!F347,Table2[[#All],[De (Lote)]],0)),Input_APM!F347))</f>
        <v/>
      </c>
      <c r="M347" s="170" t="str">
        <f t="shared" si="25"/>
        <v/>
      </c>
      <c r="N347" s="171" t="str">
        <f t="shared" si="26"/>
        <v/>
      </c>
      <c r="O347" s="171" t="str">
        <f t="shared" si="27"/>
        <v/>
      </c>
    </row>
    <row r="348" spans="5:15">
      <c r="E348" s="296"/>
      <c r="K348" s="170" t="str">
        <f t="shared" si="24"/>
        <v/>
      </c>
      <c r="L348" s="170" t="str">
        <f>IF(E348="","",IF(COUNTIFS(Table2[[#All],[De (Lote)]],Input_APM!F348)&gt;0,INDEX(Table2[[#All],[Para (Ticker Daniel)]],MATCH(Input_APM!F348,Table2[[#All],[De (Lote)]],0)),Input_APM!F348))</f>
        <v/>
      </c>
      <c r="M348" s="170" t="str">
        <f t="shared" si="25"/>
        <v/>
      </c>
      <c r="N348" s="171" t="str">
        <f t="shared" si="26"/>
        <v/>
      </c>
      <c r="O348" s="171" t="str">
        <f t="shared" si="27"/>
        <v/>
      </c>
    </row>
    <row r="349" spans="5:15">
      <c r="E349" s="296"/>
      <c r="K349" s="170" t="str">
        <f t="shared" si="24"/>
        <v/>
      </c>
      <c r="L349" s="170" t="str">
        <f>IF(E349="","",IF(COUNTIFS(Table2[[#All],[De (Lote)]],Input_APM!F349)&gt;0,INDEX(Table2[[#All],[Para (Ticker Daniel)]],MATCH(Input_APM!F349,Table2[[#All],[De (Lote)]],0)),Input_APM!F349))</f>
        <v/>
      </c>
      <c r="M349" s="170" t="str">
        <f t="shared" si="25"/>
        <v/>
      </c>
      <c r="N349" s="171" t="str">
        <f t="shared" si="26"/>
        <v/>
      </c>
      <c r="O349" s="171" t="str">
        <f t="shared" si="27"/>
        <v/>
      </c>
    </row>
    <row r="350" spans="5:15">
      <c r="E350" s="296"/>
      <c r="K350" s="170" t="str">
        <f t="shared" si="24"/>
        <v/>
      </c>
      <c r="L350" s="170" t="str">
        <f>IF(E350="","",IF(COUNTIFS(Table2[[#All],[De (Lote)]],Input_APM!F350)&gt;0,INDEX(Table2[[#All],[Para (Ticker Daniel)]],MATCH(Input_APM!F350,Table2[[#All],[De (Lote)]],0)),Input_APM!F350))</f>
        <v/>
      </c>
      <c r="M350" s="170" t="str">
        <f t="shared" si="25"/>
        <v/>
      </c>
      <c r="N350" s="171" t="str">
        <f t="shared" si="26"/>
        <v/>
      </c>
      <c r="O350" s="171" t="str">
        <f t="shared" si="27"/>
        <v/>
      </c>
    </row>
    <row r="351" spans="5:15">
      <c r="E351" s="296"/>
      <c r="K351" s="170" t="str">
        <f t="shared" si="24"/>
        <v/>
      </c>
      <c r="L351" s="170" t="str">
        <f>IF(E351="","",IF(COUNTIFS(Table2[[#All],[De (Lote)]],Input_APM!F351)&gt;0,INDEX(Table2[[#All],[Para (Ticker Daniel)]],MATCH(Input_APM!F351,Table2[[#All],[De (Lote)]],0)),Input_APM!F351))</f>
        <v/>
      </c>
      <c r="M351" s="170" t="str">
        <f t="shared" si="25"/>
        <v/>
      </c>
      <c r="N351" s="171" t="str">
        <f t="shared" si="26"/>
        <v/>
      </c>
      <c r="O351" s="171" t="str">
        <f t="shared" si="27"/>
        <v/>
      </c>
    </row>
    <row r="352" spans="5:15">
      <c r="E352" s="296"/>
      <c r="K352" s="170" t="str">
        <f t="shared" si="24"/>
        <v/>
      </c>
      <c r="L352" s="170" t="str">
        <f>IF(E352="","",IF(COUNTIFS(Table2[[#All],[De (Lote)]],Input_APM!F352)&gt;0,INDEX(Table2[[#All],[Para (Ticker Daniel)]],MATCH(Input_APM!F352,Table2[[#All],[De (Lote)]],0)),Input_APM!F352))</f>
        <v/>
      </c>
      <c r="M352" s="170" t="str">
        <f t="shared" si="25"/>
        <v/>
      </c>
      <c r="N352" s="171" t="str">
        <f t="shared" si="26"/>
        <v/>
      </c>
      <c r="O352" s="171" t="str">
        <f t="shared" si="27"/>
        <v/>
      </c>
    </row>
    <row r="353" spans="5:15">
      <c r="E353" s="296"/>
      <c r="K353" s="170" t="str">
        <f t="shared" si="24"/>
        <v/>
      </c>
      <c r="L353" s="170" t="str">
        <f>IF(E353="","",IF(COUNTIFS(Table2[[#All],[De (Lote)]],Input_APM!F353)&gt;0,INDEX(Table2[[#All],[Para (Ticker Daniel)]],MATCH(Input_APM!F353,Table2[[#All],[De (Lote)]],0)),Input_APM!F353))</f>
        <v/>
      </c>
      <c r="M353" s="170" t="str">
        <f t="shared" si="25"/>
        <v/>
      </c>
      <c r="N353" s="171" t="str">
        <f t="shared" si="26"/>
        <v/>
      </c>
      <c r="O353" s="171" t="str">
        <f t="shared" si="27"/>
        <v/>
      </c>
    </row>
    <row r="354" spans="5:15">
      <c r="E354" s="296"/>
      <c r="K354" s="170" t="str">
        <f t="shared" si="24"/>
        <v/>
      </c>
      <c r="L354" s="170" t="str">
        <f>IF(E354="","",IF(COUNTIFS(Table2[[#All],[De (Lote)]],Input_APM!F354)&gt;0,INDEX(Table2[[#All],[Para (Ticker Daniel)]],MATCH(Input_APM!F354,Table2[[#All],[De (Lote)]],0)),Input_APM!F354))</f>
        <v/>
      </c>
      <c r="M354" s="170" t="str">
        <f t="shared" si="25"/>
        <v/>
      </c>
      <c r="N354" s="171" t="str">
        <f t="shared" si="26"/>
        <v/>
      </c>
      <c r="O354" s="171" t="str">
        <f t="shared" si="27"/>
        <v/>
      </c>
    </row>
    <row r="355" spans="5:15">
      <c r="E355" s="296"/>
      <c r="K355" s="170" t="str">
        <f t="shared" si="24"/>
        <v/>
      </c>
      <c r="L355" s="170" t="str">
        <f>IF(E355="","",IF(COUNTIFS(Table2[[#All],[De (Lote)]],Input_APM!F355)&gt;0,INDEX(Table2[[#All],[Para (Ticker Daniel)]],MATCH(Input_APM!F355,Table2[[#All],[De (Lote)]],0)),Input_APM!F355))</f>
        <v/>
      </c>
      <c r="M355" s="170" t="str">
        <f t="shared" si="25"/>
        <v/>
      </c>
      <c r="N355" s="171" t="str">
        <f t="shared" si="26"/>
        <v/>
      </c>
      <c r="O355" s="171" t="str">
        <f t="shared" si="27"/>
        <v/>
      </c>
    </row>
    <row r="356" spans="5:15">
      <c r="E356" s="296"/>
      <c r="K356" s="170" t="str">
        <f t="shared" ref="K356:K396" si="28">IF(E356="","",E356)</f>
        <v/>
      </c>
      <c r="L356" s="170" t="str">
        <f>IF(E356="","",IF(COUNTIFS(Table2[[#All],[De (Lote)]],Input_APM!F356)&gt;0,INDEX(Table2[[#All],[Para (Ticker Daniel)]],MATCH(Input_APM!F356,Table2[[#All],[De (Lote)]],0)),Input_APM!F356))</f>
        <v/>
      </c>
      <c r="M356" s="170" t="str">
        <f t="shared" ref="M356:M396" si="29">IF(E356="","",G356)</f>
        <v/>
      </c>
      <c r="N356" s="171" t="str">
        <f t="shared" ref="N356:N396" si="30">IF(E356="","",H356)</f>
        <v/>
      </c>
      <c r="O356" s="171" t="str">
        <f t="shared" ref="O356:O396" si="31">IF(E356="","",I356)</f>
        <v/>
      </c>
    </row>
    <row r="357" spans="5:15">
      <c r="E357" s="296"/>
      <c r="K357" s="170" t="str">
        <f t="shared" si="28"/>
        <v/>
      </c>
      <c r="L357" s="170" t="str">
        <f>IF(E357="","",IF(COUNTIFS(Table2[[#All],[De (Lote)]],Input_APM!F357)&gt;0,INDEX(Table2[[#All],[Para (Ticker Daniel)]],MATCH(Input_APM!F357,Table2[[#All],[De (Lote)]],0)),Input_APM!F357))</f>
        <v/>
      </c>
      <c r="M357" s="170" t="str">
        <f t="shared" si="29"/>
        <v/>
      </c>
      <c r="N357" s="171" t="str">
        <f t="shared" si="30"/>
        <v/>
      </c>
      <c r="O357" s="171" t="str">
        <f t="shared" si="31"/>
        <v/>
      </c>
    </row>
    <row r="358" spans="5:15">
      <c r="E358" s="296"/>
      <c r="K358" s="170" t="str">
        <f t="shared" si="28"/>
        <v/>
      </c>
      <c r="L358" s="170" t="str">
        <f>IF(E358="","",IF(COUNTIFS(Table2[[#All],[De (Lote)]],Input_APM!F358)&gt;0,INDEX(Table2[[#All],[Para (Ticker Daniel)]],MATCH(Input_APM!F358,Table2[[#All],[De (Lote)]],0)),Input_APM!F358))</f>
        <v/>
      </c>
      <c r="M358" s="170" t="str">
        <f t="shared" si="29"/>
        <v/>
      </c>
      <c r="N358" s="171" t="str">
        <f t="shared" si="30"/>
        <v/>
      </c>
      <c r="O358" s="171" t="str">
        <f t="shared" si="31"/>
        <v/>
      </c>
    </row>
    <row r="359" spans="5:15">
      <c r="E359" s="296"/>
      <c r="K359" s="170" t="str">
        <f t="shared" si="28"/>
        <v/>
      </c>
      <c r="L359" s="170" t="str">
        <f>IF(E359="","",IF(COUNTIFS(Table2[[#All],[De (Lote)]],Input_APM!F359)&gt;0,INDEX(Table2[[#All],[Para (Ticker Daniel)]],MATCH(Input_APM!F359,Table2[[#All],[De (Lote)]],0)),Input_APM!F359))</f>
        <v/>
      </c>
      <c r="M359" s="170" t="str">
        <f t="shared" si="29"/>
        <v/>
      </c>
      <c r="N359" s="171" t="str">
        <f t="shared" si="30"/>
        <v/>
      </c>
      <c r="O359" s="171" t="str">
        <f t="shared" si="31"/>
        <v/>
      </c>
    </row>
    <row r="360" spans="5:15">
      <c r="E360" s="296"/>
      <c r="K360" s="170" t="str">
        <f t="shared" si="28"/>
        <v/>
      </c>
      <c r="L360" s="170" t="str">
        <f>IF(E360="","",IF(COUNTIFS(Table2[[#All],[De (Lote)]],Input_APM!F360)&gt;0,INDEX(Table2[[#All],[Para (Ticker Daniel)]],MATCH(Input_APM!F360,Table2[[#All],[De (Lote)]],0)),Input_APM!F360))</f>
        <v/>
      </c>
      <c r="M360" s="170" t="str">
        <f t="shared" si="29"/>
        <v/>
      </c>
      <c r="N360" s="171" t="str">
        <f t="shared" si="30"/>
        <v/>
      </c>
      <c r="O360" s="171" t="str">
        <f t="shared" si="31"/>
        <v/>
      </c>
    </row>
    <row r="361" spans="5:15">
      <c r="E361" s="296"/>
      <c r="K361" s="170" t="str">
        <f t="shared" si="28"/>
        <v/>
      </c>
      <c r="L361" s="170" t="str">
        <f>IF(E361="","",IF(COUNTIFS(Table2[[#All],[De (Lote)]],Input_APM!F361)&gt;0,INDEX(Table2[[#All],[Para (Ticker Daniel)]],MATCH(Input_APM!F361,Table2[[#All],[De (Lote)]],0)),Input_APM!F361))</f>
        <v/>
      </c>
      <c r="M361" s="170" t="str">
        <f t="shared" si="29"/>
        <v/>
      </c>
      <c r="N361" s="171" t="str">
        <f t="shared" si="30"/>
        <v/>
      </c>
      <c r="O361" s="171" t="str">
        <f t="shared" si="31"/>
        <v/>
      </c>
    </row>
    <row r="362" spans="5:15">
      <c r="E362" s="296"/>
      <c r="K362" s="170" t="str">
        <f t="shared" si="28"/>
        <v/>
      </c>
      <c r="L362" s="170" t="str">
        <f>IF(E362="","",IF(COUNTIFS(Table2[[#All],[De (Lote)]],Input_APM!F362)&gt;0,INDEX(Table2[[#All],[Para (Ticker Daniel)]],MATCH(Input_APM!F362,Table2[[#All],[De (Lote)]],0)),Input_APM!F362))</f>
        <v/>
      </c>
      <c r="M362" s="170" t="str">
        <f t="shared" si="29"/>
        <v/>
      </c>
      <c r="N362" s="171" t="str">
        <f t="shared" si="30"/>
        <v/>
      </c>
      <c r="O362" s="171" t="str">
        <f t="shared" si="31"/>
        <v/>
      </c>
    </row>
    <row r="363" spans="5:15">
      <c r="E363" s="296"/>
      <c r="K363" s="170" t="str">
        <f t="shared" si="28"/>
        <v/>
      </c>
      <c r="L363" s="170" t="str">
        <f>IF(E363="","",IF(COUNTIFS(Table2[[#All],[De (Lote)]],Input_APM!F363)&gt;0,INDEX(Table2[[#All],[Para (Ticker Daniel)]],MATCH(Input_APM!F363,Table2[[#All],[De (Lote)]],0)),Input_APM!F363))</f>
        <v/>
      </c>
      <c r="M363" s="170" t="str">
        <f t="shared" si="29"/>
        <v/>
      </c>
      <c r="N363" s="171" t="str">
        <f t="shared" si="30"/>
        <v/>
      </c>
      <c r="O363" s="171" t="str">
        <f t="shared" si="31"/>
        <v/>
      </c>
    </row>
    <row r="364" spans="5:15">
      <c r="E364" s="296"/>
      <c r="K364" s="170" t="str">
        <f t="shared" si="28"/>
        <v/>
      </c>
      <c r="L364" s="170" t="str">
        <f>IF(E364="","",IF(COUNTIFS(Table2[[#All],[De (Lote)]],Input_APM!F364)&gt;0,INDEX(Table2[[#All],[Para (Ticker Daniel)]],MATCH(Input_APM!F364,Table2[[#All],[De (Lote)]],0)),Input_APM!F364))</f>
        <v/>
      </c>
      <c r="M364" s="170" t="str">
        <f t="shared" si="29"/>
        <v/>
      </c>
      <c r="N364" s="171" t="str">
        <f t="shared" si="30"/>
        <v/>
      </c>
      <c r="O364" s="171" t="str">
        <f t="shared" si="31"/>
        <v/>
      </c>
    </row>
    <row r="365" spans="5:15">
      <c r="E365" s="296"/>
      <c r="K365" s="170" t="str">
        <f t="shared" si="28"/>
        <v/>
      </c>
      <c r="L365" s="170" t="str">
        <f>IF(E365="","",IF(COUNTIFS(Table2[[#All],[De (Lote)]],Input_APM!F365)&gt;0,INDEX(Table2[[#All],[Para (Ticker Daniel)]],MATCH(Input_APM!F365,Table2[[#All],[De (Lote)]],0)),Input_APM!F365))</f>
        <v/>
      </c>
      <c r="M365" s="170" t="str">
        <f t="shared" si="29"/>
        <v/>
      </c>
      <c r="N365" s="171" t="str">
        <f t="shared" si="30"/>
        <v/>
      </c>
      <c r="O365" s="171" t="str">
        <f t="shared" si="31"/>
        <v/>
      </c>
    </row>
    <row r="366" spans="5:15">
      <c r="E366" s="296"/>
      <c r="K366" s="170" t="str">
        <f t="shared" si="28"/>
        <v/>
      </c>
      <c r="L366" s="170" t="str">
        <f>IF(E366="","",IF(COUNTIFS(Table2[[#All],[De (Lote)]],Input_APM!F366)&gt;0,INDEX(Table2[[#All],[Para (Ticker Daniel)]],MATCH(Input_APM!F366,Table2[[#All],[De (Lote)]],0)),Input_APM!F366))</f>
        <v/>
      </c>
      <c r="M366" s="170" t="str">
        <f t="shared" si="29"/>
        <v/>
      </c>
      <c r="N366" s="171" t="str">
        <f t="shared" si="30"/>
        <v/>
      </c>
      <c r="O366" s="171" t="str">
        <f t="shared" si="31"/>
        <v/>
      </c>
    </row>
    <row r="367" spans="5:15">
      <c r="E367" s="296"/>
      <c r="K367" s="170" t="str">
        <f t="shared" si="28"/>
        <v/>
      </c>
      <c r="L367" s="170" t="str">
        <f>IF(E367="","",IF(COUNTIFS(Table2[[#All],[De (Lote)]],Input_APM!F367)&gt;0,INDEX(Table2[[#All],[Para (Ticker Daniel)]],MATCH(Input_APM!F367,Table2[[#All],[De (Lote)]],0)),Input_APM!F367))</f>
        <v/>
      </c>
      <c r="M367" s="170" t="str">
        <f t="shared" si="29"/>
        <v/>
      </c>
      <c r="N367" s="171" t="str">
        <f t="shared" si="30"/>
        <v/>
      </c>
      <c r="O367" s="171" t="str">
        <f t="shared" si="31"/>
        <v/>
      </c>
    </row>
    <row r="368" spans="5:15">
      <c r="E368" s="296"/>
      <c r="K368" s="170" t="str">
        <f t="shared" si="28"/>
        <v/>
      </c>
      <c r="L368" s="170" t="str">
        <f>IF(E368="","",IF(COUNTIFS(Table2[[#All],[De (Lote)]],Input_APM!F368)&gt;0,INDEX(Table2[[#All],[Para (Ticker Daniel)]],MATCH(Input_APM!F368,Table2[[#All],[De (Lote)]],0)),Input_APM!F368))</f>
        <v/>
      </c>
      <c r="M368" s="170" t="str">
        <f t="shared" si="29"/>
        <v/>
      </c>
      <c r="N368" s="171" t="str">
        <f t="shared" si="30"/>
        <v/>
      </c>
      <c r="O368" s="171" t="str">
        <f t="shared" si="31"/>
        <v/>
      </c>
    </row>
    <row r="369" spans="5:15">
      <c r="E369" s="296"/>
      <c r="K369" s="170" t="str">
        <f t="shared" si="28"/>
        <v/>
      </c>
      <c r="L369" s="170" t="str">
        <f>IF(E369="","",IF(COUNTIFS(Table2[[#All],[De (Lote)]],Input_APM!F369)&gt;0,INDEX(Table2[[#All],[Para (Ticker Daniel)]],MATCH(Input_APM!F369,Table2[[#All],[De (Lote)]],0)),Input_APM!F369))</f>
        <v/>
      </c>
      <c r="M369" s="170" t="str">
        <f t="shared" si="29"/>
        <v/>
      </c>
      <c r="N369" s="171" t="str">
        <f t="shared" si="30"/>
        <v/>
      </c>
      <c r="O369" s="171" t="str">
        <f t="shared" si="31"/>
        <v/>
      </c>
    </row>
    <row r="370" spans="5:15">
      <c r="E370" s="296"/>
      <c r="K370" s="170" t="str">
        <f t="shared" si="28"/>
        <v/>
      </c>
      <c r="L370" s="170" t="str">
        <f>IF(E370="","",IF(COUNTIFS(Table2[[#All],[De (Lote)]],Input_APM!F370)&gt;0,INDEX(Table2[[#All],[Para (Ticker Daniel)]],MATCH(Input_APM!F370,Table2[[#All],[De (Lote)]],0)),Input_APM!F370))</f>
        <v/>
      </c>
      <c r="M370" s="170" t="str">
        <f t="shared" si="29"/>
        <v/>
      </c>
      <c r="N370" s="171" t="str">
        <f t="shared" si="30"/>
        <v/>
      </c>
      <c r="O370" s="171" t="str">
        <f t="shared" si="31"/>
        <v/>
      </c>
    </row>
    <row r="371" spans="5:15">
      <c r="E371" s="296"/>
      <c r="K371" s="170" t="str">
        <f t="shared" si="28"/>
        <v/>
      </c>
      <c r="L371" s="170" t="str">
        <f>IF(E371="","",IF(COUNTIFS(Table2[[#All],[De (Lote)]],Input_APM!F371)&gt;0,INDEX(Table2[[#All],[Para (Ticker Daniel)]],MATCH(Input_APM!F371,Table2[[#All],[De (Lote)]],0)),Input_APM!F371))</f>
        <v/>
      </c>
      <c r="M371" s="170" t="str">
        <f t="shared" si="29"/>
        <v/>
      </c>
      <c r="N371" s="171" t="str">
        <f t="shared" si="30"/>
        <v/>
      </c>
      <c r="O371" s="171" t="str">
        <f t="shared" si="31"/>
        <v/>
      </c>
    </row>
    <row r="372" spans="5:15">
      <c r="E372" s="296"/>
      <c r="K372" s="170" t="str">
        <f t="shared" si="28"/>
        <v/>
      </c>
      <c r="L372" s="170" t="str">
        <f>IF(E372="","",IF(COUNTIFS(Table2[[#All],[De (Lote)]],Input_APM!F372)&gt;0,INDEX(Table2[[#All],[Para (Ticker Daniel)]],MATCH(Input_APM!F372,Table2[[#All],[De (Lote)]],0)),Input_APM!F372))</f>
        <v/>
      </c>
      <c r="M372" s="170" t="str">
        <f t="shared" si="29"/>
        <v/>
      </c>
      <c r="N372" s="171" t="str">
        <f t="shared" si="30"/>
        <v/>
      </c>
      <c r="O372" s="171" t="str">
        <f t="shared" si="31"/>
        <v/>
      </c>
    </row>
    <row r="373" spans="5:15">
      <c r="E373" s="296"/>
      <c r="K373" s="170" t="str">
        <f t="shared" si="28"/>
        <v/>
      </c>
      <c r="L373" s="170" t="str">
        <f>IF(E373="","",IF(COUNTIFS(Table2[[#All],[De (Lote)]],Input_APM!F373)&gt;0,INDEX(Table2[[#All],[Para (Ticker Daniel)]],MATCH(Input_APM!F373,Table2[[#All],[De (Lote)]],0)),Input_APM!F373))</f>
        <v/>
      </c>
      <c r="M373" s="170" t="str">
        <f t="shared" si="29"/>
        <v/>
      </c>
      <c r="N373" s="171" t="str">
        <f t="shared" si="30"/>
        <v/>
      </c>
      <c r="O373" s="171" t="str">
        <f t="shared" si="31"/>
        <v/>
      </c>
    </row>
    <row r="374" spans="5:15">
      <c r="E374" s="296"/>
      <c r="K374" s="170" t="str">
        <f t="shared" si="28"/>
        <v/>
      </c>
      <c r="L374" s="170" t="str">
        <f>IF(E374="","",IF(COUNTIFS(Table2[[#All],[De (Lote)]],Input_APM!F374)&gt;0,INDEX(Table2[[#All],[Para (Ticker Daniel)]],MATCH(Input_APM!F374,Table2[[#All],[De (Lote)]],0)),Input_APM!F374))</f>
        <v/>
      </c>
      <c r="M374" s="170" t="str">
        <f t="shared" si="29"/>
        <v/>
      </c>
      <c r="N374" s="171" t="str">
        <f t="shared" si="30"/>
        <v/>
      </c>
      <c r="O374" s="171" t="str">
        <f t="shared" si="31"/>
        <v/>
      </c>
    </row>
    <row r="375" spans="5:15">
      <c r="E375" s="296"/>
      <c r="K375" s="170" t="str">
        <f t="shared" si="28"/>
        <v/>
      </c>
      <c r="L375" s="170" t="str">
        <f>IF(E375="","",IF(COUNTIFS(Table2[[#All],[De (Lote)]],Input_APM!F375)&gt;0,INDEX(Table2[[#All],[Para (Ticker Daniel)]],MATCH(Input_APM!F375,Table2[[#All],[De (Lote)]],0)),Input_APM!F375))</f>
        <v/>
      </c>
      <c r="M375" s="170" t="str">
        <f t="shared" si="29"/>
        <v/>
      </c>
      <c r="N375" s="171" t="str">
        <f t="shared" si="30"/>
        <v/>
      </c>
      <c r="O375" s="171" t="str">
        <f t="shared" si="31"/>
        <v/>
      </c>
    </row>
    <row r="376" spans="5:15">
      <c r="E376" s="296"/>
      <c r="K376" s="170" t="str">
        <f t="shared" si="28"/>
        <v/>
      </c>
      <c r="L376" s="170" t="str">
        <f>IF(E376="","",IF(COUNTIFS(Table2[[#All],[De (Lote)]],Input_APM!F376)&gt;0,INDEX(Table2[[#All],[Para (Ticker Daniel)]],MATCH(Input_APM!F376,Table2[[#All],[De (Lote)]],0)),Input_APM!F376))</f>
        <v/>
      </c>
      <c r="M376" s="170" t="str">
        <f t="shared" si="29"/>
        <v/>
      </c>
      <c r="N376" s="171" t="str">
        <f t="shared" si="30"/>
        <v/>
      </c>
      <c r="O376" s="171" t="str">
        <f t="shared" si="31"/>
        <v/>
      </c>
    </row>
    <row r="377" spans="5:15">
      <c r="E377" s="296"/>
      <c r="K377" s="170" t="str">
        <f t="shared" si="28"/>
        <v/>
      </c>
      <c r="L377" s="170" t="str">
        <f>IF(E377="","",IF(COUNTIFS(Table2[[#All],[De (Lote)]],Input_APM!F377)&gt;0,INDEX(Table2[[#All],[Para (Ticker Daniel)]],MATCH(Input_APM!F377,Table2[[#All],[De (Lote)]],0)),Input_APM!F377))</f>
        <v/>
      </c>
      <c r="M377" s="170" t="str">
        <f t="shared" si="29"/>
        <v/>
      </c>
      <c r="N377" s="171" t="str">
        <f t="shared" si="30"/>
        <v/>
      </c>
      <c r="O377" s="171" t="str">
        <f t="shared" si="31"/>
        <v/>
      </c>
    </row>
    <row r="378" spans="5:15">
      <c r="E378" s="296"/>
      <c r="K378" s="170" t="str">
        <f t="shared" si="28"/>
        <v/>
      </c>
      <c r="L378" s="170" t="str">
        <f>IF(E378="","",IF(COUNTIFS(Table2[[#All],[De (Lote)]],Input_APM!F378)&gt;0,INDEX(Table2[[#All],[Para (Ticker Daniel)]],MATCH(Input_APM!F378,Table2[[#All],[De (Lote)]],0)),Input_APM!F378))</f>
        <v/>
      </c>
      <c r="M378" s="170" t="str">
        <f t="shared" si="29"/>
        <v/>
      </c>
      <c r="N378" s="171" t="str">
        <f t="shared" si="30"/>
        <v/>
      </c>
      <c r="O378" s="171" t="str">
        <f t="shared" si="31"/>
        <v/>
      </c>
    </row>
    <row r="379" spans="5:15">
      <c r="E379" s="296"/>
      <c r="K379" s="170" t="str">
        <f t="shared" si="28"/>
        <v/>
      </c>
      <c r="L379" s="170" t="str">
        <f>IF(E379="","",IF(COUNTIFS(Table2[[#All],[De (Lote)]],Input_APM!F379)&gt;0,INDEX(Table2[[#All],[Para (Ticker Daniel)]],MATCH(Input_APM!F379,Table2[[#All],[De (Lote)]],0)),Input_APM!F379))</f>
        <v/>
      </c>
      <c r="M379" s="170" t="str">
        <f t="shared" si="29"/>
        <v/>
      </c>
      <c r="N379" s="171" t="str">
        <f t="shared" si="30"/>
        <v/>
      </c>
      <c r="O379" s="171" t="str">
        <f t="shared" si="31"/>
        <v/>
      </c>
    </row>
    <row r="380" spans="5:15">
      <c r="E380" s="296"/>
      <c r="K380" s="170" t="str">
        <f t="shared" si="28"/>
        <v/>
      </c>
      <c r="L380" s="170" t="str">
        <f>IF(E380="","",IF(COUNTIFS(Table2[[#All],[De (Lote)]],Input_APM!F380)&gt;0,INDEX(Table2[[#All],[Para (Ticker Daniel)]],MATCH(Input_APM!F380,Table2[[#All],[De (Lote)]],0)),Input_APM!F380))</f>
        <v/>
      </c>
      <c r="M380" s="170" t="str">
        <f t="shared" si="29"/>
        <v/>
      </c>
      <c r="N380" s="171" t="str">
        <f t="shared" si="30"/>
        <v/>
      </c>
      <c r="O380" s="171" t="str">
        <f t="shared" si="31"/>
        <v/>
      </c>
    </row>
    <row r="381" spans="5:15">
      <c r="E381" s="296"/>
      <c r="K381" s="170" t="str">
        <f t="shared" si="28"/>
        <v/>
      </c>
      <c r="L381" s="170" t="str">
        <f>IF(E381="","",IF(COUNTIFS(Table2[[#All],[De (Lote)]],Input_APM!F381)&gt;0,INDEX(Table2[[#All],[Para (Ticker Daniel)]],MATCH(Input_APM!F381,Table2[[#All],[De (Lote)]],0)),Input_APM!F381))</f>
        <v/>
      </c>
      <c r="M381" s="170" t="str">
        <f t="shared" si="29"/>
        <v/>
      </c>
      <c r="N381" s="171" t="str">
        <f t="shared" si="30"/>
        <v/>
      </c>
      <c r="O381" s="171" t="str">
        <f t="shared" si="31"/>
        <v/>
      </c>
    </row>
    <row r="382" spans="5:15">
      <c r="E382" s="296"/>
      <c r="K382" s="170" t="str">
        <f t="shared" si="28"/>
        <v/>
      </c>
      <c r="L382" s="170" t="str">
        <f>IF(E382="","",IF(COUNTIFS(Table2[[#All],[De (Lote)]],Input_APM!F382)&gt;0,INDEX(Table2[[#All],[Para (Ticker Daniel)]],MATCH(Input_APM!F382,Table2[[#All],[De (Lote)]],0)),Input_APM!F382))</f>
        <v/>
      </c>
      <c r="M382" s="170" t="str">
        <f t="shared" si="29"/>
        <v/>
      </c>
      <c r="N382" s="171" t="str">
        <f t="shared" si="30"/>
        <v/>
      </c>
      <c r="O382" s="171" t="str">
        <f t="shared" si="31"/>
        <v/>
      </c>
    </row>
    <row r="383" spans="5:15">
      <c r="E383" s="296"/>
      <c r="K383" s="170" t="str">
        <f t="shared" si="28"/>
        <v/>
      </c>
      <c r="L383" s="170" t="str">
        <f>IF(E383="","",IF(COUNTIFS(Table2[[#All],[De (Lote)]],Input_APM!F383)&gt;0,INDEX(Table2[[#All],[Para (Ticker Daniel)]],MATCH(Input_APM!F383,Table2[[#All],[De (Lote)]],0)),Input_APM!F383))</f>
        <v/>
      </c>
      <c r="M383" s="170" t="str">
        <f t="shared" si="29"/>
        <v/>
      </c>
      <c r="N383" s="171" t="str">
        <f t="shared" si="30"/>
        <v/>
      </c>
      <c r="O383" s="171" t="str">
        <f t="shared" si="31"/>
        <v/>
      </c>
    </row>
    <row r="384" spans="5:15">
      <c r="E384" s="296"/>
      <c r="K384" s="170" t="str">
        <f t="shared" si="28"/>
        <v/>
      </c>
      <c r="L384" s="170" t="str">
        <f>IF(E384="","",IF(COUNTIFS(Table2[[#All],[De (Lote)]],Input_APM!F384)&gt;0,INDEX(Table2[[#All],[Para (Ticker Daniel)]],MATCH(Input_APM!F384,Table2[[#All],[De (Lote)]],0)),Input_APM!F384))</f>
        <v/>
      </c>
      <c r="M384" s="170" t="str">
        <f t="shared" si="29"/>
        <v/>
      </c>
      <c r="N384" s="171" t="str">
        <f t="shared" si="30"/>
        <v/>
      </c>
      <c r="O384" s="171" t="str">
        <f t="shared" si="31"/>
        <v/>
      </c>
    </row>
    <row r="385" spans="5:15">
      <c r="E385" s="296"/>
      <c r="K385" s="170" t="str">
        <f t="shared" si="28"/>
        <v/>
      </c>
      <c r="L385" s="170" t="str">
        <f>IF(E385="","",IF(COUNTIFS(Table2[[#All],[De (Lote)]],Input_APM!F385)&gt;0,INDEX(Table2[[#All],[Para (Ticker Daniel)]],MATCH(Input_APM!F385,Table2[[#All],[De (Lote)]],0)),Input_APM!F385))</f>
        <v/>
      </c>
      <c r="M385" s="170" t="str">
        <f t="shared" si="29"/>
        <v/>
      </c>
      <c r="N385" s="171" t="str">
        <f t="shared" si="30"/>
        <v/>
      </c>
      <c r="O385" s="171" t="str">
        <f t="shared" si="31"/>
        <v/>
      </c>
    </row>
    <row r="386" spans="5:15">
      <c r="E386" s="296"/>
      <c r="K386" s="170" t="str">
        <f t="shared" si="28"/>
        <v/>
      </c>
      <c r="L386" s="170" t="str">
        <f>IF(E386="","",IF(COUNTIFS(Table2[[#All],[De (Lote)]],Input_APM!F386)&gt;0,INDEX(Table2[[#All],[Para (Ticker Daniel)]],MATCH(Input_APM!F386,Table2[[#All],[De (Lote)]],0)),Input_APM!F386))</f>
        <v/>
      </c>
      <c r="M386" s="170" t="str">
        <f t="shared" si="29"/>
        <v/>
      </c>
      <c r="N386" s="171" t="str">
        <f t="shared" si="30"/>
        <v/>
      </c>
      <c r="O386" s="171" t="str">
        <f t="shared" si="31"/>
        <v/>
      </c>
    </row>
    <row r="387" spans="5:15">
      <c r="E387" s="296"/>
      <c r="K387" s="170" t="str">
        <f t="shared" si="28"/>
        <v/>
      </c>
      <c r="L387" s="170" t="str">
        <f>IF(E387="","",IF(COUNTIFS(Table2[[#All],[De (Lote)]],Input_APM!F387)&gt;0,INDEX(Table2[[#All],[Para (Ticker Daniel)]],MATCH(Input_APM!F387,Table2[[#All],[De (Lote)]],0)),Input_APM!F387))</f>
        <v/>
      </c>
      <c r="M387" s="170" t="str">
        <f t="shared" si="29"/>
        <v/>
      </c>
      <c r="N387" s="171" t="str">
        <f t="shared" si="30"/>
        <v/>
      </c>
      <c r="O387" s="171" t="str">
        <f t="shared" si="31"/>
        <v/>
      </c>
    </row>
    <row r="388" spans="5:15">
      <c r="E388" s="296"/>
      <c r="K388" s="170" t="str">
        <f t="shared" si="28"/>
        <v/>
      </c>
      <c r="L388" s="170" t="str">
        <f>IF(E388="","",IF(COUNTIFS(Table2[[#All],[De (Lote)]],Input_APM!F388)&gt;0,INDEX(Table2[[#All],[Para (Ticker Daniel)]],MATCH(Input_APM!F388,Table2[[#All],[De (Lote)]],0)),Input_APM!F388))</f>
        <v/>
      </c>
      <c r="M388" s="170" t="str">
        <f t="shared" si="29"/>
        <v/>
      </c>
      <c r="N388" s="171" t="str">
        <f t="shared" si="30"/>
        <v/>
      </c>
      <c r="O388" s="171" t="str">
        <f t="shared" si="31"/>
        <v/>
      </c>
    </row>
    <row r="389" spans="5:15">
      <c r="E389" s="296"/>
      <c r="K389" s="170" t="str">
        <f t="shared" si="28"/>
        <v/>
      </c>
      <c r="L389" s="170" t="str">
        <f>IF(E389="","",IF(COUNTIFS(Table2[[#All],[De (Lote)]],Input_APM!F389)&gt;0,INDEX(Table2[[#All],[Para (Ticker Daniel)]],MATCH(Input_APM!F389,Table2[[#All],[De (Lote)]],0)),Input_APM!F389))</f>
        <v/>
      </c>
      <c r="M389" s="170" t="str">
        <f t="shared" si="29"/>
        <v/>
      </c>
      <c r="N389" s="171" t="str">
        <f t="shared" si="30"/>
        <v/>
      </c>
      <c r="O389" s="171" t="str">
        <f t="shared" si="31"/>
        <v/>
      </c>
    </row>
    <row r="390" spans="5:15">
      <c r="E390" s="296"/>
      <c r="K390" s="170" t="str">
        <f t="shared" si="28"/>
        <v/>
      </c>
      <c r="L390" s="170" t="str">
        <f>IF(E390="","",IF(COUNTIFS(Table2[[#All],[De (Lote)]],Input_APM!F390)&gt;0,INDEX(Table2[[#All],[Para (Ticker Daniel)]],MATCH(Input_APM!F390,Table2[[#All],[De (Lote)]],0)),Input_APM!F390))</f>
        <v/>
      </c>
      <c r="M390" s="170" t="str">
        <f t="shared" si="29"/>
        <v/>
      </c>
      <c r="N390" s="171" t="str">
        <f t="shared" si="30"/>
        <v/>
      </c>
      <c r="O390" s="171" t="str">
        <f t="shared" si="31"/>
        <v/>
      </c>
    </row>
    <row r="391" spans="5:15">
      <c r="E391" s="296"/>
      <c r="K391" s="170" t="str">
        <f t="shared" si="28"/>
        <v/>
      </c>
      <c r="L391" s="170" t="str">
        <f>IF(E391="","",IF(COUNTIFS(Table2[[#All],[De (Lote)]],Input_APM!F391)&gt;0,INDEX(Table2[[#All],[Para (Ticker Daniel)]],MATCH(Input_APM!F391,Table2[[#All],[De (Lote)]],0)),Input_APM!F391))</f>
        <v/>
      </c>
      <c r="M391" s="170" t="str">
        <f t="shared" si="29"/>
        <v/>
      </c>
      <c r="N391" s="171" t="str">
        <f t="shared" si="30"/>
        <v/>
      </c>
      <c r="O391" s="171" t="str">
        <f t="shared" si="31"/>
        <v/>
      </c>
    </row>
    <row r="392" spans="5:15">
      <c r="E392" s="296"/>
      <c r="K392" s="170" t="str">
        <f t="shared" si="28"/>
        <v/>
      </c>
      <c r="L392" s="170" t="str">
        <f>IF(E392="","",IF(COUNTIFS(Table2[[#All],[De (Lote)]],Input_APM!F392)&gt;0,INDEX(Table2[[#All],[Para (Ticker Daniel)]],MATCH(Input_APM!F392,Table2[[#All],[De (Lote)]],0)),Input_APM!F392))</f>
        <v/>
      </c>
      <c r="M392" s="170" t="str">
        <f t="shared" si="29"/>
        <v/>
      </c>
      <c r="N392" s="171" t="str">
        <f t="shared" si="30"/>
        <v/>
      </c>
      <c r="O392" s="171" t="str">
        <f t="shared" si="31"/>
        <v/>
      </c>
    </row>
    <row r="393" spans="5:15">
      <c r="E393" s="296"/>
      <c r="K393" s="170" t="str">
        <f t="shared" si="28"/>
        <v/>
      </c>
      <c r="L393" s="170" t="str">
        <f>IF(E393="","",IF(COUNTIFS(Table2[[#All],[De (Lote)]],Input_APM!F393)&gt;0,INDEX(Table2[[#All],[Para (Ticker Daniel)]],MATCH(Input_APM!F393,Table2[[#All],[De (Lote)]],0)),Input_APM!F393))</f>
        <v/>
      </c>
      <c r="M393" s="170" t="str">
        <f t="shared" si="29"/>
        <v/>
      </c>
      <c r="N393" s="171" t="str">
        <f t="shared" si="30"/>
        <v/>
      </c>
      <c r="O393" s="171" t="str">
        <f t="shared" si="31"/>
        <v/>
      </c>
    </row>
    <row r="394" spans="5:15">
      <c r="E394" s="296"/>
      <c r="K394" s="170" t="str">
        <f t="shared" si="28"/>
        <v/>
      </c>
      <c r="L394" s="170" t="str">
        <f>IF(E394="","",IF(COUNTIFS(Table2[[#All],[De (Lote)]],Input_APM!F394)&gt;0,INDEX(Table2[[#All],[Para (Ticker Daniel)]],MATCH(Input_APM!F394,Table2[[#All],[De (Lote)]],0)),Input_APM!F394))</f>
        <v/>
      </c>
      <c r="M394" s="170" t="str">
        <f t="shared" si="29"/>
        <v/>
      </c>
      <c r="N394" s="171" t="str">
        <f t="shared" si="30"/>
        <v/>
      </c>
      <c r="O394" s="171" t="str">
        <f t="shared" si="31"/>
        <v/>
      </c>
    </row>
    <row r="395" spans="5:15">
      <c r="E395" s="296"/>
      <c r="K395" s="170" t="str">
        <f t="shared" si="28"/>
        <v/>
      </c>
      <c r="L395" s="170" t="str">
        <f>IF(E395="","",IF(COUNTIFS(Table2[[#All],[De (Lote)]],Input_APM!F395)&gt;0,INDEX(Table2[[#All],[Para (Ticker Daniel)]],MATCH(Input_APM!F395,Table2[[#All],[De (Lote)]],0)),Input_APM!F395))</f>
        <v/>
      </c>
      <c r="M395" s="170" t="str">
        <f t="shared" si="29"/>
        <v/>
      </c>
      <c r="N395" s="171" t="str">
        <f t="shared" si="30"/>
        <v/>
      </c>
      <c r="O395" s="171" t="str">
        <f t="shared" si="31"/>
        <v/>
      </c>
    </row>
    <row r="396" spans="5:15">
      <c r="E396" s="296"/>
      <c r="K396" s="170" t="str">
        <f t="shared" si="28"/>
        <v/>
      </c>
      <c r="L396" s="170" t="str">
        <f>IF(E396="","",IF(COUNTIFS(Table2[[#All],[De (Lote)]],Input_APM!F396)&gt;0,INDEX(Table2[[#All],[Para (Ticker Daniel)]],MATCH(Input_APM!F396,Table2[[#All],[De (Lote)]],0)),Input_APM!F396))</f>
        <v/>
      </c>
      <c r="M396" s="170" t="str">
        <f t="shared" si="29"/>
        <v/>
      </c>
      <c r="N396" s="171" t="str">
        <f t="shared" si="30"/>
        <v/>
      </c>
      <c r="O396" s="171" t="str">
        <f t="shared" si="31"/>
        <v/>
      </c>
    </row>
    <row r="397" spans="5:15">
      <c r="E397" s="296"/>
      <c r="K397" s="170" t="str">
        <f>IF(E397="","",E397)</f>
        <v/>
      </c>
      <c r="L397" s="170" t="str">
        <f>IF(E397="","",IF(COUNTIFS(Table2[[#All],[De (Lote)]],Input_APM!F397)&gt;0,INDEX(Table2[[#All],[Para (Ticker Daniel)]],MATCH(Input_APM!F397,Table2[[#All],[De (Lote)]],0)),Input_APM!F397))</f>
        <v/>
      </c>
      <c r="M397" s="170" t="str">
        <f>IF(E397="","",G397)</f>
        <v/>
      </c>
      <c r="N397" s="171" t="str">
        <f>IF(E397="","",H397)</f>
        <v/>
      </c>
      <c r="O397" s="171" t="str">
        <f>IF(E397="","",I397)</f>
        <v/>
      </c>
    </row>
    <row r="398" spans="5:15">
      <c r="E398" s="296"/>
    </row>
    <row r="399" spans="5:15">
      <c r="E399" s="296"/>
    </row>
    <row r="400" spans="5:15">
      <c r="E400" s="296"/>
    </row>
    <row r="401" spans="5:5">
      <c r="E401" s="296"/>
    </row>
    <row r="402" spans="5:5">
      <c r="E402" s="296"/>
    </row>
    <row r="403" spans="5:5">
      <c r="E403" s="296"/>
    </row>
    <row r="404" spans="5:5">
      <c r="E404" s="296"/>
    </row>
    <row r="405" spans="5:5">
      <c r="E405" s="296"/>
    </row>
    <row r="406" spans="5:5">
      <c r="E406" s="296"/>
    </row>
    <row r="407" spans="5:5">
      <c r="E407" s="296"/>
    </row>
    <row r="408" spans="5:5">
      <c r="E408" s="296"/>
    </row>
    <row r="409" spans="5:5">
      <c r="E409" s="296"/>
    </row>
    <row r="410" spans="5:5">
      <c r="E410" s="296"/>
    </row>
    <row r="411" spans="5:5">
      <c r="E411" s="296"/>
    </row>
    <row r="412" spans="5:5">
      <c r="E412" s="296"/>
    </row>
    <row r="413" spans="5:5">
      <c r="E413" s="296"/>
    </row>
    <row r="414" spans="5:5">
      <c r="E414" s="296"/>
    </row>
    <row r="415" spans="5:5">
      <c r="E415" s="296"/>
    </row>
    <row r="416" spans="5:5">
      <c r="E416" s="296"/>
    </row>
    <row r="417" spans="5:5">
      <c r="E417" s="296"/>
    </row>
    <row r="418" spans="5:5">
      <c r="E418" s="296"/>
    </row>
    <row r="419" spans="5:5">
      <c r="E419" s="296"/>
    </row>
    <row r="420" spans="5:5">
      <c r="E420" s="296"/>
    </row>
    <row r="421" spans="5:5">
      <c r="E421" s="296"/>
    </row>
    <row r="422" spans="5:5">
      <c r="E422" s="296"/>
    </row>
    <row r="423" spans="5:5">
      <c r="E423" s="296"/>
    </row>
    <row r="424" spans="5:5">
      <c r="E424" s="296"/>
    </row>
    <row r="425" spans="5:5">
      <c r="E425" s="296"/>
    </row>
    <row r="426" spans="5:5">
      <c r="E426" s="296"/>
    </row>
    <row r="427" spans="5:5">
      <c r="E427" s="296"/>
    </row>
    <row r="428" spans="5:5">
      <c r="E428" s="296"/>
    </row>
    <row r="429" spans="5:5">
      <c r="E429" s="296"/>
    </row>
    <row r="430" spans="5:5">
      <c r="E430" s="296"/>
    </row>
    <row r="431" spans="5:5">
      <c r="E431" s="296"/>
    </row>
    <row r="432" spans="5:5">
      <c r="E432" s="296"/>
    </row>
    <row r="433" spans="5:5">
      <c r="E433" s="296"/>
    </row>
    <row r="434" spans="5:5">
      <c r="E434" s="296"/>
    </row>
    <row r="435" spans="5:5">
      <c r="E435" s="296"/>
    </row>
    <row r="436" spans="5:5">
      <c r="E436" s="296"/>
    </row>
    <row r="437" spans="5:5">
      <c r="E437" s="296"/>
    </row>
    <row r="438" spans="5:5">
      <c r="E438" s="296"/>
    </row>
    <row r="439" spans="5:5">
      <c r="E439" s="296"/>
    </row>
    <row r="440" spans="5:5">
      <c r="E440" s="296"/>
    </row>
    <row r="441" spans="5:5">
      <c r="E441" s="296"/>
    </row>
    <row r="442" spans="5:5">
      <c r="E442" s="296"/>
    </row>
    <row r="443" spans="5:5">
      <c r="E443" s="296"/>
    </row>
    <row r="444" spans="5:5">
      <c r="E444" s="296"/>
    </row>
    <row r="445" spans="5:5">
      <c r="E445" s="296"/>
    </row>
    <row r="446" spans="5:5">
      <c r="E446" s="296"/>
    </row>
    <row r="447" spans="5:5">
      <c r="E447" s="296"/>
    </row>
    <row r="448" spans="5:5">
      <c r="E448" s="296"/>
    </row>
    <row r="449" spans="5:5">
      <c r="E449" s="296"/>
    </row>
    <row r="450" spans="5:5">
      <c r="E450" s="296"/>
    </row>
    <row r="451" spans="5:5">
      <c r="E451" s="296"/>
    </row>
    <row r="452" spans="5:5">
      <c r="E452" s="296"/>
    </row>
    <row r="453" spans="5:5">
      <c r="E453" s="296"/>
    </row>
    <row r="454" spans="5:5">
      <c r="E454" s="296"/>
    </row>
    <row r="455" spans="5:5">
      <c r="E455" s="296"/>
    </row>
    <row r="456" spans="5:5">
      <c r="E456" s="296"/>
    </row>
    <row r="457" spans="5:5">
      <c r="E457" s="296"/>
    </row>
    <row r="458" spans="5:5">
      <c r="E458" s="296"/>
    </row>
    <row r="459" spans="5:5">
      <c r="E459" s="296"/>
    </row>
    <row r="460" spans="5:5">
      <c r="E460" s="296"/>
    </row>
    <row r="461" spans="5:5">
      <c r="E461" s="296"/>
    </row>
    <row r="462" spans="5:5">
      <c r="E462" s="296"/>
    </row>
    <row r="463" spans="5:5">
      <c r="E463" s="296"/>
    </row>
    <row r="464" spans="5:5">
      <c r="E464" s="296"/>
    </row>
    <row r="465" spans="5:5">
      <c r="E465" s="296"/>
    </row>
    <row r="466" spans="5:5">
      <c r="E466" s="296"/>
    </row>
    <row r="467" spans="5:5">
      <c r="E467" s="296"/>
    </row>
    <row r="468" spans="5:5">
      <c r="E468" s="296"/>
    </row>
    <row r="469" spans="5:5">
      <c r="E469" s="296"/>
    </row>
    <row r="470" spans="5:5">
      <c r="E470" s="296"/>
    </row>
    <row r="471" spans="5:5">
      <c r="E471" s="296"/>
    </row>
    <row r="472" spans="5:5">
      <c r="E472" s="296"/>
    </row>
    <row r="473" spans="5:5">
      <c r="E473" s="296"/>
    </row>
    <row r="474" spans="5:5">
      <c r="E474" s="296"/>
    </row>
    <row r="475" spans="5:5">
      <c r="E475" s="296"/>
    </row>
    <row r="476" spans="5:5">
      <c r="E476" s="296"/>
    </row>
    <row r="477" spans="5:5">
      <c r="E477" s="296"/>
    </row>
    <row r="478" spans="5:5">
      <c r="E478" s="296"/>
    </row>
    <row r="479" spans="5:5">
      <c r="E479" s="296"/>
    </row>
    <row r="480" spans="5:5">
      <c r="E480" s="296"/>
    </row>
    <row r="481" spans="5:5">
      <c r="E481" s="296"/>
    </row>
    <row r="482" spans="5:5">
      <c r="E482" s="296"/>
    </row>
    <row r="483" spans="5:5">
      <c r="E483" s="296"/>
    </row>
    <row r="484" spans="5:5">
      <c r="E484" s="296"/>
    </row>
    <row r="485" spans="5:5">
      <c r="E485" s="296"/>
    </row>
    <row r="486" spans="5:5">
      <c r="E486" s="296"/>
    </row>
    <row r="487" spans="5:5">
      <c r="E487" s="296"/>
    </row>
    <row r="488" spans="5:5">
      <c r="E488" s="296"/>
    </row>
    <row r="489" spans="5:5">
      <c r="E489" s="296"/>
    </row>
    <row r="490" spans="5:5">
      <c r="E490" s="296"/>
    </row>
    <row r="491" spans="5:5">
      <c r="E491" s="296"/>
    </row>
    <row r="492" spans="5:5">
      <c r="E492" s="296"/>
    </row>
    <row r="493" spans="5:5">
      <c r="E493" s="296"/>
    </row>
    <row r="494" spans="5:5">
      <c r="E494" s="296"/>
    </row>
    <row r="495" spans="5:5">
      <c r="E495" s="296"/>
    </row>
    <row r="496" spans="5:5">
      <c r="E496" s="296"/>
    </row>
    <row r="497" spans="5:5">
      <c r="E497" s="296"/>
    </row>
    <row r="498" spans="5:5">
      <c r="E498" s="296"/>
    </row>
    <row r="499" spans="5:5">
      <c r="E499" s="296"/>
    </row>
    <row r="500" spans="5:5">
      <c r="E500" s="296"/>
    </row>
    <row r="501" spans="5:5">
      <c r="E501" s="296"/>
    </row>
    <row r="502" spans="5:5">
      <c r="E502" s="296"/>
    </row>
    <row r="503" spans="5:5">
      <c r="E503" s="296"/>
    </row>
    <row r="504" spans="5:5">
      <c r="E504" s="296"/>
    </row>
    <row r="505" spans="5:5">
      <c r="E505" s="296"/>
    </row>
    <row r="506" spans="5:5">
      <c r="E506" s="296"/>
    </row>
    <row r="507" spans="5:5">
      <c r="E507" s="296"/>
    </row>
    <row r="508" spans="5:5">
      <c r="E508" s="296"/>
    </row>
    <row r="509" spans="5:5">
      <c r="E509" s="296"/>
    </row>
    <row r="510" spans="5:5">
      <c r="E510" s="296"/>
    </row>
    <row r="511" spans="5:5">
      <c r="E511" s="296"/>
    </row>
    <row r="512" spans="5:5">
      <c r="E512" s="296"/>
    </row>
    <row r="513" spans="5:5">
      <c r="E513" s="296"/>
    </row>
    <row r="514" spans="5:5">
      <c r="E514" s="296"/>
    </row>
    <row r="515" spans="5:5">
      <c r="E515" s="296"/>
    </row>
    <row r="516" spans="5:5">
      <c r="E516" s="296"/>
    </row>
    <row r="517" spans="5:5">
      <c r="E517" s="296"/>
    </row>
    <row r="518" spans="5:5">
      <c r="E518" s="296"/>
    </row>
    <row r="519" spans="5:5">
      <c r="E519" s="296"/>
    </row>
    <row r="520" spans="5:5">
      <c r="E520" s="296"/>
    </row>
    <row r="521" spans="5:5">
      <c r="E521" s="296"/>
    </row>
    <row r="522" spans="5:5">
      <c r="E522" s="296"/>
    </row>
    <row r="523" spans="5:5">
      <c r="E523" s="296"/>
    </row>
    <row r="524" spans="5:5">
      <c r="E524" s="296"/>
    </row>
    <row r="525" spans="5:5">
      <c r="E525" s="296"/>
    </row>
    <row r="526" spans="5:5">
      <c r="E526" s="296"/>
    </row>
    <row r="527" spans="5:5">
      <c r="E527" s="296"/>
    </row>
    <row r="528" spans="5:5">
      <c r="E528" s="296"/>
    </row>
    <row r="529" spans="5:5">
      <c r="E529" s="296"/>
    </row>
    <row r="530" spans="5:5">
      <c r="E530" s="296"/>
    </row>
    <row r="531" spans="5:5">
      <c r="E531" s="296"/>
    </row>
    <row r="532" spans="5:5">
      <c r="E532" s="296"/>
    </row>
    <row r="533" spans="5:5">
      <c r="E533" s="296"/>
    </row>
    <row r="534" spans="5:5">
      <c r="E534" s="296"/>
    </row>
    <row r="535" spans="5:5">
      <c r="E535" s="296"/>
    </row>
    <row r="536" spans="5:5">
      <c r="E536" s="296"/>
    </row>
    <row r="537" spans="5:5">
      <c r="E537" s="296"/>
    </row>
    <row r="538" spans="5:5">
      <c r="E538" s="296"/>
    </row>
    <row r="539" spans="5:5">
      <c r="E539" s="296"/>
    </row>
    <row r="540" spans="5:5">
      <c r="E540" s="296"/>
    </row>
    <row r="541" spans="5:5">
      <c r="E541" s="296"/>
    </row>
    <row r="542" spans="5:5">
      <c r="E542" s="296"/>
    </row>
    <row r="543" spans="5:5">
      <c r="E543" s="296"/>
    </row>
    <row r="544" spans="5:5">
      <c r="E544" s="296"/>
    </row>
    <row r="545" spans="5:5">
      <c r="E545" s="296"/>
    </row>
    <row r="546" spans="5:5">
      <c r="E546" s="296"/>
    </row>
    <row r="547" spans="5:5">
      <c r="E547" s="296"/>
    </row>
    <row r="548" spans="5:5">
      <c r="E548" s="296"/>
    </row>
    <row r="549" spans="5:5">
      <c r="E549" s="296"/>
    </row>
    <row r="550" spans="5:5">
      <c r="E550" s="296"/>
    </row>
    <row r="551" spans="5:5">
      <c r="E551" s="296"/>
    </row>
    <row r="552" spans="5:5">
      <c r="E552" s="296"/>
    </row>
    <row r="553" spans="5:5">
      <c r="E553" s="296"/>
    </row>
    <row r="554" spans="5:5">
      <c r="E554" s="296"/>
    </row>
    <row r="555" spans="5:5">
      <c r="E555" s="296"/>
    </row>
    <row r="556" spans="5:5">
      <c r="E556" s="296"/>
    </row>
    <row r="557" spans="5:5">
      <c r="E557" s="296"/>
    </row>
    <row r="558" spans="5:5">
      <c r="E558" s="296"/>
    </row>
    <row r="559" spans="5:5">
      <c r="E559" s="296"/>
    </row>
    <row r="560" spans="5:5">
      <c r="E560" s="296"/>
    </row>
    <row r="561" spans="5:5">
      <c r="E561" s="296"/>
    </row>
    <row r="562" spans="5:5">
      <c r="E562" s="296"/>
    </row>
    <row r="563" spans="5:5">
      <c r="E563" s="296"/>
    </row>
    <row r="564" spans="5:5">
      <c r="E564" s="296"/>
    </row>
    <row r="565" spans="5:5">
      <c r="E565" s="296"/>
    </row>
    <row r="566" spans="5:5">
      <c r="E566" s="296"/>
    </row>
    <row r="567" spans="5:5">
      <c r="E567" s="296"/>
    </row>
    <row r="568" spans="5:5">
      <c r="E568" s="296"/>
    </row>
    <row r="569" spans="5:5">
      <c r="E569" s="296"/>
    </row>
    <row r="570" spans="5:5">
      <c r="E570" s="296"/>
    </row>
    <row r="571" spans="5:5">
      <c r="E571" s="296"/>
    </row>
    <row r="572" spans="5:5">
      <c r="E572" s="296"/>
    </row>
    <row r="573" spans="5:5">
      <c r="E573" s="296"/>
    </row>
    <row r="574" spans="5:5">
      <c r="E574" s="296"/>
    </row>
    <row r="575" spans="5:5">
      <c r="E575" s="296"/>
    </row>
    <row r="576" spans="5:5">
      <c r="E576" s="296"/>
    </row>
    <row r="577" spans="5:5">
      <c r="E577" s="296"/>
    </row>
    <row r="578" spans="5:5">
      <c r="E578" s="296"/>
    </row>
    <row r="579" spans="5:5">
      <c r="E579" s="296"/>
    </row>
    <row r="580" spans="5:5">
      <c r="E580" s="296"/>
    </row>
  </sheetData>
  <autoFilter ref="K1:O397" xr:uid="{F0D72072-B23C-439A-8B65-10BB2C0A9065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importar_one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104775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1FAB9-6DAE-485A-9690-3972D872F626}">
  <sheetPr codeName="Sheet21">
    <tabColor theme="5" tint="0.79998168889431442"/>
  </sheetPr>
  <dimension ref="E1:O512"/>
  <sheetViews>
    <sheetView showGridLines="0" zoomScale="90" zoomScaleNormal="90" workbookViewId="0">
      <selection activeCell="E1" sqref="E1:I99"/>
    </sheetView>
  </sheetViews>
  <sheetFormatPr defaultColWidth="9.140625" defaultRowHeight="12.75" outlineLevelCol="1"/>
  <cols>
    <col min="1" max="4" width="9.140625" style="169"/>
    <col min="5" max="5" width="31.28515625" style="169" bestFit="1" customWidth="1" outlineLevel="1"/>
    <col min="6" max="6" width="45.85546875" style="169" bestFit="1" customWidth="1" outlineLevel="1"/>
    <col min="7" max="7" width="24.42578125" style="169" customWidth="1" outlineLevel="1"/>
    <col min="8" max="9" width="14" style="169" bestFit="1" customWidth="1" outlineLevel="1"/>
    <col min="10" max="10" width="9.140625" style="169"/>
    <col min="11" max="11" width="30.28515625" style="169" bestFit="1" customWidth="1"/>
    <col min="12" max="12" width="41.7109375" style="169" bestFit="1" customWidth="1"/>
    <col min="13" max="13" width="24" style="169" bestFit="1" customWidth="1"/>
    <col min="14" max="15" width="11.28515625" style="169" bestFit="1" customWidth="1"/>
    <col min="16" max="16384" width="9.140625" style="169"/>
  </cols>
  <sheetData>
    <row r="1" spans="5:15">
      <c r="E1" s="169" t="s">
        <v>238</v>
      </c>
      <c r="F1" s="169" t="s">
        <v>118</v>
      </c>
      <c r="G1" s="169" t="s">
        <v>239</v>
      </c>
      <c r="H1" s="169" t="s">
        <v>219</v>
      </c>
      <c r="I1" s="169" t="s">
        <v>240</v>
      </c>
      <c r="K1" s="184" t="s">
        <v>238</v>
      </c>
      <c r="L1" s="184" t="s">
        <v>118</v>
      </c>
      <c r="M1" s="184" t="s">
        <v>239</v>
      </c>
      <c r="N1" s="184" t="s">
        <v>219</v>
      </c>
      <c r="O1" s="184" t="s">
        <v>240</v>
      </c>
    </row>
    <row r="2" spans="5:15">
      <c r="E2" s="169" t="s">
        <v>242</v>
      </c>
      <c r="F2" s="169" t="s">
        <v>1036</v>
      </c>
      <c r="G2" s="169" t="s">
        <v>208</v>
      </c>
      <c r="H2" s="169">
        <v>163</v>
      </c>
      <c r="I2" s="169">
        <v>127</v>
      </c>
      <c r="K2" s="170" t="str">
        <f>IF(E2="","",E2)</f>
        <v>US Equity</v>
      </c>
      <c r="L2" s="170" t="str">
        <f>IF(E2="","",IF(COUNTIFS(Table2[[#All],[De (Lote)]],'Input_APM (Zenith)'!F2)&gt;0,INDEX(Table2[[#All],[Para (Ticker Daniel)]],MATCH('Input_APM (Zenith)'!F2,Table2[[#All],[De (Lote)]],0)),'Input_APM (Zenith)'!F2))</f>
        <v>AGX</v>
      </c>
      <c r="M2" s="170" t="str">
        <f>IF(E2="","",G2)</f>
        <v>EQTY.IntlUS.off</v>
      </c>
      <c r="N2" s="171">
        <f>IF(E2="","",H2)</f>
        <v>163</v>
      </c>
      <c r="O2" s="171">
        <f>IF(E2="","",I2)</f>
        <v>127</v>
      </c>
    </row>
    <row r="3" spans="5:15">
      <c r="E3" s="169" t="s">
        <v>242</v>
      </c>
      <c r="F3" s="169" t="s">
        <v>1079</v>
      </c>
      <c r="G3" s="169" t="s">
        <v>208</v>
      </c>
      <c r="H3" s="169">
        <v>776</v>
      </c>
      <c r="I3" s="169">
        <v>394</v>
      </c>
      <c r="K3" s="170" t="str">
        <f t="shared" ref="K3:K66" si="0">IF(E3="","",E3)</f>
        <v>US Equity</v>
      </c>
      <c r="L3" s="170" t="str">
        <f>IF(E3="","",IF(COUNTIFS(Table2[[#All],[De (Lote)]],'Input_APM (Zenith)'!F3)&gt;0,INDEX(Table2[[#All],[Para (Ticker Daniel)]],MATCH('Input_APM (Zenith)'!F3,Table2[[#All],[De (Lote)]],0)),'Input_APM (Zenith)'!F3))</f>
        <v>AKAM</v>
      </c>
      <c r="M3" s="170" t="str">
        <f t="shared" ref="M3:M66" si="1">IF(E3="","",G3)</f>
        <v>EQTY.IntlUS.off</v>
      </c>
      <c r="N3" s="171">
        <f t="shared" ref="N3:N66" si="2">IF(E3="","",H3)</f>
        <v>776</v>
      </c>
      <c r="O3" s="171">
        <f t="shared" ref="O3:O66" si="3">IF(E3="","",I3)</f>
        <v>394</v>
      </c>
    </row>
    <row r="4" spans="5:15">
      <c r="E4" s="169" t="s">
        <v>335</v>
      </c>
      <c r="F4" s="169" t="s">
        <v>1028</v>
      </c>
      <c r="G4" s="169" t="s">
        <v>208</v>
      </c>
      <c r="H4" s="169">
        <v>-611000</v>
      </c>
      <c r="I4" s="169">
        <v>-611000</v>
      </c>
      <c r="K4" s="170" t="str">
        <f t="shared" si="0"/>
        <v>Global Bonds</v>
      </c>
      <c r="L4" s="170" t="str">
        <f>IF(E4="","",IF(COUNTIFS(Table2[[#All],[De (Lote)]],'Input_APM (Zenith)'!F4)&gt;0,INDEX(Table2[[#All],[Para (Ticker Daniel)]],MATCH('Input_APM (Zenith)'!F4,Table2[[#All],[De (Lote)]],0)),'Input_APM (Zenith)'!F4))</f>
        <v>AMZN 4.65% 11/20/35</v>
      </c>
      <c r="M4" s="170" t="str">
        <f t="shared" si="1"/>
        <v>EQTY.IntlUS.off</v>
      </c>
      <c r="N4" s="171">
        <f t="shared" si="2"/>
        <v>-611000</v>
      </c>
      <c r="O4" s="171">
        <f t="shared" si="3"/>
        <v>-611000</v>
      </c>
    </row>
    <row r="5" spans="5:15">
      <c r="E5" s="169" t="s">
        <v>244</v>
      </c>
      <c r="F5" s="169" t="s">
        <v>1076</v>
      </c>
      <c r="G5" s="169" t="s">
        <v>208</v>
      </c>
      <c r="H5" s="169">
        <v>-19</v>
      </c>
      <c r="I5" s="169">
        <v>-19</v>
      </c>
      <c r="K5" s="170" t="str">
        <f t="shared" si="0"/>
        <v>US Equity Options</v>
      </c>
      <c r="L5" s="170" t="str">
        <f>IF(E5="","",IF(COUNTIFS(Table2[[#All],[De (Lote)]],'Input_APM (Zenith)'!F5)&gt;0,INDEX(Table2[[#All],[Para (Ticker Daniel)]],MATCH('Input_APM (Zenith)'!F5,Table2[[#All],[De (Lote)]],0)),'Input_APM (Zenith)'!F5))</f>
        <v>AMZN US 07/17/26 C240</v>
      </c>
      <c r="M5" s="170" t="str">
        <f t="shared" si="1"/>
        <v>EQTY.IntlUS.off</v>
      </c>
      <c r="N5" s="171">
        <f t="shared" si="2"/>
        <v>-19</v>
      </c>
      <c r="O5" s="171">
        <f t="shared" si="3"/>
        <v>-19</v>
      </c>
    </row>
    <row r="6" spans="5:15">
      <c r="E6" s="169" t="s">
        <v>244</v>
      </c>
      <c r="F6" s="169" t="s">
        <v>1074</v>
      </c>
      <c r="G6" s="169" t="s">
        <v>208</v>
      </c>
      <c r="H6" s="169">
        <v>-18</v>
      </c>
      <c r="I6" s="169">
        <v>-18</v>
      </c>
      <c r="K6" s="170" t="str">
        <f t="shared" si="0"/>
        <v>US Equity Options</v>
      </c>
      <c r="L6" s="170" t="str">
        <f>IF(E6="","",IF(COUNTIFS(Table2[[#All],[De (Lote)]],'Input_APM (Zenith)'!F6)&gt;0,INDEX(Table2[[#All],[Para (Ticker Daniel)]],MATCH('Input_APM (Zenith)'!F6,Table2[[#All],[De (Lote)]],0)),'Input_APM (Zenith)'!F6))</f>
        <v>AMZN US 07/17/26 P180</v>
      </c>
      <c r="M6" s="170" t="str">
        <f t="shared" si="1"/>
        <v>EQTY.IntlUS.off</v>
      </c>
      <c r="N6" s="171">
        <f t="shared" si="2"/>
        <v>-18</v>
      </c>
      <c r="O6" s="171">
        <f t="shared" si="3"/>
        <v>-18</v>
      </c>
    </row>
    <row r="7" spans="5:15">
      <c r="E7" s="169" t="s">
        <v>245</v>
      </c>
      <c r="F7" s="169" t="s">
        <v>7</v>
      </c>
      <c r="G7" s="169" t="s">
        <v>208</v>
      </c>
      <c r="H7" s="169">
        <v>607</v>
      </c>
      <c r="I7" s="169">
        <v>607</v>
      </c>
      <c r="K7" s="170" t="str">
        <f t="shared" si="0"/>
        <v>ETF</v>
      </c>
      <c r="L7" s="170" t="str">
        <f>IF(E7="","",IF(COUNTIFS(Table2[[#All],[De (Lote)]],'Input_APM (Zenith)'!F7)&gt;0,INDEX(Table2[[#All],[Para (Ticker Daniel)]],MATCH('Input_APM (Zenith)'!F7,Table2[[#All],[De (Lote)]],0)),'Input_APM (Zenith)'!F7))</f>
        <v>ASHR</v>
      </c>
      <c r="M7" s="170" t="str">
        <f t="shared" si="1"/>
        <v>EQTY.IntlUS.off</v>
      </c>
      <c r="N7" s="171">
        <f t="shared" si="2"/>
        <v>607</v>
      </c>
      <c r="O7" s="171">
        <f t="shared" si="3"/>
        <v>607</v>
      </c>
    </row>
    <row r="8" spans="5:15">
      <c r="E8" s="169" t="s">
        <v>248</v>
      </c>
      <c r="F8" s="169" t="s">
        <v>819</v>
      </c>
      <c r="G8" s="169" t="s">
        <v>208</v>
      </c>
      <c r="H8" s="169">
        <v>126</v>
      </c>
      <c r="I8" s="169">
        <v>126</v>
      </c>
      <c r="K8" s="170" t="str">
        <f t="shared" si="0"/>
        <v>ETF Options</v>
      </c>
      <c r="L8" s="170" t="str">
        <f>IF(E8="","",IF(COUNTIFS(Table2[[#All],[De (Lote)]],'Input_APM (Zenith)'!F8)&gt;0,INDEX(Table2[[#All],[Para (Ticker Daniel)]],MATCH('Input_APM (Zenith)'!F8,Table2[[#All],[De (Lote)]],0)),'Input_APM (Zenith)'!F8))</f>
        <v>ASHR US 02/20/26 C35</v>
      </c>
      <c r="M8" s="170" t="str">
        <f t="shared" si="1"/>
        <v>EQTY.IntlUS.off</v>
      </c>
      <c r="N8" s="171">
        <f t="shared" si="2"/>
        <v>126</v>
      </c>
      <c r="O8" s="171">
        <f t="shared" si="3"/>
        <v>126</v>
      </c>
    </row>
    <row r="9" spans="5:15">
      <c r="E9" s="169" t="s">
        <v>248</v>
      </c>
      <c r="F9" s="169" t="s">
        <v>1049</v>
      </c>
      <c r="G9" s="169" t="s">
        <v>208</v>
      </c>
      <c r="H9" s="169">
        <v>31</v>
      </c>
      <c r="I9" s="169">
        <v>31</v>
      </c>
      <c r="K9" s="170" t="str">
        <f t="shared" si="0"/>
        <v>ETF Options</v>
      </c>
      <c r="L9" s="170" t="str">
        <f>IF(E9="","",IF(COUNTIFS(Table2[[#All],[De (Lote)]],'Input_APM (Zenith)'!F9)&gt;0,INDEX(Table2[[#All],[Para (Ticker Daniel)]],MATCH('Input_APM (Zenith)'!F9,Table2[[#All],[De (Lote)]],0)),'Input_APM (Zenith)'!F9))</f>
        <v>ASHR US 02/27/26 C35</v>
      </c>
      <c r="M9" s="170" t="str">
        <f t="shared" si="1"/>
        <v>EQTY.IntlUS.off</v>
      </c>
      <c r="N9" s="171">
        <f t="shared" si="2"/>
        <v>31</v>
      </c>
      <c r="O9" s="171">
        <f t="shared" si="3"/>
        <v>31</v>
      </c>
    </row>
    <row r="10" spans="5:15">
      <c r="E10" s="169" t="s">
        <v>242</v>
      </c>
      <c r="F10" s="169" t="s">
        <v>84</v>
      </c>
      <c r="G10" s="169" t="s">
        <v>208</v>
      </c>
      <c r="H10" s="169">
        <v>1001</v>
      </c>
      <c r="I10" s="169">
        <v>1001</v>
      </c>
      <c r="K10" s="170" t="str">
        <f t="shared" si="0"/>
        <v>US Equity</v>
      </c>
      <c r="L10" s="170" t="str">
        <f>IF(E10="","",IF(COUNTIFS(Table2[[#All],[De (Lote)]],'Input_APM (Zenith)'!F10)&gt;0,INDEX(Table2[[#All],[Para (Ticker Daniel)]],MATCH('Input_APM (Zenith)'!F10,Table2[[#All],[De (Lote)]],0)),'Input_APM (Zenith)'!F10))</f>
        <v>AVGO</v>
      </c>
      <c r="M10" s="170" t="str">
        <f t="shared" si="1"/>
        <v>EQTY.IntlUS.off</v>
      </c>
      <c r="N10" s="171">
        <f t="shared" si="2"/>
        <v>1001</v>
      </c>
      <c r="O10" s="171">
        <f t="shared" si="3"/>
        <v>1001</v>
      </c>
    </row>
    <row r="11" spans="5:15">
      <c r="E11" s="169" t="s">
        <v>244</v>
      </c>
      <c r="F11" s="169" t="s">
        <v>765</v>
      </c>
      <c r="G11" s="169" t="s">
        <v>208</v>
      </c>
      <c r="H11" s="169">
        <v>6</v>
      </c>
      <c r="I11" s="169">
        <v>6</v>
      </c>
      <c r="K11" s="170" t="str">
        <f t="shared" si="0"/>
        <v>US Equity Options</v>
      </c>
      <c r="L11" s="170" t="str">
        <f>IF(E11="","",IF(COUNTIFS(Table2[[#All],[De (Lote)]],'Input_APM (Zenith)'!F11)&gt;0,INDEX(Table2[[#All],[Para (Ticker Daniel)]],MATCH('Input_APM (Zenith)'!F11,Table2[[#All],[De (Lote)]],0)),'Input_APM (Zenith)'!F11))</f>
        <v>AVGO US 06/18/26 C350</v>
      </c>
      <c r="M11" s="170" t="str">
        <f t="shared" si="1"/>
        <v>EQTY.IntlUS.off</v>
      </c>
      <c r="N11" s="171">
        <f t="shared" si="2"/>
        <v>6</v>
      </c>
      <c r="O11" s="171">
        <f t="shared" si="3"/>
        <v>6</v>
      </c>
    </row>
    <row r="12" spans="5:15">
      <c r="E12" s="169" t="s">
        <v>8</v>
      </c>
      <c r="F12" s="169" t="s">
        <v>334</v>
      </c>
      <c r="G12" s="169" t="s">
        <v>208</v>
      </c>
      <c r="H12" s="169">
        <v>233</v>
      </c>
      <c r="I12" s="169">
        <v>233</v>
      </c>
      <c r="K12" s="170" t="str">
        <f t="shared" si="0"/>
        <v>ADR</v>
      </c>
      <c r="L12" s="170" t="str">
        <f>IF(E12="","",IF(COUNTIFS(Table2[[#All],[De (Lote)]],'Input_APM (Zenith)'!F12)&gt;0,INDEX(Table2[[#All],[Para (Ticker Daniel)]],MATCH('Input_APM (Zenith)'!F12,Table2[[#All],[De (Lote)]],0)),'Input_APM (Zenith)'!F12))</f>
        <v>BABA</v>
      </c>
      <c r="M12" s="170" t="str">
        <f t="shared" si="1"/>
        <v>EQTY.IntlUS.off</v>
      </c>
      <c r="N12" s="171">
        <f t="shared" si="2"/>
        <v>233</v>
      </c>
      <c r="O12" s="171">
        <f t="shared" si="3"/>
        <v>233</v>
      </c>
    </row>
    <row r="13" spans="5:15">
      <c r="E13" s="169" t="s">
        <v>8</v>
      </c>
      <c r="F13" s="169" t="s">
        <v>800</v>
      </c>
      <c r="G13" s="169" t="s">
        <v>208</v>
      </c>
      <c r="H13" s="169">
        <v>285</v>
      </c>
      <c r="I13" s="169">
        <v>267</v>
      </c>
      <c r="K13" s="170" t="str">
        <f t="shared" si="0"/>
        <v>ADR</v>
      </c>
      <c r="L13" s="170" t="str">
        <f>IF(E13="","",IF(COUNTIFS(Table2[[#All],[De (Lote)]],'Input_APM (Zenith)'!F13)&gt;0,INDEX(Table2[[#All],[Para (Ticker Daniel)]],MATCH('Input_APM (Zenith)'!F13,Table2[[#All],[De (Lote)]],0)),'Input_APM (Zenith)'!F13))</f>
        <v>BIDU</v>
      </c>
      <c r="M13" s="170" t="str">
        <f t="shared" si="1"/>
        <v>EQTY.IntlUS.off</v>
      </c>
      <c r="N13" s="171">
        <f t="shared" si="2"/>
        <v>285</v>
      </c>
      <c r="O13" s="171">
        <f t="shared" si="3"/>
        <v>267</v>
      </c>
    </row>
    <row r="14" spans="5:15">
      <c r="E14" s="169" t="s">
        <v>246</v>
      </c>
      <c r="F14" s="169" t="s">
        <v>221</v>
      </c>
      <c r="G14" s="169" t="s">
        <v>208</v>
      </c>
      <c r="H14" s="169">
        <v>0.05</v>
      </c>
      <c r="I14" s="169">
        <v>0.05</v>
      </c>
      <c r="K14" s="170" t="str">
        <f t="shared" si="0"/>
        <v>Cash</v>
      </c>
      <c r="L14" s="170" t="str">
        <f>IF(E14="","",IF(COUNTIFS(Table2[[#All],[De (Lote)]],'Input_APM (Zenith)'!F14)&gt;0,INDEX(Table2[[#All],[Para (Ticker Daniel)]],MATCH('Input_APM (Zenith)'!F14,Table2[[#All],[De (Lote)]],0)),'Input_APM (Zenith)'!F14))</f>
        <v>Cash CAD</v>
      </c>
      <c r="M14" s="170" t="str">
        <f t="shared" si="1"/>
        <v>EQTY.IntlUS.off</v>
      </c>
      <c r="N14" s="171">
        <f t="shared" si="2"/>
        <v>0.05</v>
      </c>
      <c r="O14" s="171">
        <f t="shared" si="3"/>
        <v>0.05</v>
      </c>
    </row>
    <row r="15" spans="5:15">
      <c r="E15" s="169" t="s">
        <v>246</v>
      </c>
      <c r="F15" s="169" t="s">
        <v>222</v>
      </c>
      <c r="G15" s="169" t="s">
        <v>209</v>
      </c>
      <c r="H15" s="169">
        <v>0.49</v>
      </c>
      <c r="I15" s="169">
        <v>0.49</v>
      </c>
      <c r="K15" s="170" t="str">
        <f t="shared" si="0"/>
        <v>Cash</v>
      </c>
      <c r="L15" s="170" t="str">
        <f>IF(E15="","",IF(COUNTIFS(Table2[[#All],[De (Lote)]],'Input_APM (Zenith)'!F15)&gt;0,INDEX(Table2[[#All],[Para (Ticker Daniel)]],MATCH('Input_APM (Zenith)'!F15,Table2[[#All],[De (Lote)]],0)),'Input_APM (Zenith)'!F15))</f>
        <v>Cash CHF</v>
      </c>
      <c r="M15" s="170" t="str">
        <f t="shared" si="1"/>
        <v>EQTY.InternacionalUS2.off</v>
      </c>
      <c r="N15" s="171">
        <f t="shared" si="2"/>
        <v>0.49</v>
      </c>
      <c r="O15" s="171">
        <f t="shared" si="3"/>
        <v>0.49</v>
      </c>
    </row>
    <row r="16" spans="5:15">
      <c r="E16" s="169" t="s">
        <v>246</v>
      </c>
      <c r="F16" s="169" t="s">
        <v>222</v>
      </c>
      <c r="G16" s="169" t="s">
        <v>208</v>
      </c>
      <c r="H16" s="169">
        <v>-2610.69</v>
      </c>
      <c r="I16" s="169">
        <v>-2610.69</v>
      </c>
      <c r="K16" s="170" t="str">
        <f t="shared" si="0"/>
        <v>Cash</v>
      </c>
      <c r="L16" s="170" t="str">
        <f>IF(E16="","",IF(COUNTIFS(Table2[[#All],[De (Lote)]],'Input_APM (Zenith)'!F16)&gt;0,INDEX(Table2[[#All],[Para (Ticker Daniel)]],MATCH('Input_APM (Zenith)'!F16,Table2[[#All],[De (Lote)]],0)),'Input_APM (Zenith)'!F16))</f>
        <v>Cash CHF</v>
      </c>
      <c r="M16" s="170" t="str">
        <f t="shared" si="1"/>
        <v>EQTY.IntlUS.off</v>
      </c>
      <c r="N16" s="171">
        <f t="shared" si="2"/>
        <v>-2610.69</v>
      </c>
      <c r="O16" s="171">
        <f t="shared" si="3"/>
        <v>-2610.69</v>
      </c>
    </row>
    <row r="17" spans="5:15">
      <c r="E17" s="169" t="s">
        <v>246</v>
      </c>
      <c r="F17" s="169" t="s">
        <v>223</v>
      </c>
      <c r="G17" s="169" t="s">
        <v>208</v>
      </c>
      <c r="H17" s="169">
        <v>0.16</v>
      </c>
      <c r="I17" s="169">
        <v>0.16</v>
      </c>
      <c r="K17" s="170" t="str">
        <f t="shared" si="0"/>
        <v>Cash</v>
      </c>
      <c r="L17" s="170" t="str">
        <f>IF(E17="","",IF(COUNTIFS(Table2[[#All],[De (Lote)]],'Input_APM (Zenith)'!F17)&gt;0,INDEX(Table2[[#All],[Para (Ticker Daniel)]],MATCH('Input_APM (Zenith)'!F17,Table2[[#All],[De (Lote)]],0)),'Input_APM (Zenith)'!F17))</f>
        <v>Cash CNH</v>
      </c>
      <c r="M17" s="170" t="str">
        <f t="shared" si="1"/>
        <v>EQTY.IntlUS.off</v>
      </c>
      <c r="N17" s="171">
        <f t="shared" si="2"/>
        <v>0.16</v>
      </c>
      <c r="O17" s="171">
        <f t="shared" si="3"/>
        <v>0.16</v>
      </c>
    </row>
    <row r="18" spans="5:15">
      <c r="E18" s="169" t="s">
        <v>246</v>
      </c>
      <c r="F18" s="169" t="s">
        <v>786</v>
      </c>
      <c r="G18" s="169" t="s">
        <v>209</v>
      </c>
      <c r="H18" s="169">
        <v>-0.21</v>
      </c>
      <c r="I18" s="169">
        <v>-0.21</v>
      </c>
      <c r="K18" s="170" t="str">
        <f t="shared" si="0"/>
        <v>Cash</v>
      </c>
      <c r="L18" s="170" t="str">
        <f>IF(E18="","",IF(COUNTIFS(Table2[[#All],[De (Lote)]],'Input_APM (Zenith)'!F18)&gt;0,INDEX(Table2[[#All],[Para (Ticker Daniel)]],MATCH('Input_APM (Zenith)'!F18,Table2[[#All],[De (Lote)]],0)),'Input_APM (Zenith)'!F18))</f>
        <v>Cash CNY</v>
      </c>
      <c r="M18" s="170" t="str">
        <f t="shared" si="1"/>
        <v>EQTY.InternacionalUS2.off</v>
      </c>
      <c r="N18" s="171">
        <f t="shared" si="2"/>
        <v>-0.21</v>
      </c>
      <c r="O18" s="171">
        <f t="shared" si="3"/>
        <v>-0.21</v>
      </c>
    </row>
    <row r="19" spans="5:15">
      <c r="E19" s="169" t="s">
        <v>246</v>
      </c>
      <c r="F19" s="169" t="s">
        <v>786</v>
      </c>
      <c r="G19" s="169" t="s">
        <v>208</v>
      </c>
      <c r="H19" s="169">
        <v>-10000.790000000001</v>
      </c>
      <c r="I19" s="169">
        <v>-10000.790000000001</v>
      </c>
      <c r="K19" s="170" t="str">
        <f t="shared" si="0"/>
        <v>Cash</v>
      </c>
      <c r="L19" s="170" t="str">
        <f>IF(E19="","",IF(COUNTIFS(Table2[[#All],[De (Lote)]],'Input_APM (Zenith)'!F19)&gt;0,INDEX(Table2[[#All],[Para (Ticker Daniel)]],MATCH('Input_APM (Zenith)'!F19,Table2[[#All],[De (Lote)]],0)),'Input_APM (Zenith)'!F19))</f>
        <v>Cash CNY</v>
      </c>
      <c r="M19" s="170" t="str">
        <f t="shared" si="1"/>
        <v>EQTY.IntlUS.off</v>
      </c>
      <c r="N19" s="171">
        <f t="shared" si="2"/>
        <v>-10000.790000000001</v>
      </c>
      <c r="O19" s="171">
        <f t="shared" si="3"/>
        <v>-10000.790000000001</v>
      </c>
    </row>
    <row r="20" spans="5:15">
      <c r="E20" s="169" t="s">
        <v>246</v>
      </c>
      <c r="F20" s="169" t="s">
        <v>224</v>
      </c>
      <c r="G20" s="169" t="s">
        <v>209</v>
      </c>
      <c r="H20" s="169">
        <v>0.47</v>
      </c>
      <c r="I20" s="169">
        <v>0.47</v>
      </c>
      <c r="K20" s="170" t="str">
        <f t="shared" si="0"/>
        <v>Cash</v>
      </c>
      <c r="L20" s="170" t="str">
        <f>IF(E20="","",IF(COUNTIFS(Table2[[#All],[De (Lote)]],'Input_APM (Zenith)'!F20)&gt;0,INDEX(Table2[[#All],[Para (Ticker Daniel)]],MATCH('Input_APM (Zenith)'!F20,Table2[[#All],[De (Lote)]],0)),'Input_APM (Zenith)'!F20))</f>
        <v>Cash EUR</v>
      </c>
      <c r="M20" s="170" t="str">
        <f t="shared" si="1"/>
        <v>EQTY.InternacionalUS2.off</v>
      </c>
      <c r="N20" s="171">
        <f t="shared" si="2"/>
        <v>0.47</v>
      </c>
      <c r="O20" s="171">
        <f t="shared" si="3"/>
        <v>0.47</v>
      </c>
    </row>
    <row r="21" spans="5:15">
      <c r="E21" s="169" t="s">
        <v>246</v>
      </c>
      <c r="F21" s="169" t="s">
        <v>224</v>
      </c>
      <c r="G21" s="169" t="s">
        <v>208</v>
      </c>
      <c r="H21" s="169">
        <v>-6151.5</v>
      </c>
      <c r="I21" s="169">
        <v>3233.9</v>
      </c>
      <c r="K21" s="170" t="str">
        <f t="shared" si="0"/>
        <v>Cash</v>
      </c>
      <c r="L21" s="170" t="str">
        <f>IF(E21="","",IF(COUNTIFS(Table2[[#All],[De (Lote)]],'Input_APM (Zenith)'!F21)&gt;0,INDEX(Table2[[#All],[Para (Ticker Daniel)]],MATCH('Input_APM (Zenith)'!F21,Table2[[#All],[De (Lote)]],0)),'Input_APM (Zenith)'!F21))</f>
        <v>Cash EUR</v>
      </c>
      <c r="M21" s="170" t="str">
        <f t="shared" si="1"/>
        <v>EQTY.IntlUS.off</v>
      </c>
      <c r="N21" s="171">
        <f t="shared" si="2"/>
        <v>-6151.5</v>
      </c>
      <c r="O21" s="171">
        <f t="shared" si="3"/>
        <v>3233.9</v>
      </c>
    </row>
    <row r="22" spans="5:15">
      <c r="E22" s="169" t="s">
        <v>246</v>
      </c>
      <c r="F22" s="169" t="s">
        <v>225</v>
      </c>
      <c r="G22" s="169" t="s">
        <v>208</v>
      </c>
      <c r="H22" s="169">
        <v>0.82</v>
      </c>
      <c r="I22" s="169">
        <v>0.82</v>
      </c>
      <c r="K22" s="170" t="str">
        <f t="shared" si="0"/>
        <v>Cash</v>
      </c>
      <c r="L22" s="170" t="str">
        <f>IF(E22="","",IF(COUNTIFS(Table2[[#All],[De (Lote)]],'Input_APM (Zenith)'!F22)&gt;0,INDEX(Table2[[#All],[Para (Ticker Daniel)]],MATCH('Input_APM (Zenith)'!F22,Table2[[#All],[De (Lote)]],0)),'Input_APM (Zenith)'!F22))</f>
        <v>Cash GBP</v>
      </c>
      <c r="M22" s="170" t="str">
        <f t="shared" si="1"/>
        <v>EQTY.IntlUS.off</v>
      </c>
      <c r="N22" s="171">
        <f t="shared" si="2"/>
        <v>0.82</v>
      </c>
      <c r="O22" s="171">
        <f t="shared" si="3"/>
        <v>0.82</v>
      </c>
    </row>
    <row r="23" spans="5:15">
      <c r="E23" s="169" t="s">
        <v>246</v>
      </c>
      <c r="F23" s="169" t="s">
        <v>226</v>
      </c>
      <c r="G23" s="169" t="s">
        <v>209</v>
      </c>
      <c r="H23" s="169">
        <v>-0.06</v>
      </c>
      <c r="I23" s="169">
        <v>-0.06</v>
      </c>
      <c r="K23" s="170" t="str">
        <f t="shared" si="0"/>
        <v>Cash</v>
      </c>
      <c r="L23" s="170" t="str">
        <f>IF(E23="","",IF(COUNTIFS(Table2[[#All],[De (Lote)]],'Input_APM (Zenith)'!F23)&gt;0,INDEX(Table2[[#All],[Para (Ticker Daniel)]],MATCH('Input_APM (Zenith)'!F23,Table2[[#All],[De (Lote)]],0)),'Input_APM (Zenith)'!F23))</f>
        <v>Cash HKD</v>
      </c>
      <c r="M23" s="170" t="str">
        <f t="shared" si="1"/>
        <v>EQTY.InternacionalUS2.off</v>
      </c>
      <c r="N23" s="171">
        <f t="shared" si="2"/>
        <v>-0.06</v>
      </c>
      <c r="O23" s="171">
        <f t="shared" si="3"/>
        <v>-0.06</v>
      </c>
    </row>
    <row r="24" spans="5:15">
      <c r="E24" s="169" t="s">
        <v>246</v>
      </c>
      <c r="F24" s="169" t="s">
        <v>226</v>
      </c>
      <c r="G24" s="169" t="s">
        <v>208</v>
      </c>
      <c r="H24" s="169">
        <v>-17957.060000000001</v>
      </c>
      <c r="I24" s="169">
        <v>-17957.060000000001</v>
      </c>
      <c r="K24" s="170" t="str">
        <f t="shared" si="0"/>
        <v>Cash</v>
      </c>
      <c r="L24" s="170" t="str">
        <f>IF(E24="","",IF(COUNTIFS(Table2[[#All],[De (Lote)]],'Input_APM (Zenith)'!F24)&gt;0,INDEX(Table2[[#All],[Para (Ticker Daniel)]],MATCH('Input_APM (Zenith)'!F24,Table2[[#All],[De (Lote)]],0)),'Input_APM (Zenith)'!F24))</f>
        <v>Cash HKD</v>
      </c>
      <c r="M24" s="170" t="str">
        <f t="shared" si="1"/>
        <v>EQTY.IntlUS.off</v>
      </c>
      <c r="N24" s="171">
        <f t="shared" si="2"/>
        <v>-17957.060000000001</v>
      </c>
      <c r="O24" s="171">
        <f t="shared" si="3"/>
        <v>-17957.060000000001</v>
      </c>
    </row>
    <row r="25" spans="5:15">
      <c r="E25" s="169" t="s">
        <v>246</v>
      </c>
      <c r="F25" s="169" t="s">
        <v>227</v>
      </c>
      <c r="G25" s="169" t="s">
        <v>208</v>
      </c>
      <c r="H25" s="169">
        <v>-0.01</v>
      </c>
      <c r="I25" s="169">
        <v>-0.01</v>
      </c>
      <c r="K25" s="170" t="str">
        <f t="shared" si="0"/>
        <v>Cash</v>
      </c>
      <c r="L25" s="170" t="str">
        <f>IF(E25="","",IF(COUNTIFS(Table2[[#All],[De (Lote)]],'Input_APM (Zenith)'!F25)&gt;0,INDEX(Table2[[#All],[Para (Ticker Daniel)]],MATCH('Input_APM (Zenith)'!F25,Table2[[#All],[De (Lote)]],0)),'Input_APM (Zenith)'!F25))</f>
        <v>Cash KRW</v>
      </c>
      <c r="M25" s="170" t="str">
        <f t="shared" si="1"/>
        <v>EQTY.IntlUS.off</v>
      </c>
      <c r="N25" s="171">
        <f t="shared" si="2"/>
        <v>-0.01</v>
      </c>
      <c r="O25" s="171">
        <f t="shared" si="3"/>
        <v>-0.01</v>
      </c>
    </row>
    <row r="26" spans="5:15">
      <c r="E26" s="169" t="s">
        <v>246</v>
      </c>
      <c r="F26" s="169" t="s">
        <v>228</v>
      </c>
      <c r="G26" s="169" t="s">
        <v>208</v>
      </c>
      <c r="H26" s="169">
        <v>-46705.366144090003</v>
      </c>
      <c r="I26" s="169">
        <v>-1404.9961440899999</v>
      </c>
      <c r="K26" s="170" t="str">
        <f t="shared" si="0"/>
        <v>Cash</v>
      </c>
      <c r="L26" s="170" t="str">
        <f>IF(E26="","",IF(COUNTIFS(Table2[[#All],[De (Lote)]],'Input_APM (Zenith)'!F26)&gt;0,INDEX(Table2[[#All],[Para (Ticker Daniel)]],MATCH('Input_APM (Zenith)'!F26,Table2[[#All],[De (Lote)]],0)),'Input_APM (Zenith)'!F26))</f>
        <v>Cash USD</v>
      </c>
      <c r="M26" s="170" t="str">
        <f t="shared" si="1"/>
        <v>EQTY.IntlUS.off</v>
      </c>
      <c r="N26" s="171">
        <f t="shared" si="2"/>
        <v>-46705.366144090003</v>
      </c>
      <c r="O26" s="171">
        <f t="shared" si="3"/>
        <v>-1404.9961440899999</v>
      </c>
    </row>
    <row r="27" spans="5:15">
      <c r="E27" s="169" t="s">
        <v>336</v>
      </c>
      <c r="F27" s="169" t="s">
        <v>571</v>
      </c>
      <c r="G27" s="169" t="s">
        <v>208</v>
      </c>
      <c r="H27" s="169">
        <v>375000</v>
      </c>
      <c r="I27" s="169">
        <v>375000</v>
      </c>
      <c r="K27" s="170" t="str">
        <f t="shared" si="0"/>
        <v>CDS</v>
      </c>
      <c r="L27" s="170" t="str">
        <f>IF(E27="","",IF(COUNTIFS(Table2[[#All],[De (Lote)]],'Input_APM (Zenith)'!F27)&gt;0,INDEX(Table2[[#All],[Para (Ticker Daniel)]],MATCH('Input_APM (Zenith)'!F27,Table2[[#All],[De (Lote)]],0)),'Input_APM (Zenith)'!F27))</f>
        <v>CHINAGOV 12/20/30</v>
      </c>
      <c r="M27" s="170" t="str">
        <f t="shared" si="1"/>
        <v>EQTY.IntlUS.off</v>
      </c>
      <c r="N27" s="171">
        <f t="shared" si="2"/>
        <v>375000</v>
      </c>
      <c r="O27" s="171">
        <f t="shared" si="3"/>
        <v>375000</v>
      </c>
    </row>
    <row r="28" spans="5:15">
      <c r="E28" s="169" t="s">
        <v>242</v>
      </c>
      <c r="F28" s="169" t="s">
        <v>892</v>
      </c>
      <c r="G28" s="169" t="s">
        <v>208</v>
      </c>
      <c r="H28" s="169">
        <v>1892</v>
      </c>
      <c r="I28" s="169">
        <v>1645</v>
      </c>
      <c r="K28" s="170" t="str">
        <f t="shared" si="0"/>
        <v>US Equity</v>
      </c>
      <c r="L28" s="170" t="str">
        <f>IF(E28="","",IF(COUNTIFS(Table2[[#All],[De (Lote)]],'Input_APM (Zenith)'!F28)&gt;0,INDEX(Table2[[#All],[Para (Ticker Daniel)]],MATCH('Input_APM (Zenith)'!F28,Table2[[#All],[De (Lote)]],0)),'Input_APM (Zenith)'!F28))</f>
        <v>CSCO</v>
      </c>
      <c r="M28" s="170" t="str">
        <f t="shared" si="1"/>
        <v>EQTY.IntlUS.off</v>
      </c>
      <c r="N28" s="171">
        <f t="shared" si="2"/>
        <v>1892</v>
      </c>
      <c r="O28" s="171">
        <f t="shared" si="3"/>
        <v>1645</v>
      </c>
    </row>
    <row r="29" spans="5:15">
      <c r="E29" s="169" t="s">
        <v>244</v>
      </c>
      <c r="F29" s="169" t="s">
        <v>1050</v>
      </c>
      <c r="G29" s="169" t="s">
        <v>208</v>
      </c>
      <c r="H29" s="169">
        <v>-60</v>
      </c>
      <c r="I29" s="169">
        <v>-60</v>
      </c>
      <c r="K29" s="170" t="str">
        <f t="shared" si="0"/>
        <v>US Equity Options</v>
      </c>
      <c r="L29" s="170" t="str">
        <f>IF(E29="","",IF(COUNTIFS(Table2[[#All],[De (Lote)]],'Input_APM (Zenith)'!F29)&gt;0,INDEX(Table2[[#All],[Para (Ticker Daniel)]],MATCH('Input_APM (Zenith)'!F29,Table2[[#All],[De (Lote)]],0)),'Input_APM (Zenith)'!F29))</f>
        <v>CSCO US 04/17/26 C100</v>
      </c>
      <c r="M29" s="170" t="str">
        <f t="shared" si="1"/>
        <v>EQTY.IntlUS.off</v>
      </c>
      <c r="N29" s="171">
        <f t="shared" si="2"/>
        <v>-60</v>
      </c>
      <c r="O29" s="171">
        <f t="shared" si="3"/>
        <v>-60</v>
      </c>
    </row>
    <row r="30" spans="5:15">
      <c r="E30" s="169" t="s">
        <v>244</v>
      </c>
      <c r="F30" s="169" t="s">
        <v>1051</v>
      </c>
      <c r="G30" s="169" t="s">
        <v>208</v>
      </c>
      <c r="H30" s="169">
        <v>60</v>
      </c>
      <c r="I30" s="169">
        <v>60</v>
      </c>
      <c r="K30" s="170" t="str">
        <f t="shared" si="0"/>
        <v>US Equity Options</v>
      </c>
      <c r="L30" s="170" t="str">
        <f>IF(E30="","",IF(COUNTIFS(Table2[[#All],[De (Lote)]],'Input_APM (Zenith)'!F30)&gt;0,INDEX(Table2[[#All],[Para (Ticker Daniel)]],MATCH('Input_APM (Zenith)'!F30,Table2[[#All],[De (Lote)]],0)),'Input_APM (Zenith)'!F30))</f>
        <v>CSCO US 04/17/26 C95</v>
      </c>
      <c r="M30" s="170" t="str">
        <f t="shared" si="1"/>
        <v>EQTY.IntlUS.off</v>
      </c>
      <c r="N30" s="171">
        <f t="shared" si="2"/>
        <v>60</v>
      </c>
      <c r="O30" s="171">
        <f t="shared" si="3"/>
        <v>60</v>
      </c>
    </row>
    <row r="31" spans="5:15">
      <c r="E31" s="169" t="s">
        <v>244</v>
      </c>
      <c r="F31" s="169" t="s">
        <v>1078</v>
      </c>
      <c r="G31" s="169" t="s">
        <v>208</v>
      </c>
      <c r="H31" s="169">
        <v>-30</v>
      </c>
      <c r="I31" s="169">
        <v>-30</v>
      </c>
      <c r="K31" s="170" t="str">
        <f t="shared" si="0"/>
        <v>US Equity Options</v>
      </c>
      <c r="L31" s="170" t="str">
        <f>IF(E31="","",IF(COUNTIFS(Table2[[#All],[De (Lote)]],'Input_APM (Zenith)'!F31)&gt;0,INDEX(Table2[[#All],[Para (Ticker Daniel)]],MATCH('Input_APM (Zenith)'!F31,Table2[[#All],[De (Lote)]],0)),'Input_APM (Zenith)'!F31))</f>
        <v>CSCO US 07/17/26 C100</v>
      </c>
      <c r="M31" s="170" t="str">
        <f t="shared" si="1"/>
        <v>EQTY.IntlUS.off</v>
      </c>
      <c r="N31" s="171">
        <f t="shared" si="2"/>
        <v>-30</v>
      </c>
      <c r="O31" s="171">
        <f t="shared" si="3"/>
        <v>-30</v>
      </c>
    </row>
    <row r="32" spans="5:15">
      <c r="E32" s="169" t="s">
        <v>244</v>
      </c>
      <c r="F32" s="169" t="s">
        <v>1077</v>
      </c>
      <c r="G32" s="169" t="s">
        <v>208</v>
      </c>
      <c r="H32" s="169">
        <v>0</v>
      </c>
      <c r="I32" s="169">
        <v>30</v>
      </c>
      <c r="K32" s="170" t="str">
        <f t="shared" si="0"/>
        <v>US Equity Options</v>
      </c>
      <c r="L32" s="170" t="str">
        <f>IF(E32="","",IF(COUNTIFS(Table2[[#All],[De (Lote)]],'Input_APM (Zenith)'!F32)&gt;0,INDEX(Table2[[#All],[Para (Ticker Daniel)]],MATCH('Input_APM (Zenith)'!F32,Table2[[#All],[De (Lote)]],0)),'Input_APM (Zenith)'!F32))</f>
        <v>CSCO US 07/17/26 C95</v>
      </c>
      <c r="M32" s="170" t="str">
        <f t="shared" si="1"/>
        <v>EQTY.IntlUS.off</v>
      </c>
      <c r="N32" s="171">
        <f t="shared" si="2"/>
        <v>0</v>
      </c>
      <c r="O32" s="171">
        <f t="shared" si="3"/>
        <v>30</v>
      </c>
    </row>
    <row r="33" spans="5:15">
      <c r="E33" s="169" t="s">
        <v>1053</v>
      </c>
      <c r="F33" s="169" t="s">
        <v>1047</v>
      </c>
      <c r="G33" s="169" t="s">
        <v>208</v>
      </c>
      <c r="H33" s="169">
        <v>122</v>
      </c>
      <c r="I33" s="169">
        <v>122</v>
      </c>
      <c r="K33" s="170" t="str">
        <f t="shared" si="0"/>
        <v>EUR Equity</v>
      </c>
      <c r="L33" s="170" t="str">
        <f>IF(E33="","",IF(COUNTIFS(Table2[[#All],[De (Lote)]],'Input_APM (Zenith)'!F33)&gt;0,INDEX(Table2[[#All],[Para (Ticker Daniel)]],MATCH('Input_APM (Zenith)'!F33,Table2[[#All],[De (Lote)]],0)),'Input_APM (Zenith)'!F33))</f>
        <v>ENR GY</v>
      </c>
      <c r="M33" s="170" t="str">
        <f t="shared" si="1"/>
        <v>EQTY.IntlUS.off</v>
      </c>
      <c r="N33" s="171">
        <f t="shared" si="2"/>
        <v>122</v>
      </c>
      <c r="O33" s="171">
        <f t="shared" si="3"/>
        <v>122</v>
      </c>
    </row>
    <row r="34" spans="5:15">
      <c r="E34" s="169" t="s">
        <v>245</v>
      </c>
      <c r="F34" s="169" t="s">
        <v>425</v>
      </c>
      <c r="G34" s="169" t="s">
        <v>208</v>
      </c>
      <c r="H34" s="169">
        <v>2480</v>
      </c>
      <c r="I34" s="169">
        <v>1997</v>
      </c>
      <c r="K34" s="170" t="str">
        <f t="shared" si="0"/>
        <v>ETF</v>
      </c>
      <c r="L34" s="170" t="str">
        <f>IF(E34="","",IF(COUNTIFS(Table2[[#All],[De (Lote)]],'Input_APM (Zenith)'!F34)&gt;0,INDEX(Table2[[#All],[Para (Ticker Daniel)]],MATCH('Input_APM (Zenith)'!F34,Table2[[#All],[De (Lote)]],0)),'Input_APM (Zenith)'!F34))</f>
        <v>EWY</v>
      </c>
      <c r="M34" s="170" t="str">
        <f t="shared" si="1"/>
        <v>EQTY.IntlUS.off</v>
      </c>
      <c r="N34" s="171">
        <f t="shared" si="2"/>
        <v>2480</v>
      </c>
      <c r="O34" s="171">
        <f t="shared" si="3"/>
        <v>1997</v>
      </c>
    </row>
    <row r="35" spans="5:15">
      <c r="E35" s="169" t="s">
        <v>245</v>
      </c>
      <c r="F35" s="169" t="s">
        <v>78</v>
      </c>
      <c r="G35" s="169" t="s">
        <v>208</v>
      </c>
      <c r="H35" s="169">
        <v>2050</v>
      </c>
      <c r="I35" s="169">
        <v>1854</v>
      </c>
      <c r="K35" s="170" t="str">
        <f t="shared" si="0"/>
        <v>ETF</v>
      </c>
      <c r="L35" s="170" t="str">
        <f>IF(E35="","",IF(COUNTIFS(Table2[[#All],[De (Lote)]],'Input_APM (Zenith)'!F35)&gt;0,INDEX(Table2[[#All],[Para (Ticker Daniel)]],MATCH('Input_APM (Zenith)'!F35,Table2[[#All],[De (Lote)]],0)),'Input_APM (Zenith)'!F35))</f>
        <v xml:space="preserve">GDX </v>
      </c>
      <c r="M35" s="170" t="str">
        <f t="shared" si="1"/>
        <v>EQTY.IntlUS.off</v>
      </c>
      <c r="N35" s="171">
        <f t="shared" si="2"/>
        <v>2050</v>
      </c>
      <c r="O35" s="171">
        <f t="shared" si="3"/>
        <v>1854</v>
      </c>
    </row>
    <row r="36" spans="5:15">
      <c r="E36" s="169" t="s">
        <v>248</v>
      </c>
      <c r="F36" s="169" t="s">
        <v>837</v>
      </c>
      <c r="G36" s="169" t="s">
        <v>208</v>
      </c>
      <c r="H36" s="169">
        <v>53</v>
      </c>
      <c r="I36" s="169">
        <v>53</v>
      </c>
      <c r="K36" s="170" t="str">
        <f t="shared" si="0"/>
        <v>ETF Options</v>
      </c>
      <c r="L36" s="170" t="str">
        <f>IF(E36="","",IF(COUNTIFS(Table2[[#All],[De (Lote)]],'Input_APM (Zenith)'!F36)&gt;0,INDEX(Table2[[#All],[Para (Ticker Daniel)]],MATCH('Input_APM (Zenith)'!F36,Table2[[#All],[De (Lote)]],0)),'Input_APM (Zenith)'!F36))</f>
        <v>GDX US 09/18/26 C105</v>
      </c>
      <c r="M36" s="170" t="str">
        <f t="shared" si="1"/>
        <v>EQTY.IntlUS.off</v>
      </c>
      <c r="N36" s="171">
        <f t="shared" si="2"/>
        <v>53</v>
      </c>
      <c r="O36" s="171">
        <f t="shared" si="3"/>
        <v>53</v>
      </c>
    </row>
    <row r="37" spans="5:15">
      <c r="E37" s="169" t="s">
        <v>248</v>
      </c>
      <c r="F37" s="169" t="s">
        <v>838</v>
      </c>
      <c r="G37" s="169" t="s">
        <v>208</v>
      </c>
      <c r="H37" s="169">
        <v>-53</v>
      </c>
      <c r="I37" s="169">
        <v>-53</v>
      </c>
      <c r="K37" s="170" t="str">
        <f t="shared" si="0"/>
        <v>ETF Options</v>
      </c>
      <c r="L37" s="170" t="str">
        <f>IF(E37="","",IF(COUNTIFS(Table2[[#All],[De (Lote)]],'Input_APM (Zenith)'!F37)&gt;0,INDEX(Table2[[#All],[Para (Ticker Daniel)]],MATCH('Input_APM (Zenith)'!F37,Table2[[#All],[De (Lote)]],0)),'Input_APM (Zenith)'!F37))</f>
        <v>GDX US 09/18/26 C115</v>
      </c>
      <c r="M37" s="170" t="str">
        <f t="shared" si="1"/>
        <v>EQTY.IntlUS.off</v>
      </c>
      <c r="N37" s="171">
        <f t="shared" si="2"/>
        <v>-53</v>
      </c>
      <c r="O37" s="171">
        <f t="shared" si="3"/>
        <v>-53</v>
      </c>
    </row>
    <row r="38" spans="5:15">
      <c r="E38" s="169" t="s">
        <v>242</v>
      </c>
      <c r="F38" s="169" t="s">
        <v>1037</v>
      </c>
      <c r="G38" s="169" t="s">
        <v>208</v>
      </c>
      <c r="H38" s="169">
        <v>59</v>
      </c>
      <c r="I38" s="169">
        <v>59</v>
      </c>
      <c r="K38" s="170" t="str">
        <f t="shared" si="0"/>
        <v>US Equity</v>
      </c>
      <c r="L38" s="170" t="str">
        <f>IF(E38="","",IF(COUNTIFS(Table2[[#All],[De (Lote)]],'Input_APM (Zenith)'!F38)&gt;0,INDEX(Table2[[#All],[Para (Ticker Daniel)]],MATCH('Input_APM (Zenith)'!F38,Table2[[#All],[De (Lote)]],0)),'Input_APM (Zenith)'!F38))</f>
        <v>GEV</v>
      </c>
      <c r="M38" s="170" t="str">
        <f t="shared" si="1"/>
        <v>EQTY.IntlUS.off</v>
      </c>
      <c r="N38" s="171">
        <f t="shared" si="2"/>
        <v>59</v>
      </c>
      <c r="O38" s="171">
        <f t="shared" si="3"/>
        <v>59</v>
      </c>
    </row>
    <row r="39" spans="5:15">
      <c r="E39" s="169" t="s">
        <v>242</v>
      </c>
      <c r="F39" s="169" t="s">
        <v>807</v>
      </c>
      <c r="G39" s="169" t="s">
        <v>208</v>
      </c>
      <c r="H39" s="169">
        <v>148</v>
      </c>
      <c r="I39" s="169">
        <v>148</v>
      </c>
      <c r="K39" s="170" t="str">
        <f t="shared" si="0"/>
        <v>US Equity</v>
      </c>
      <c r="L39" s="170" t="str">
        <f>IF(E39="","",IF(COUNTIFS(Table2[[#All],[De (Lote)]],'Input_APM (Zenith)'!F39)&gt;0,INDEX(Table2[[#All],[Para (Ticker Daniel)]],MATCH('Input_APM (Zenith)'!F39,Table2[[#All],[De (Lote)]],0)),'Input_APM (Zenith)'!F39))</f>
        <v>GOOG</v>
      </c>
      <c r="M39" s="170" t="str">
        <f t="shared" si="1"/>
        <v>EQTY.IntlUS.off</v>
      </c>
      <c r="N39" s="171">
        <f t="shared" si="2"/>
        <v>148</v>
      </c>
      <c r="O39" s="171">
        <f t="shared" si="3"/>
        <v>148</v>
      </c>
    </row>
    <row r="40" spans="5:15">
      <c r="E40" s="169" t="s">
        <v>249</v>
      </c>
      <c r="F40" s="169" t="s">
        <v>561</v>
      </c>
      <c r="G40" s="169" t="s">
        <v>208</v>
      </c>
      <c r="H40" s="169">
        <v>19314</v>
      </c>
      <c r="I40" s="169">
        <v>19314</v>
      </c>
      <c r="K40" s="170" t="str">
        <f t="shared" si="0"/>
        <v>Basket Index Options</v>
      </c>
      <c r="L40" s="170" t="str">
        <f>IF(E40="","",IF(COUNTIFS(Table2[[#All],[De (Lote)]],'Input_APM (Zenith)'!F40)&gt;0,INDEX(Table2[[#All],[Para (Ticker Daniel)]],MATCH('Input_APM (Zenith)'!F40,Table2[[#All],[De (Lote)]],0)),'Input_APM (Zenith)'!F40))</f>
        <v>GSC1000P 03/20/26 C104</v>
      </c>
      <c r="M40" s="170" t="str">
        <f t="shared" si="1"/>
        <v>EQTY.IntlUS.off</v>
      </c>
      <c r="N40" s="171">
        <f t="shared" si="2"/>
        <v>19314</v>
      </c>
      <c r="O40" s="171">
        <f t="shared" si="3"/>
        <v>19314</v>
      </c>
    </row>
    <row r="41" spans="5:15">
      <c r="E41" s="169" t="s">
        <v>249</v>
      </c>
      <c r="F41" s="169" t="s">
        <v>562</v>
      </c>
      <c r="G41" s="169" t="s">
        <v>208</v>
      </c>
      <c r="H41" s="169">
        <v>-19314</v>
      </c>
      <c r="I41" s="169">
        <v>-19314</v>
      </c>
      <c r="K41" s="170" t="str">
        <f t="shared" si="0"/>
        <v>Basket Index Options</v>
      </c>
      <c r="L41" s="170" t="str">
        <f>IF(E41="","",IF(COUNTIFS(Table2[[#All],[De (Lote)]],'Input_APM (Zenith)'!F41)&gt;0,INDEX(Table2[[#All],[Para (Ticker Daniel)]],MATCH('Input_APM (Zenith)'!F41,Table2[[#All],[De (Lote)]],0)),'Input_APM (Zenith)'!F41))</f>
        <v>GSC1000P 03/20/26 C119</v>
      </c>
      <c r="M41" s="170" t="str">
        <f t="shared" si="1"/>
        <v>EQTY.IntlUS.off</v>
      </c>
      <c r="N41" s="171">
        <f t="shared" si="2"/>
        <v>-19314</v>
      </c>
      <c r="O41" s="171">
        <f t="shared" si="3"/>
        <v>-19314</v>
      </c>
    </row>
    <row r="42" spans="5:15">
      <c r="E42" s="169" t="s">
        <v>242</v>
      </c>
      <c r="F42" s="169" t="s">
        <v>342</v>
      </c>
      <c r="G42" s="169" t="s">
        <v>208</v>
      </c>
      <c r="H42" s="169">
        <v>-61</v>
      </c>
      <c r="I42" s="169">
        <v>-121</v>
      </c>
      <c r="K42" s="170" t="str">
        <f t="shared" si="0"/>
        <v>US Equity</v>
      </c>
      <c r="L42" s="170" t="str">
        <f>IF(E42="","",IF(COUNTIFS(Table2[[#All],[De (Lote)]],'Input_APM (Zenith)'!F42)&gt;0,INDEX(Table2[[#All],[Para (Ticker Daniel)]],MATCH('Input_APM (Zenith)'!F42,Table2[[#All],[De (Lote)]],0)),'Input_APM (Zenith)'!F42))</f>
        <v>INTC</v>
      </c>
      <c r="M42" s="170" t="str">
        <f t="shared" si="1"/>
        <v>EQTY.IntlUS.off</v>
      </c>
      <c r="N42" s="171">
        <f t="shared" si="2"/>
        <v>-61</v>
      </c>
      <c r="O42" s="171">
        <f t="shared" si="3"/>
        <v>-121</v>
      </c>
    </row>
    <row r="43" spans="5:15">
      <c r="E43" s="169" t="s">
        <v>244</v>
      </c>
      <c r="F43" s="169" t="s">
        <v>879</v>
      </c>
      <c r="G43" s="169" t="s">
        <v>208</v>
      </c>
      <c r="H43" s="169">
        <v>16</v>
      </c>
      <c r="I43" s="169">
        <v>16</v>
      </c>
      <c r="K43" s="170" t="str">
        <f t="shared" si="0"/>
        <v>US Equity Options</v>
      </c>
      <c r="L43" s="170" t="str">
        <f>IF(E43="","",IF(COUNTIFS(Table2[[#All],[De (Lote)]],'Input_APM (Zenith)'!F43)&gt;0,INDEX(Table2[[#All],[Para (Ticker Daniel)]],MATCH('Input_APM (Zenith)'!F43,Table2[[#All],[De (Lote)]],0)),'Input_APM (Zenith)'!F43))</f>
        <v>INTC US 07/17/26 C50</v>
      </c>
      <c r="M43" s="170" t="str">
        <f t="shared" si="1"/>
        <v>EQTY.IntlUS.off</v>
      </c>
      <c r="N43" s="171">
        <f t="shared" si="2"/>
        <v>16</v>
      </c>
      <c r="O43" s="171">
        <f t="shared" si="3"/>
        <v>16</v>
      </c>
    </row>
    <row r="44" spans="5:15">
      <c r="E44" s="169" t="s">
        <v>245</v>
      </c>
      <c r="F44" s="169" t="s">
        <v>6</v>
      </c>
      <c r="G44" s="169" t="s">
        <v>208</v>
      </c>
      <c r="H44" s="169">
        <v>918</v>
      </c>
      <c r="I44" s="169">
        <v>918</v>
      </c>
      <c r="K44" s="170" t="str">
        <f t="shared" si="0"/>
        <v>ETF</v>
      </c>
      <c r="L44" s="170" t="str">
        <f>IF(E44="","",IF(COUNTIFS(Table2[[#All],[De (Lote)]],'Input_APM (Zenith)'!F44)&gt;0,INDEX(Table2[[#All],[Para (Ticker Daniel)]],MATCH('Input_APM (Zenith)'!F44,Table2[[#All],[De (Lote)]],0)),'Input_APM (Zenith)'!F44))</f>
        <v>KBWB</v>
      </c>
      <c r="M44" s="170" t="str">
        <f t="shared" si="1"/>
        <v>EQTY.IntlUS.off</v>
      </c>
      <c r="N44" s="171">
        <f t="shared" si="2"/>
        <v>918</v>
      </c>
      <c r="O44" s="171">
        <f t="shared" si="3"/>
        <v>918</v>
      </c>
    </row>
    <row r="45" spans="5:15">
      <c r="E45" s="169" t="s">
        <v>242</v>
      </c>
      <c r="F45" s="169" t="s">
        <v>839</v>
      </c>
      <c r="G45" s="169" t="s">
        <v>208</v>
      </c>
      <c r="H45" s="169">
        <v>-658</v>
      </c>
      <c r="I45" s="169">
        <v>-658</v>
      </c>
      <c r="K45" s="170" t="str">
        <f t="shared" si="0"/>
        <v>US Equity</v>
      </c>
      <c r="L45" s="170" t="str">
        <f>IF(E45="","",IF(COUNTIFS(Table2[[#All],[De (Lote)]],'Input_APM (Zenith)'!F45)&gt;0,INDEX(Table2[[#All],[Para (Ticker Daniel)]],MATCH('Input_APM (Zenith)'!F45,Table2[[#All],[De (Lote)]],0)),'Input_APM (Zenith)'!F45))</f>
        <v>KHC</v>
      </c>
      <c r="M45" s="170" t="str">
        <f t="shared" si="1"/>
        <v>EQTY.IntlUS.off</v>
      </c>
      <c r="N45" s="171">
        <f t="shared" si="2"/>
        <v>-658</v>
      </c>
      <c r="O45" s="171">
        <f t="shared" si="3"/>
        <v>-658</v>
      </c>
    </row>
    <row r="46" spans="5:15">
      <c r="E46" s="169" t="s">
        <v>876</v>
      </c>
      <c r="F46" s="169" t="s">
        <v>862</v>
      </c>
      <c r="G46" s="169" t="s">
        <v>208</v>
      </c>
      <c r="H46" s="169">
        <v>685255</v>
      </c>
      <c r="I46" s="169">
        <v>685255</v>
      </c>
      <c r="K46" s="170" t="str">
        <f t="shared" si="0"/>
        <v>KOSPI 200 Index Options - KRX</v>
      </c>
      <c r="L46" s="170" t="str">
        <f>IF(E46="","",IF(COUNTIFS(Table2[[#All],[De (Lote)]],'Input_APM (Zenith)'!F46)&gt;0,INDEX(Table2[[#All],[Para (Ticker Daniel)]],MATCH('Input_APM (Zenith)'!F46,Table2[[#All],[De (Lote)]],0)),'Input_APM (Zenith)'!F46))</f>
        <v>KOSPI2 12/10/26 C1000</v>
      </c>
      <c r="M46" s="170" t="str">
        <f t="shared" si="1"/>
        <v>EQTY.IntlUS.off</v>
      </c>
      <c r="N46" s="171">
        <f t="shared" si="2"/>
        <v>685255</v>
      </c>
      <c r="O46" s="171">
        <f t="shared" si="3"/>
        <v>685255</v>
      </c>
    </row>
    <row r="47" spans="5:15">
      <c r="E47" s="169" t="s">
        <v>242</v>
      </c>
      <c r="F47" s="169" t="s">
        <v>728</v>
      </c>
      <c r="G47" s="169" t="s">
        <v>208</v>
      </c>
      <c r="H47" s="169">
        <v>244</v>
      </c>
      <c r="I47" s="169">
        <v>242</v>
      </c>
      <c r="K47" s="170" t="str">
        <f t="shared" si="0"/>
        <v>US Equity</v>
      </c>
      <c r="L47" s="170" t="str">
        <f>IF(E47="","",IF(COUNTIFS(Table2[[#All],[De (Lote)]],'Input_APM (Zenith)'!F47)&gt;0,INDEX(Table2[[#All],[Para (Ticker Daniel)]],MATCH('Input_APM (Zenith)'!F47,Table2[[#All],[De (Lote)]],0)),'Input_APM (Zenith)'!F47))</f>
        <v>LITE</v>
      </c>
      <c r="M47" s="170" t="str">
        <f t="shared" si="1"/>
        <v>EQTY.IntlUS.off</v>
      </c>
      <c r="N47" s="171">
        <f t="shared" si="2"/>
        <v>244</v>
      </c>
      <c r="O47" s="171">
        <f t="shared" si="3"/>
        <v>242</v>
      </c>
    </row>
    <row r="48" spans="5:15">
      <c r="E48" s="169" t="s">
        <v>244</v>
      </c>
      <c r="F48" s="169" t="s">
        <v>1045</v>
      </c>
      <c r="G48" s="169" t="s">
        <v>208</v>
      </c>
      <c r="H48" s="169">
        <v>8</v>
      </c>
      <c r="I48" s="169">
        <v>8</v>
      </c>
      <c r="K48" s="170" t="str">
        <f t="shared" si="0"/>
        <v>US Equity Options</v>
      </c>
      <c r="L48" s="170" t="str">
        <f>IF(E48="","",IF(COUNTIFS(Table2[[#All],[De (Lote)]],'Input_APM (Zenith)'!F48)&gt;0,INDEX(Table2[[#All],[Para (Ticker Daniel)]],MATCH('Input_APM (Zenith)'!F48,Table2[[#All],[De (Lote)]],0)),'Input_APM (Zenith)'!F48))</f>
        <v>LITE US 06/18/26 C600</v>
      </c>
      <c r="M48" s="170" t="str">
        <f t="shared" si="1"/>
        <v>EQTY.IntlUS.off</v>
      </c>
      <c r="N48" s="171">
        <f t="shared" si="2"/>
        <v>8</v>
      </c>
      <c r="O48" s="171">
        <f t="shared" si="3"/>
        <v>8</v>
      </c>
    </row>
    <row r="49" spans="5:15">
      <c r="E49" s="169" t="s">
        <v>244</v>
      </c>
      <c r="F49" s="169" t="s">
        <v>1046</v>
      </c>
      <c r="G49" s="169" t="s">
        <v>208</v>
      </c>
      <c r="H49" s="169">
        <v>-7</v>
      </c>
      <c r="I49" s="169">
        <v>-7</v>
      </c>
      <c r="K49" s="170" t="str">
        <f t="shared" si="0"/>
        <v>US Equity Options</v>
      </c>
      <c r="L49" s="170" t="str">
        <f>IF(E49="","",IF(COUNTIFS(Table2[[#All],[De (Lote)]],'Input_APM (Zenith)'!F49)&gt;0,INDEX(Table2[[#All],[Para (Ticker Daniel)]],MATCH('Input_APM (Zenith)'!F49,Table2[[#All],[De (Lote)]],0)),'Input_APM (Zenith)'!F49))</f>
        <v>LITE US 06/18/26 C720</v>
      </c>
      <c r="M49" s="170" t="str">
        <f t="shared" si="1"/>
        <v>EQTY.IntlUS.off</v>
      </c>
      <c r="N49" s="171">
        <f t="shared" si="2"/>
        <v>-7</v>
      </c>
      <c r="O49" s="171">
        <f t="shared" si="3"/>
        <v>-7</v>
      </c>
    </row>
    <row r="50" spans="5:15">
      <c r="E50" s="169" t="s">
        <v>335</v>
      </c>
      <c r="F50" s="169" t="s">
        <v>937</v>
      </c>
      <c r="G50" s="169" t="s">
        <v>208</v>
      </c>
      <c r="H50" s="169">
        <v>-628000</v>
      </c>
      <c r="I50" s="169">
        <v>-628000</v>
      </c>
      <c r="K50" s="170" t="str">
        <f t="shared" si="0"/>
        <v>Global Bonds</v>
      </c>
      <c r="L50" s="170" t="str">
        <f>IF(E50="","",IF(COUNTIFS(Table2[[#All],[De (Lote)]],'Input_APM (Zenith)'!F50)&gt;0,INDEX(Table2[[#All],[Para (Ticker Daniel)]],MATCH('Input_APM (Zenith)'!F50,Table2[[#All],[De (Lote)]],0)),'Input_APM (Zenith)'!F50))</f>
        <v>META 4.875% 11/15/35</v>
      </c>
      <c r="M50" s="170" t="str">
        <f t="shared" si="1"/>
        <v>EQTY.IntlUS.off</v>
      </c>
      <c r="N50" s="171">
        <f t="shared" si="2"/>
        <v>-628000</v>
      </c>
      <c r="O50" s="171">
        <f t="shared" si="3"/>
        <v>-628000</v>
      </c>
    </row>
    <row r="51" spans="5:15">
      <c r="E51" s="169" t="s">
        <v>242</v>
      </c>
      <c r="F51" s="169" t="s">
        <v>250</v>
      </c>
      <c r="G51" s="169" t="s">
        <v>208</v>
      </c>
      <c r="H51" s="169">
        <v>490</v>
      </c>
      <c r="I51" s="169">
        <v>490</v>
      </c>
      <c r="K51" s="170" t="str">
        <f t="shared" si="0"/>
        <v>US Equity</v>
      </c>
      <c r="L51" s="170" t="str">
        <f>IF(E51="","",IF(COUNTIFS(Table2[[#All],[De (Lote)]],'Input_APM (Zenith)'!F51)&gt;0,INDEX(Table2[[#All],[Para (Ticker Daniel)]],MATCH('Input_APM (Zenith)'!F51,Table2[[#All],[De (Lote)]],0)),'Input_APM (Zenith)'!F51))</f>
        <v>META</v>
      </c>
      <c r="M51" s="170" t="str">
        <f t="shared" si="1"/>
        <v>EQTY.IntlUS.off</v>
      </c>
      <c r="N51" s="171">
        <f t="shared" si="2"/>
        <v>490</v>
      </c>
      <c r="O51" s="171">
        <f t="shared" si="3"/>
        <v>490</v>
      </c>
    </row>
    <row r="52" spans="5:15">
      <c r="E52" s="169" t="s">
        <v>244</v>
      </c>
      <c r="F52" s="169" t="s">
        <v>957</v>
      </c>
      <c r="G52" s="169" t="s">
        <v>208</v>
      </c>
      <c r="H52" s="169">
        <v>9</v>
      </c>
      <c r="I52" s="169">
        <v>9</v>
      </c>
      <c r="K52" s="170" t="str">
        <f t="shared" si="0"/>
        <v>US Equity Options</v>
      </c>
      <c r="L52" s="170" t="str">
        <f>IF(E52="","",IF(COUNTIFS(Table2[[#All],[De (Lote)]],'Input_APM (Zenith)'!F52)&gt;0,INDEX(Table2[[#All],[Para (Ticker Daniel)]],MATCH('Input_APM (Zenith)'!F52,Table2[[#All],[De (Lote)]],0)),'Input_APM (Zenith)'!F52))</f>
        <v>META US 07/17/26 C750</v>
      </c>
      <c r="M52" s="170" t="str">
        <f t="shared" si="1"/>
        <v>EQTY.IntlUS.off</v>
      </c>
      <c r="N52" s="171">
        <f t="shared" si="2"/>
        <v>9</v>
      </c>
      <c r="O52" s="171">
        <f t="shared" si="3"/>
        <v>9</v>
      </c>
    </row>
    <row r="53" spans="5:15">
      <c r="E53" s="169" t="s">
        <v>242</v>
      </c>
      <c r="F53" s="169" t="s">
        <v>85</v>
      </c>
      <c r="G53" s="169" t="s">
        <v>208</v>
      </c>
      <c r="H53" s="169">
        <v>-338</v>
      </c>
      <c r="I53" s="169">
        <v>-338</v>
      </c>
      <c r="K53" s="170" t="str">
        <f t="shared" si="0"/>
        <v>US Equity</v>
      </c>
      <c r="L53" s="170" t="str">
        <f>IF(E53="","",IF(COUNTIFS(Table2[[#All],[De (Lote)]],'Input_APM (Zenith)'!F53)&gt;0,INDEX(Table2[[#All],[Para (Ticker Daniel)]],MATCH('Input_APM (Zenith)'!F53,Table2[[#All],[De (Lote)]],0)),'Input_APM (Zenith)'!F53))</f>
        <v>MRVL</v>
      </c>
      <c r="M53" s="170" t="str">
        <f t="shared" si="1"/>
        <v>EQTY.IntlUS.off</v>
      </c>
      <c r="N53" s="171">
        <f t="shared" si="2"/>
        <v>-338</v>
      </c>
      <c r="O53" s="171">
        <f t="shared" si="3"/>
        <v>-338</v>
      </c>
    </row>
    <row r="54" spans="5:15">
      <c r="E54" s="169" t="s">
        <v>244</v>
      </c>
      <c r="F54" s="169" t="s">
        <v>979</v>
      </c>
      <c r="G54" s="169" t="s">
        <v>208</v>
      </c>
      <c r="H54" s="169">
        <v>-28</v>
      </c>
      <c r="I54" s="169">
        <v>-28</v>
      </c>
      <c r="K54" s="170" t="str">
        <f t="shared" si="0"/>
        <v>US Equity Options</v>
      </c>
      <c r="L54" s="170" t="str">
        <f>IF(E54="","",IF(COUNTIFS(Table2[[#All],[De (Lote)]],'Input_APM (Zenith)'!F54)&gt;0,INDEX(Table2[[#All],[Para (Ticker Daniel)]],MATCH('Input_APM (Zenith)'!F54,Table2[[#All],[De (Lote)]],0)),'Input_APM (Zenith)'!F54))</f>
        <v>MRVL US 03/20/26 P60</v>
      </c>
      <c r="M54" s="170" t="str">
        <f t="shared" si="1"/>
        <v>EQTY.IntlUS.off</v>
      </c>
      <c r="N54" s="171">
        <f t="shared" si="2"/>
        <v>-28</v>
      </c>
      <c r="O54" s="171">
        <f t="shared" si="3"/>
        <v>-28</v>
      </c>
    </row>
    <row r="55" spans="5:15">
      <c r="E55" s="169" t="s">
        <v>244</v>
      </c>
      <c r="F55" s="169" t="s">
        <v>845</v>
      </c>
      <c r="G55" s="169" t="s">
        <v>208</v>
      </c>
      <c r="H55" s="169">
        <v>28</v>
      </c>
      <c r="I55" s="169">
        <v>28</v>
      </c>
      <c r="K55" s="170" t="str">
        <f t="shared" si="0"/>
        <v>US Equity Options</v>
      </c>
      <c r="L55" s="170" t="str">
        <f>IF(E55="","",IF(COUNTIFS(Table2[[#All],[De (Lote)]],'Input_APM (Zenith)'!F55)&gt;0,INDEX(Table2[[#All],[Para (Ticker Daniel)]],MATCH('Input_APM (Zenith)'!F55,Table2[[#All],[De (Lote)]],0)),'Input_APM (Zenith)'!F55))</f>
        <v>MRVL US 03/20/26 P70</v>
      </c>
      <c r="M55" s="170" t="str">
        <f t="shared" si="1"/>
        <v>EQTY.IntlUS.off</v>
      </c>
      <c r="N55" s="171">
        <f t="shared" si="2"/>
        <v>28</v>
      </c>
      <c r="O55" s="171">
        <f t="shared" si="3"/>
        <v>28</v>
      </c>
    </row>
    <row r="56" spans="5:15">
      <c r="E56" s="169" t="s">
        <v>335</v>
      </c>
      <c r="F56" s="169" t="s">
        <v>1123</v>
      </c>
      <c r="G56" s="169" t="s">
        <v>208</v>
      </c>
      <c r="H56" s="169">
        <v>-305500</v>
      </c>
      <c r="I56" s="169">
        <v>0</v>
      </c>
      <c r="K56" s="170" t="str">
        <f t="shared" si="0"/>
        <v>Global Bonds</v>
      </c>
      <c r="L56" s="170" t="str">
        <f>IF(E56="","",IF(COUNTIFS(Table2[[#All],[De (Lote)]],'Input_APM (Zenith)'!F56)&gt;0,INDEX(Table2[[#All],[Para (Ticker Daniel)]],MATCH('Input_APM (Zenith)'!F56,Table2[[#All],[De (Lote)]],0)),'Input_APM (Zenith)'!F56))</f>
        <v>NFLX 4.90% 08/15/34</v>
      </c>
      <c r="M56" s="170" t="str">
        <f t="shared" si="1"/>
        <v>EQTY.IntlUS.off</v>
      </c>
      <c r="N56" s="171">
        <f t="shared" si="2"/>
        <v>-305500</v>
      </c>
      <c r="O56" s="171">
        <f t="shared" si="3"/>
        <v>0</v>
      </c>
    </row>
    <row r="57" spans="5:15">
      <c r="E57" s="169" t="s">
        <v>244</v>
      </c>
      <c r="F57" s="169" t="s">
        <v>980</v>
      </c>
      <c r="G57" s="169" t="s">
        <v>208</v>
      </c>
      <c r="H57" s="169">
        <v>-18</v>
      </c>
      <c r="I57" s="169">
        <v>-12</v>
      </c>
      <c r="K57" s="170" t="str">
        <f t="shared" si="0"/>
        <v>US Equity Options</v>
      </c>
      <c r="L57" s="170" t="str">
        <f>IF(E57="","",IF(COUNTIFS(Table2[[#All],[De (Lote)]],'Input_APM (Zenith)'!F57)&gt;0,INDEX(Table2[[#All],[Para (Ticker Daniel)]],MATCH('Input_APM (Zenith)'!F57,Table2[[#All],[De (Lote)]],0)),'Input_APM (Zenith)'!F57))</f>
        <v>NFLX US 05/15/26 C90</v>
      </c>
      <c r="M57" s="170" t="str">
        <f t="shared" si="1"/>
        <v>EQTY.IntlUS.off</v>
      </c>
      <c r="N57" s="171">
        <f t="shared" si="2"/>
        <v>-18</v>
      </c>
      <c r="O57" s="171">
        <f t="shared" si="3"/>
        <v>-12</v>
      </c>
    </row>
    <row r="58" spans="5:15">
      <c r="E58" s="169" t="s">
        <v>244</v>
      </c>
      <c r="F58" s="169" t="s">
        <v>981</v>
      </c>
      <c r="G58" s="169" t="s">
        <v>208</v>
      </c>
      <c r="H58" s="169">
        <v>-6</v>
      </c>
      <c r="I58" s="169">
        <v>-12</v>
      </c>
      <c r="K58" s="170" t="str">
        <f t="shared" si="0"/>
        <v>US Equity Options</v>
      </c>
      <c r="L58" s="170" t="str">
        <f>IF(E58="","",IF(COUNTIFS(Table2[[#All],[De (Lote)]],'Input_APM (Zenith)'!F58)&gt;0,INDEX(Table2[[#All],[Para (Ticker Daniel)]],MATCH('Input_APM (Zenith)'!F58,Table2[[#All],[De (Lote)]],0)),'Input_APM (Zenith)'!F58))</f>
        <v>NFLX US 05/15/26 P70</v>
      </c>
      <c r="M58" s="170" t="str">
        <f t="shared" si="1"/>
        <v>EQTY.IntlUS.off</v>
      </c>
      <c r="N58" s="171">
        <f t="shared" si="2"/>
        <v>-6</v>
      </c>
      <c r="O58" s="171">
        <f t="shared" si="3"/>
        <v>-12</v>
      </c>
    </row>
    <row r="59" spans="5:15">
      <c r="E59" s="169" t="s">
        <v>962</v>
      </c>
      <c r="F59" s="169" t="s">
        <v>963</v>
      </c>
      <c r="G59" s="169" t="s">
        <v>208</v>
      </c>
      <c r="H59" s="169">
        <v>-1</v>
      </c>
      <c r="I59" s="169">
        <v>-1</v>
      </c>
      <c r="K59" s="170" t="str">
        <f t="shared" si="0"/>
        <v>NASDAQ-100 E-mini Futures - CME</v>
      </c>
      <c r="L59" s="170" t="str">
        <f>IF(E59="","",IF(COUNTIFS(Table2[[#All],[De (Lote)]],'Input_APM (Zenith)'!F59)&gt;0,INDEX(Table2[[#All],[Para (Ticker Daniel)]],MATCH('Input_APM (Zenith)'!F59,Table2[[#All],[De (Lote)]],0)),'Input_APM (Zenith)'!F59))</f>
        <v>NQH6</v>
      </c>
      <c r="M59" s="170" t="str">
        <f t="shared" si="1"/>
        <v>EQTY.IntlUS.off</v>
      </c>
      <c r="N59" s="171">
        <f t="shared" si="2"/>
        <v>-1</v>
      </c>
      <c r="O59" s="171">
        <f t="shared" si="3"/>
        <v>-1</v>
      </c>
    </row>
    <row r="60" spans="5:15">
      <c r="E60" s="169" t="s">
        <v>242</v>
      </c>
      <c r="F60" s="169" t="s">
        <v>42</v>
      </c>
      <c r="G60" s="169" t="s">
        <v>208</v>
      </c>
      <c r="H60" s="169">
        <v>3293</v>
      </c>
      <c r="I60" s="169">
        <v>2600</v>
      </c>
      <c r="K60" s="170" t="str">
        <f t="shared" si="0"/>
        <v>US Equity</v>
      </c>
      <c r="L60" s="170" t="str">
        <f>IF(E60="","",IF(COUNTIFS(Table2[[#All],[De (Lote)]],'Input_APM (Zenith)'!F60)&gt;0,INDEX(Table2[[#All],[Para (Ticker Daniel)]],MATCH('Input_APM (Zenith)'!F60,Table2[[#All],[De (Lote)]],0)),'Input_APM (Zenith)'!F60))</f>
        <v>NVDA</v>
      </c>
      <c r="M60" s="170" t="str">
        <f t="shared" si="1"/>
        <v>EQTY.IntlUS.off</v>
      </c>
      <c r="N60" s="171">
        <f t="shared" si="2"/>
        <v>3293</v>
      </c>
      <c r="O60" s="171">
        <f t="shared" si="3"/>
        <v>2600</v>
      </c>
    </row>
    <row r="61" spans="5:15">
      <c r="E61" s="169" t="s">
        <v>244</v>
      </c>
      <c r="F61" s="169" t="s">
        <v>1069</v>
      </c>
      <c r="G61" s="169" t="s">
        <v>208</v>
      </c>
      <c r="H61" s="169">
        <v>44</v>
      </c>
      <c r="I61" s="169">
        <v>44</v>
      </c>
      <c r="K61" s="170" t="str">
        <f t="shared" si="0"/>
        <v>US Equity Options</v>
      </c>
      <c r="L61" s="170" t="str">
        <f>IF(E61="","",IF(COUNTIFS(Table2[[#All],[De (Lote)]],'Input_APM (Zenith)'!F61)&gt;0,INDEX(Table2[[#All],[Para (Ticker Daniel)]],MATCH('Input_APM (Zenith)'!F61,Table2[[#All],[De (Lote)]],0)),'Input_APM (Zenith)'!F61))</f>
        <v>NVDA US 03/20/26 C200</v>
      </c>
      <c r="M61" s="170" t="str">
        <f t="shared" si="1"/>
        <v>EQTY.IntlUS.off</v>
      </c>
      <c r="N61" s="171">
        <f t="shared" si="2"/>
        <v>44</v>
      </c>
      <c r="O61" s="171">
        <f t="shared" si="3"/>
        <v>44</v>
      </c>
    </row>
    <row r="62" spans="5:15">
      <c r="E62" s="169" t="s">
        <v>244</v>
      </c>
      <c r="F62" s="169" t="s">
        <v>1070</v>
      </c>
      <c r="G62" s="169" t="s">
        <v>208</v>
      </c>
      <c r="H62" s="169">
        <v>-45</v>
      </c>
      <c r="I62" s="169">
        <v>-45</v>
      </c>
      <c r="K62" s="170" t="str">
        <f t="shared" si="0"/>
        <v>US Equity Options</v>
      </c>
      <c r="L62" s="170" t="str">
        <f>IF(E62="","",IF(COUNTIFS(Table2[[#All],[De (Lote)]],'Input_APM (Zenith)'!F62)&gt;0,INDEX(Table2[[#All],[Para (Ticker Daniel)]],MATCH('Input_APM (Zenith)'!F62,Table2[[#All],[De (Lote)]],0)),'Input_APM (Zenith)'!F62))</f>
        <v>NVDA US 03/20/26 C220</v>
      </c>
      <c r="M62" s="170" t="str">
        <f t="shared" si="1"/>
        <v>EQTY.IntlUS.off</v>
      </c>
      <c r="N62" s="171">
        <f t="shared" si="2"/>
        <v>-45</v>
      </c>
      <c r="O62" s="171">
        <f t="shared" si="3"/>
        <v>-45</v>
      </c>
    </row>
    <row r="63" spans="5:15">
      <c r="E63" s="169" t="s">
        <v>244</v>
      </c>
      <c r="F63" s="169" t="s">
        <v>923</v>
      </c>
      <c r="G63" s="169" t="s">
        <v>208</v>
      </c>
      <c r="H63" s="169">
        <v>8</v>
      </c>
      <c r="I63" s="169">
        <v>8</v>
      </c>
      <c r="K63" s="170" t="str">
        <f t="shared" si="0"/>
        <v>US Equity Options</v>
      </c>
      <c r="L63" s="170" t="str">
        <f>IF(E63="","",IF(COUNTIFS(Table2[[#All],[De (Lote)]],'Input_APM (Zenith)'!F63)&gt;0,INDEX(Table2[[#All],[Para (Ticker Daniel)]],MATCH('Input_APM (Zenith)'!F63,Table2[[#All],[De (Lote)]],0)),'Input_APM (Zenith)'!F63))</f>
        <v>NVDA US 05/15/26 C200</v>
      </c>
      <c r="M63" s="170" t="str">
        <f t="shared" si="1"/>
        <v>EQTY.IntlUS.off</v>
      </c>
      <c r="N63" s="171">
        <f t="shared" si="2"/>
        <v>8</v>
      </c>
      <c r="O63" s="171">
        <f t="shared" si="3"/>
        <v>8</v>
      </c>
    </row>
    <row r="64" spans="5:15">
      <c r="E64" s="169" t="s">
        <v>243</v>
      </c>
      <c r="F64" s="169" t="s">
        <v>260</v>
      </c>
      <c r="G64" s="169" t="s">
        <v>208</v>
      </c>
      <c r="H64" s="169">
        <v>-1378</v>
      </c>
      <c r="I64" s="169">
        <v>-10380</v>
      </c>
      <c r="K64" s="170" t="str">
        <f t="shared" si="0"/>
        <v>Provisions and Costs</v>
      </c>
      <c r="L64" s="170" t="str">
        <f>IF(E64="","",IF(COUNTIFS(Table2[[#All],[De (Lote)]],'Input_APM (Zenith)'!F64)&gt;0,INDEX(Table2[[#All],[Para (Ticker Daniel)]],MATCH('Input_APM (Zenith)'!F64,Table2[[#All],[De (Lote)]],0)),'Input_APM (Zenith)'!F64))</f>
        <v>Provision ETF Options USD_</v>
      </c>
      <c r="M64" s="170" t="str">
        <f t="shared" si="1"/>
        <v>EQTY.IntlUS.off</v>
      </c>
      <c r="N64" s="171">
        <f t="shared" si="2"/>
        <v>-1378</v>
      </c>
      <c r="O64" s="171">
        <f t="shared" si="3"/>
        <v>-10380</v>
      </c>
    </row>
    <row r="65" spans="5:15">
      <c r="E65" s="169" t="s">
        <v>243</v>
      </c>
      <c r="F65" s="169" t="s">
        <v>232</v>
      </c>
      <c r="G65" s="169" t="s">
        <v>208</v>
      </c>
      <c r="H65" s="169">
        <v>-83078.55</v>
      </c>
      <c r="I65" s="169">
        <v>-22395.5</v>
      </c>
      <c r="K65" s="170" t="str">
        <f t="shared" si="0"/>
        <v>Provisions and Costs</v>
      </c>
      <c r="L65" s="170" t="str">
        <f>IF(E65="","",IF(COUNTIFS(Table2[[#All],[De (Lote)]],'Input_APM (Zenith)'!F65)&gt;0,INDEX(Table2[[#All],[Para (Ticker Daniel)]],MATCH('Input_APM (Zenith)'!F65,Table2[[#All],[De (Lote)]],0)),'Input_APM (Zenith)'!F65))</f>
        <v>Provision ETF USD_</v>
      </c>
      <c r="M65" s="170" t="str">
        <f t="shared" si="1"/>
        <v>EQTY.IntlUS.off</v>
      </c>
      <c r="N65" s="171">
        <f t="shared" si="2"/>
        <v>-83078.55</v>
      </c>
      <c r="O65" s="171">
        <f t="shared" si="3"/>
        <v>-22395.5</v>
      </c>
    </row>
    <row r="66" spans="5:15">
      <c r="E66" s="169" t="s">
        <v>243</v>
      </c>
      <c r="F66" s="169" t="s">
        <v>1054</v>
      </c>
      <c r="G66" s="169" t="s">
        <v>208</v>
      </c>
      <c r="H66" s="169">
        <v>-9725.2099999999991</v>
      </c>
      <c r="I66" s="169">
        <v>-19110.61</v>
      </c>
      <c r="K66" s="170" t="str">
        <f t="shared" si="0"/>
        <v>Provisions and Costs</v>
      </c>
      <c r="L66" s="170" t="str">
        <f>IF(E66="","",IF(COUNTIFS(Table2[[#All],[De (Lote)]],'Input_APM (Zenith)'!F66)&gt;0,INDEX(Table2[[#All],[Para (Ticker Daniel)]],MATCH('Input_APM (Zenith)'!F66,Table2[[#All],[De (Lote)]],0)),'Input_APM (Zenith)'!F66))</f>
        <v>Provision EUR Equity EUR_</v>
      </c>
      <c r="M66" s="170" t="str">
        <f t="shared" si="1"/>
        <v>EQTY.IntlUS.off</v>
      </c>
      <c r="N66" s="171">
        <f t="shared" si="2"/>
        <v>-9725.2099999999991</v>
      </c>
      <c r="O66" s="171">
        <f t="shared" si="3"/>
        <v>-19110.61</v>
      </c>
    </row>
    <row r="67" spans="5:15">
      <c r="E67" s="169" t="s">
        <v>243</v>
      </c>
      <c r="F67" s="169" t="s">
        <v>1124</v>
      </c>
      <c r="G67" s="169" t="s">
        <v>208</v>
      </c>
      <c r="H67" s="169">
        <v>319269.77</v>
      </c>
      <c r="I67" s="169">
        <v>0</v>
      </c>
      <c r="K67" s="170" t="str">
        <f t="shared" ref="K67:K130" si="4">IF(E67="","",E67)</f>
        <v>Provisions and Costs</v>
      </c>
      <c r="L67" s="170" t="str">
        <f>IF(E67="","",IF(COUNTIFS(Table2[[#All],[De (Lote)]],'Input_APM (Zenith)'!F67)&gt;0,INDEX(Table2[[#All],[Para (Ticker Daniel)]],MATCH('Input_APM (Zenith)'!F67,Table2[[#All],[De (Lote)]],0)),'Input_APM (Zenith)'!F67))</f>
        <v>Provision Global Bonds USD_</v>
      </c>
      <c r="M67" s="170" t="str">
        <f t="shared" ref="M67:M130" si="5">IF(E67="","",G67)</f>
        <v>EQTY.IntlUS.off</v>
      </c>
      <c r="N67" s="171">
        <f t="shared" ref="N67:N130" si="6">IF(E67="","",H67)</f>
        <v>319269.77</v>
      </c>
      <c r="O67" s="171">
        <f t="shared" ref="O67:O130" si="7">IF(E67="","",I67)</f>
        <v>0</v>
      </c>
    </row>
    <row r="68" spans="5:15">
      <c r="E68" s="169" t="s">
        <v>243</v>
      </c>
      <c r="F68" s="169" t="s">
        <v>345</v>
      </c>
      <c r="G68" s="169" t="s">
        <v>208</v>
      </c>
      <c r="H68" s="169">
        <v>-2478.44</v>
      </c>
      <c r="I68" s="169">
        <v>68730.070000000007</v>
      </c>
      <c r="K68" s="170" t="str">
        <f t="shared" si="4"/>
        <v>Provisions and Costs</v>
      </c>
      <c r="L68" s="170" t="str">
        <f>IF(E68="","",IF(COUNTIFS(Table2[[#All],[De (Lote)]],'Input_APM (Zenith)'!F68)&gt;0,INDEX(Table2[[#All],[Para (Ticker Daniel)]],MATCH('Input_APM (Zenith)'!F68,Table2[[#All],[De (Lote)]],0)),'Input_APM (Zenith)'!F68))</f>
        <v>Provision NYSE USD_</v>
      </c>
      <c r="M68" s="170" t="str">
        <f t="shared" si="5"/>
        <v>EQTY.IntlUS.off</v>
      </c>
      <c r="N68" s="171">
        <f t="shared" si="6"/>
        <v>-2478.44</v>
      </c>
      <c r="O68" s="171">
        <f t="shared" si="7"/>
        <v>68730.070000000007</v>
      </c>
    </row>
    <row r="69" spans="5:15">
      <c r="E69" s="169" t="s">
        <v>243</v>
      </c>
      <c r="F69" s="169" t="s">
        <v>1125</v>
      </c>
      <c r="G69" s="169" t="s">
        <v>208</v>
      </c>
      <c r="H69" s="169">
        <v>-265839.61</v>
      </c>
      <c r="I69" s="169">
        <v>0</v>
      </c>
      <c r="K69" s="170" t="str">
        <f t="shared" si="4"/>
        <v>Provisions and Costs</v>
      </c>
      <c r="L69" s="170" t="str">
        <f>IF(E69="","",IF(COUNTIFS(Table2[[#All],[De (Lote)]],'Input_APM (Zenith)'!F69)&gt;0,INDEX(Table2[[#All],[Para (Ticker Daniel)]],MATCH('Input_APM (Zenith)'!F69,Table2[[#All],[De (Lote)]],0)),'Input_APM (Zenith)'!F69))</f>
        <v>Provision TBOND USD_</v>
      </c>
      <c r="M69" s="170" t="str">
        <f t="shared" si="5"/>
        <v>EQTY.IntlUS.off</v>
      </c>
      <c r="N69" s="171">
        <f t="shared" si="6"/>
        <v>-265839.61</v>
      </c>
      <c r="O69" s="171">
        <f t="shared" si="7"/>
        <v>0</v>
      </c>
    </row>
    <row r="70" spans="5:15">
      <c r="E70" s="169" t="s">
        <v>243</v>
      </c>
      <c r="F70" s="169" t="s">
        <v>261</v>
      </c>
      <c r="G70" s="169" t="s">
        <v>208</v>
      </c>
      <c r="H70" s="169">
        <v>1150</v>
      </c>
      <c r="I70" s="169">
        <v>-21947</v>
      </c>
      <c r="K70" s="170" t="str">
        <f t="shared" si="4"/>
        <v>Provisions and Costs</v>
      </c>
      <c r="L70" s="170" t="str">
        <f>IF(E70="","",IF(COUNTIFS(Table2[[#All],[De (Lote)]],'Input_APM (Zenith)'!F70)&gt;0,INDEX(Table2[[#All],[Para (Ticker Daniel)]],MATCH('Input_APM (Zenith)'!F70,Table2[[#All],[De (Lote)]],0)),'Input_APM (Zenith)'!F70))</f>
        <v>Provision US Equity Options USD_</v>
      </c>
      <c r="M70" s="170" t="str">
        <f t="shared" si="5"/>
        <v>EQTY.IntlUS.off</v>
      </c>
      <c r="N70" s="171">
        <f t="shared" si="6"/>
        <v>1150</v>
      </c>
      <c r="O70" s="171">
        <f t="shared" si="7"/>
        <v>-21947</v>
      </c>
    </row>
    <row r="71" spans="5:15">
      <c r="E71" s="169" t="s">
        <v>243</v>
      </c>
      <c r="F71" s="169" t="s">
        <v>233</v>
      </c>
      <c r="G71" s="169" t="s">
        <v>208</v>
      </c>
      <c r="H71" s="169">
        <v>-210362.35</v>
      </c>
      <c r="I71" s="169">
        <v>-59307.94</v>
      </c>
      <c r="K71" s="170" t="str">
        <f t="shared" si="4"/>
        <v>Provisions and Costs</v>
      </c>
      <c r="L71" s="170" t="str">
        <f>IF(E71="","",IF(COUNTIFS(Table2[[#All],[De (Lote)]],'Input_APM (Zenith)'!F71)&gt;0,INDEX(Table2[[#All],[Para (Ticker Daniel)]],MATCH('Input_APM (Zenith)'!F71,Table2[[#All],[De (Lote)]],0)),'Input_APM (Zenith)'!F71))</f>
        <v>Provision US Equity USD_</v>
      </c>
      <c r="M71" s="170" t="str">
        <f t="shared" si="5"/>
        <v>EQTY.IntlUS.off</v>
      </c>
      <c r="N71" s="171">
        <f t="shared" si="6"/>
        <v>-210362.35</v>
      </c>
      <c r="O71" s="171">
        <f t="shared" si="7"/>
        <v>-59307.94</v>
      </c>
    </row>
    <row r="72" spans="5:15">
      <c r="E72" s="169" t="s">
        <v>248</v>
      </c>
      <c r="F72" s="169" t="s">
        <v>1104</v>
      </c>
      <c r="G72" s="169" t="s">
        <v>208</v>
      </c>
      <c r="H72" s="169">
        <v>-60</v>
      </c>
      <c r="I72" s="169">
        <v>0</v>
      </c>
      <c r="K72" s="170" t="str">
        <f t="shared" si="4"/>
        <v>ETF Options</v>
      </c>
      <c r="L72" s="170" t="str">
        <f>IF(E72="","",IF(COUNTIFS(Table2[[#All],[De (Lote)]],'Input_APM (Zenith)'!F72)&gt;0,INDEX(Table2[[#All],[Para (Ticker Daniel)]],MATCH('Input_APM (Zenith)'!F72,Table2[[#All],[De (Lote)]],0)),'Input_APM (Zenith)'!F72))</f>
        <v>QQQ US 02/12/26 P598</v>
      </c>
      <c r="M72" s="170" t="str">
        <f t="shared" si="5"/>
        <v>EQTY.IntlUS.off</v>
      </c>
      <c r="N72" s="171">
        <f t="shared" si="6"/>
        <v>-60</v>
      </c>
      <c r="O72" s="171">
        <f t="shared" si="7"/>
        <v>0</v>
      </c>
    </row>
    <row r="73" spans="5:15">
      <c r="E73" s="169" t="s">
        <v>248</v>
      </c>
      <c r="F73" s="169" t="s">
        <v>1103</v>
      </c>
      <c r="G73" s="169" t="s">
        <v>208</v>
      </c>
      <c r="H73" s="169">
        <v>60</v>
      </c>
      <c r="I73" s="169">
        <v>0</v>
      </c>
      <c r="K73" s="170" t="str">
        <f t="shared" si="4"/>
        <v>ETF Options</v>
      </c>
      <c r="L73" s="170" t="str">
        <f>IF(E73="","",IF(COUNTIFS(Table2[[#All],[De (Lote)]],'Input_APM (Zenith)'!F73)&gt;0,INDEX(Table2[[#All],[Para (Ticker Daniel)]],MATCH('Input_APM (Zenith)'!F73,Table2[[#All],[De (Lote)]],0)),'Input_APM (Zenith)'!F73))</f>
        <v>QQQ US 02/12/26 P599</v>
      </c>
      <c r="M73" s="170" t="str">
        <f t="shared" si="5"/>
        <v>EQTY.IntlUS.off</v>
      </c>
      <c r="N73" s="171">
        <f t="shared" si="6"/>
        <v>60</v>
      </c>
      <c r="O73" s="171">
        <f t="shared" si="7"/>
        <v>0</v>
      </c>
    </row>
    <row r="74" spans="5:15">
      <c r="E74" s="169" t="s">
        <v>248</v>
      </c>
      <c r="F74" s="169" t="s">
        <v>1066</v>
      </c>
      <c r="G74" s="169" t="s">
        <v>208</v>
      </c>
      <c r="H74" s="169">
        <v>0</v>
      </c>
      <c r="I74" s="169">
        <v>-30</v>
      </c>
      <c r="K74" s="170" t="str">
        <f t="shared" si="4"/>
        <v>ETF Options</v>
      </c>
      <c r="L74" s="170" t="str">
        <f>IF(E74="","",IF(COUNTIFS(Table2[[#All],[De (Lote)]],'Input_APM (Zenith)'!F74)&gt;0,INDEX(Table2[[#All],[Para (Ticker Daniel)]],MATCH('Input_APM (Zenith)'!F74,Table2[[#All],[De (Lote)]],0)),'Input_APM (Zenith)'!F74))</f>
        <v>QQQ US 02/13/26 P605</v>
      </c>
      <c r="M74" s="170" t="str">
        <f t="shared" si="5"/>
        <v>EQTY.IntlUS.off</v>
      </c>
      <c r="N74" s="171">
        <f t="shared" si="6"/>
        <v>0</v>
      </c>
      <c r="O74" s="171">
        <f t="shared" si="7"/>
        <v>-30</v>
      </c>
    </row>
    <row r="75" spans="5:15">
      <c r="E75" s="169" t="s">
        <v>248</v>
      </c>
      <c r="F75" s="169" t="s">
        <v>1065</v>
      </c>
      <c r="G75" s="169" t="s">
        <v>208</v>
      </c>
      <c r="H75" s="169">
        <v>0</v>
      </c>
      <c r="I75" s="169">
        <v>30</v>
      </c>
      <c r="K75" s="170" t="str">
        <f t="shared" si="4"/>
        <v>ETF Options</v>
      </c>
      <c r="L75" s="170" t="str">
        <f>IF(E75="","",IF(COUNTIFS(Table2[[#All],[De (Lote)]],'Input_APM (Zenith)'!F75)&gt;0,INDEX(Table2[[#All],[Para (Ticker Daniel)]],MATCH('Input_APM (Zenith)'!F75,Table2[[#All],[De (Lote)]],0)),'Input_APM (Zenith)'!F75))</f>
        <v>QQQ US 02/13/26 P610</v>
      </c>
      <c r="M75" s="170" t="str">
        <f t="shared" si="5"/>
        <v>EQTY.IntlUS.off</v>
      </c>
      <c r="N75" s="171">
        <f t="shared" si="6"/>
        <v>0</v>
      </c>
      <c r="O75" s="171">
        <f t="shared" si="7"/>
        <v>30</v>
      </c>
    </row>
    <row r="76" spans="5:15">
      <c r="E76" s="169" t="s">
        <v>248</v>
      </c>
      <c r="F76" s="169" t="s">
        <v>1068</v>
      </c>
      <c r="G76" s="169" t="s">
        <v>208</v>
      </c>
      <c r="H76" s="169">
        <v>-54</v>
      </c>
      <c r="I76" s="169">
        <v>-18</v>
      </c>
      <c r="K76" s="170" t="str">
        <f t="shared" si="4"/>
        <v>ETF Options</v>
      </c>
      <c r="L76" s="170" t="str">
        <f>IF(E76="","",IF(COUNTIFS(Table2[[#All],[De (Lote)]],'Input_APM (Zenith)'!F76)&gt;0,INDEX(Table2[[#All],[Para (Ticker Daniel)]],MATCH('Input_APM (Zenith)'!F76,Table2[[#All],[De (Lote)]],0)),'Input_APM (Zenith)'!F76))</f>
        <v>QQQ US 02/20/26 P590</v>
      </c>
      <c r="M76" s="170" t="str">
        <f t="shared" si="5"/>
        <v>EQTY.IntlUS.off</v>
      </c>
      <c r="N76" s="171">
        <f t="shared" si="6"/>
        <v>-54</v>
      </c>
      <c r="O76" s="171">
        <f t="shared" si="7"/>
        <v>-18</v>
      </c>
    </row>
    <row r="77" spans="5:15">
      <c r="E77" s="169" t="s">
        <v>248</v>
      </c>
      <c r="F77" s="169" t="s">
        <v>1096</v>
      </c>
      <c r="G77" s="169" t="s">
        <v>208</v>
      </c>
      <c r="H77" s="169">
        <v>54</v>
      </c>
      <c r="I77" s="169">
        <v>0</v>
      </c>
      <c r="K77" s="170" t="str">
        <f t="shared" si="4"/>
        <v>ETF Options</v>
      </c>
      <c r="L77" s="170" t="str">
        <f>IF(E77="","",IF(COUNTIFS(Table2[[#All],[De (Lote)]],'Input_APM (Zenith)'!F77)&gt;0,INDEX(Table2[[#All],[Para (Ticker Daniel)]],MATCH('Input_APM (Zenith)'!F77,Table2[[#All],[De (Lote)]],0)),'Input_APM (Zenith)'!F77))</f>
        <v>QQQ US 02/20/26 P600</v>
      </c>
      <c r="M77" s="170" t="str">
        <f t="shared" si="5"/>
        <v>EQTY.IntlUS.off</v>
      </c>
      <c r="N77" s="171">
        <f t="shared" si="6"/>
        <v>54</v>
      </c>
      <c r="O77" s="171">
        <f t="shared" si="7"/>
        <v>0</v>
      </c>
    </row>
    <row r="78" spans="5:15">
      <c r="E78" s="169" t="s">
        <v>248</v>
      </c>
      <c r="F78" s="169" t="s">
        <v>1067</v>
      </c>
      <c r="G78" s="169" t="s">
        <v>208</v>
      </c>
      <c r="H78" s="169">
        <v>0</v>
      </c>
      <c r="I78" s="169">
        <v>18</v>
      </c>
      <c r="K78" s="170" t="str">
        <f t="shared" si="4"/>
        <v>ETF Options</v>
      </c>
      <c r="L78" s="170" t="str">
        <f>IF(E78="","",IF(COUNTIFS(Table2[[#All],[De (Lote)]],'Input_APM (Zenith)'!F78)&gt;0,INDEX(Table2[[#All],[Para (Ticker Daniel)]],MATCH('Input_APM (Zenith)'!F78,Table2[[#All],[De (Lote)]],0)),'Input_APM (Zenith)'!F78))</f>
        <v>QQQ US 02/20/26 P605</v>
      </c>
      <c r="M78" s="170" t="str">
        <f t="shared" si="5"/>
        <v>EQTY.IntlUS.off</v>
      </c>
      <c r="N78" s="171">
        <f t="shared" si="6"/>
        <v>0</v>
      </c>
      <c r="O78" s="171">
        <f t="shared" si="7"/>
        <v>18</v>
      </c>
    </row>
    <row r="79" spans="5:15">
      <c r="E79" s="169" t="s">
        <v>248</v>
      </c>
      <c r="F79" s="169" t="s">
        <v>1097</v>
      </c>
      <c r="G79" s="169" t="s">
        <v>208</v>
      </c>
      <c r="H79" s="169">
        <v>-12</v>
      </c>
      <c r="I79" s="169">
        <v>0</v>
      </c>
      <c r="K79" s="170" t="str">
        <f t="shared" si="4"/>
        <v>ETF Options</v>
      </c>
      <c r="L79" s="170" t="str">
        <f>IF(E79="","",IF(COUNTIFS(Table2[[#All],[De (Lote)]],'Input_APM (Zenith)'!F79)&gt;0,INDEX(Table2[[#All],[Para (Ticker Daniel)]],MATCH('Input_APM (Zenith)'!F79,Table2[[#All],[De (Lote)]],0)),'Input_APM (Zenith)'!F79))</f>
        <v>QQQ US 02/27/26 P580</v>
      </c>
      <c r="M79" s="170" t="str">
        <f t="shared" si="5"/>
        <v>EQTY.IntlUS.off</v>
      </c>
      <c r="N79" s="171">
        <f t="shared" si="6"/>
        <v>-12</v>
      </c>
      <c r="O79" s="171">
        <f t="shared" si="7"/>
        <v>0</v>
      </c>
    </row>
    <row r="80" spans="5:15">
      <c r="E80" s="169" t="s">
        <v>248</v>
      </c>
      <c r="F80" s="169" t="s">
        <v>1095</v>
      </c>
      <c r="G80" s="169" t="s">
        <v>208</v>
      </c>
      <c r="H80" s="169">
        <v>12</v>
      </c>
      <c r="I80" s="169">
        <v>0</v>
      </c>
      <c r="K80" s="170" t="str">
        <f t="shared" si="4"/>
        <v>ETF Options</v>
      </c>
      <c r="L80" s="170" t="str">
        <f>IF(E80="","",IF(COUNTIFS(Table2[[#All],[De (Lote)]],'Input_APM (Zenith)'!F80)&gt;0,INDEX(Table2[[#All],[Para (Ticker Daniel)]],MATCH('Input_APM (Zenith)'!F80,Table2[[#All],[De (Lote)]],0)),'Input_APM (Zenith)'!F80))</f>
        <v>QQQ US 02/27/26 P590</v>
      </c>
      <c r="M80" s="170" t="str">
        <f t="shared" si="5"/>
        <v>EQTY.IntlUS.off</v>
      </c>
      <c r="N80" s="171">
        <f t="shared" si="6"/>
        <v>12</v>
      </c>
      <c r="O80" s="171">
        <f t="shared" si="7"/>
        <v>0</v>
      </c>
    </row>
    <row r="81" spans="5:15">
      <c r="E81" s="169" t="s">
        <v>242</v>
      </c>
      <c r="F81" s="169" t="s">
        <v>790</v>
      </c>
      <c r="G81" s="169" t="s">
        <v>208</v>
      </c>
      <c r="H81" s="169">
        <v>1929</v>
      </c>
      <c r="I81" s="169">
        <v>1929</v>
      </c>
      <c r="K81" s="170" t="str">
        <f t="shared" si="4"/>
        <v>US Equity</v>
      </c>
      <c r="L81" s="170" t="str">
        <f>IF(E81="","",IF(COUNTIFS(Table2[[#All],[De (Lote)]],'Input_APM (Zenith)'!F81)&gt;0,INDEX(Table2[[#All],[Para (Ticker Daniel)]],MATCH('Input_APM (Zenith)'!F81,Table2[[#All],[De (Lote)]],0)),'Input_APM (Zenith)'!F81))</f>
        <v>RIOT</v>
      </c>
      <c r="M81" s="170" t="str">
        <f t="shared" si="5"/>
        <v>EQTY.IntlUS.off</v>
      </c>
      <c r="N81" s="171">
        <f t="shared" si="6"/>
        <v>1929</v>
      </c>
      <c r="O81" s="171">
        <f t="shared" si="7"/>
        <v>1929</v>
      </c>
    </row>
    <row r="82" spans="5:15">
      <c r="E82" s="169" t="s">
        <v>792</v>
      </c>
      <c r="F82" s="169" t="s">
        <v>793</v>
      </c>
      <c r="G82" s="169" t="s">
        <v>208</v>
      </c>
      <c r="H82" s="169">
        <v>52</v>
      </c>
      <c r="I82" s="169">
        <v>52</v>
      </c>
      <c r="K82" s="170" t="str">
        <f t="shared" si="4"/>
        <v>Equity Total Return Swap</v>
      </c>
      <c r="L82" s="170" t="str">
        <f>IF(E82="","",IF(COUNTIFS(Table2[[#All],[De (Lote)]],'Input_APM (Zenith)'!F82)&gt;0,INDEX(Table2[[#All],[Para (Ticker Daniel)]],MATCH('Input_APM (Zenith)'!F82,Table2[[#All],[De (Lote)]],0)),'Input_APM (Zenith)'!F82))</f>
        <v>000660 KS</v>
      </c>
      <c r="M82" s="170" t="str">
        <f t="shared" si="5"/>
        <v>EQTY.IntlUS.off</v>
      </c>
      <c r="N82" s="171">
        <f t="shared" si="6"/>
        <v>52</v>
      </c>
      <c r="O82" s="171">
        <f t="shared" si="7"/>
        <v>52</v>
      </c>
    </row>
    <row r="83" spans="5:15">
      <c r="E83" s="169" t="s">
        <v>792</v>
      </c>
      <c r="F83" s="169" t="s">
        <v>1029</v>
      </c>
      <c r="G83" s="169" t="s">
        <v>208</v>
      </c>
      <c r="H83" s="169">
        <v>10</v>
      </c>
      <c r="I83" s="169">
        <v>10</v>
      </c>
      <c r="K83" s="170" t="str">
        <f t="shared" si="4"/>
        <v>Equity Total Return Swap</v>
      </c>
      <c r="L83" s="170" t="str">
        <f>IF(E83="","",IF(COUNTIFS(Table2[[#All],[De (Lote)]],'Input_APM (Zenith)'!F83)&gt;0,INDEX(Table2[[#All],[Para (Ticker Daniel)]],MATCH('Input_APM (Zenith)'!F83,Table2[[#All],[De (Lote)]],0)),'Input_APM (Zenith)'!F83))</f>
        <v>SWAP 000660 KS 10FEB2026 20APR2026 592.6251</v>
      </c>
      <c r="M83" s="170" t="str">
        <f t="shared" si="5"/>
        <v>EQTY.IntlUS.off</v>
      </c>
      <c r="N83" s="171">
        <f t="shared" si="6"/>
        <v>10</v>
      </c>
      <c r="O83" s="171">
        <f t="shared" si="7"/>
        <v>10</v>
      </c>
    </row>
    <row r="84" spans="5:15">
      <c r="E84" s="169" t="s">
        <v>792</v>
      </c>
      <c r="F84" s="169" t="s">
        <v>877</v>
      </c>
      <c r="G84" s="169" t="s">
        <v>208</v>
      </c>
      <c r="H84" s="169">
        <v>43</v>
      </c>
      <c r="I84" s="169">
        <v>43</v>
      </c>
      <c r="K84" s="170" t="str">
        <f t="shared" si="4"/>
        <v>Equity Total Return Swap</v>
      </c>
      <c r="L84" s="170" t="str">
        <f>IF(E84="","",IF(COUNTIFS(Table2[[#All],[De (Lote)]],'Input_APM (Zenith)'!F84)&gt;0,INDEX(Table2[[#All],[Para (Ticker Daniel)]],MATCH('Input_APM (Zenith)'!F84,Table2[[#All],[De (Lote)]],0)),'Input_APM (Zenith)'!F84))</f>
        <v>SWAP 000660 KS 26JAN2026 26JAN2027 509.6192</v>
      </c>
      <c r="M84" s="170" t="str">
        <f t="shared" si="5"/>
        <v>EQTY.IntlUS.off</v>
      </c>
      <c r="N84" s="171">
        <f t="shared" si="6"/>
        <v>43</v>
      </c>
      <c r="O84" s="171">
        <f t="shared" si="7"/>
        <v>43</v>
      </c>
    </row>
    <row r="85" spans="5:15">
      <c r="E85" s="169" t="s">
        <v>792</v>
      </c>
      <c r="F85" s="169" t="s">
        <v>1030</v>
      </c>
      <c r="G85" s="169" t="s">
        <v>208</v>
      </c>
      <c r="H85" s="169">
        <v>189</v>
      </c>
      <c r="I85" s="169">
        <v>189</v>
      </c>
      <c r="K85" s="170" t="str">
        <f t="shared" si="4"/>
        <v>Equity Total Return Swap</v>
      </c>
      <c r="L85" s="170" t="str">
        <f>IF(E85="","",IF(COUNTIFS(Table2[[#All],[De (Lote)]],'Input_APM (Zenith)'!F85)&gt;0,INDEX(Table2[[#All],[Para (Ticker Daniel)]],MATCH('Input_APM (Zenith)'!F85,Table2[[#All],[De (Lote)]],0)),'Input_APM (Zenith)'!F85))</f>
        <v>SWAP 005930 KS 03FEB2026 20APR2026 113.36</v>
      </c>
      <c r="M85" s="170" t="str">
        <f t="shared" si="5"/>
        <v>EQTY.IntlUS.off</v>
      </c>
      <c r="N85" s="171">
        <f t="shared" si="6"/>
        <v>189</v>
      </c>
      <c r="O85" s="171">
        <f t="shared" si="7"/>
        <v>189</v>
      </c>
    </row>
    <row r="86" spans="5:15">
      <c r="E86" s="169" t="s">
        <v>792</v>
      </c>
      <c r="F86" s="169" t="s">
        <v>1031</v>
      </c>
      <c r="G86" s="169" t="s">
        <v>208</v>
      </c>
      <c r="H86" s="169">
        <v>189</v>
      </c>
      <c r="I86" s="169">
        <v>189</v>
      </c>
      <c r="K86" s="170" t="str">
        <f t="shared" si="4"/>
        <v>Equity Total Return Swap</v>
      </c>
      <c r="L86" s="170" t="str">
        <f>IF(E86="","",IF(COUNTIFS(Table2[[#All],[De (Lote)]],'Input_APM (Zenith)'!F86)&gt;0,INDEX(Table2[[#All],[Para (Ticker Daniel)]],MATCH('Input_APM (Zenith)'!F86,Table2[[#All],[De (Lote)]],0)),'Input_APM (Zenith)'!F86))</f>
        <v>SWAP 005930 KS 04FEB2026 20APR2026 105.82</v>
      </c>
      <c r="M86" s="170" t="str">
        <f t="shared" si="5"/>
        <v>EQTY.IntlUS.off</v>
      </c>
      <c r="N86" s="171">
        <f t="shared" si="6"/>
        <v>189</v>
      </c>
      <c r="O86" s="171">
        <f t="shared" si="7"/>
        <v>189</v>
      </c>
    </row>
    <row r="87" spans="5:15">
      <c r="E87" s="169" t="s">
        <v>792</v>
      </c>
      <c r="F87" s="169" t="s">
        <v>1032</v>
      </c>
      <c r="G87" s="169" t="s">
        <v>208</v>
      </c>
      <c r="H87" s="169">
        <v>55</v>
      </c>
      <c r="I87" s="169">
        <v>55</v>
      </c>
      <c r="K87" s="170" t="str">
        <f t="shared" si="4"/>
        <v>Equity Total Return Swap</v>
      </c>
      <c r="L87" s="170" t="str">
        <f>IF(E87="","",IF(COUNTIFS(Table2[[#All],[De (Lote)]],'Input_APM (Zenith)'!F87)&gt;0,INDEX(Table2[[#All],[Para (Ticker Daniel)]],MATCH('Input_APM (Zenith)'!F87,Table2[[#All],[De (Lote)]],0)),'Input_APM (Zenith)'!F87))</f>
        <v>SWAP 005930 KS 10FEB2026 20APR2026 110.873</v>
      </c>
      <c r="M87" s="170" t="str">
        <f t="shared" si="5"/>
        <v>EQTY.IntlUS.off</v>
      </c>
      <c r="N87" s="171">
        <f t="shared" si="6"/>
        <v>55</v>
      </c>
      <c r="O87" s="171">
        <f t="shared" si="7"/>
        <v>55</v>
      </c>
    </row>
    <row r="88" spans="5:15">
      <c r="E88" s="169" t="s">
        <v>792</v>
      </c>
      <c r="F88" s="169" t="s">
        <v>1055</v>
      </c>
      <c r="G88" s="169" t="s">
        <v>208</v>
      </c>
      <c r="H88" s="169">
        <v>1090</v>
      </c>
      <c r="I88" s="169">
        <v>1090</v>
      </c>
      <c r="K88" s="170" t="str">
        <f t="shared" si="4"/>
        <v>Equity Total Return Swap</v>
      </c>
      <c r="L88" s="170" t="str">
        <f>IF(E88="","",IF(COUNTIFS(Table2[[#All],[De (Lote)]],'Input_APM (Zenith)'!F88)&gt;0,INDEX(Table2[[#All],[Para (Ticker Daniel)]],MATCH('Input_APM (Zenith)'!F88,Table2[[#All],[De (Lote)]],0)),'Input_APM (Zenith)'!F88))</f>
        <v>SWAP 2330 TT 11FEB2026 20APR2026 55.7697</v>
      </c>
      <c r="M88" s="170" t="str">
        <f t="shared" si="5"/>
        <v>EQTY.IntlUS.off</v>
      </c>
      <c r="N88" s="171">
        <f t="shared" si="6"/>
        <v>1090</v>
      </c>
      <c r="O88" s="171">
        <f t="shared" si="7"/>
        <v>1090</v>
      </c>
    </row>
    <row r="89" spans="5:15">
      <c r="E89" s="169" t="s">
        <v>792</v>
      </c>
      <c r="F89" s="169" t="s">
        <v>1033</v>
      </c>
      <c r="G89" s="169" t="s">
        <v>208</v>
      </c>
      <c r="H89" s="169">
        <v>17</v>
      </c>
      <c r="I89" s="169">
        <v>17</v>
      </c>
      <c r="K89" s="170" t="str">
        <f t="shared" si="4"/>
        <v>Equity Total Return Swap</v>
      </c>
      <c r="L89" s="170" t="str">
        <f>IF(E89="","",IF(COUNTIFS(Table2[[#All],[De (Lote)]],'Input_APM (Zenith)'!F89)&gt;0,INDEX(Table2[[#All],[Para (Ticker Daniel)]],MATCH('Input_APM (Zenith)'!F89,Table2[[#All],[De (Lote)]],0)),'Input_APM (Zenith)'!F89))</f>
        <v>SWAP 402340 KS 09FEB2026 20APR2026 348.49</v>
      </c>
      <c r="M89" s="170" t="str">
        <f t="shared" si="5"/>
        <v>EQTY.IntlUS.off</v>
      </c>
      <c r="N89" s="171">
        <f t="shared" si="6"/>
        <v>17</v>
      </c>
      <c r="O89" s="171">
        <f t="shared" si="7"/>
        <v>17</v>
      </c>
    </row>
    <row r="90" spans="5:15">
      <c r="E90" s="169" t="s">
        <v>792</v>
      </c>
      <c r="F90" s="169" t="s">
        <v>1034</v>
      </c>
      <c r="G90" s="169" t="s">
        <v>208</v>
      </c>
      <c r="H90" s="169">
        <v>38</v>
      </c>
      <c r="I90" s="169">
        <v>38</v>
      </c>
      <c r="K90" s="170" t="str">
        <f t="shared" si="4"/>
        <v>Equity Total Return Swap</v>
      </c>
      <c r="L90" s="170" t="str">
        <f>IF(E90="","",IF(COUNTIFS(Table2[[#All],[De (Lote)]],'Input_APM (Zenith)'!F90)&gt;0,INDEX(Table2[[#All],[Para (Ticker Daniel)]],MATCH('Input_APM (Zenith)'!F90,Table2[[#All],[De (Lote)]],0)),'Input_APM (Zenith)'!F90))</f>
        <v>SWAP 402340 KS 09FEB2026 20APR2026 390.92</v>
      </c>
      <c r="M90" s="170" t="str">
        <f t="shared" si="5"/>
        <v>EQTY.IntlUS.off</v>
      </c>
      <c r="N90" s="171">
        <f t="shared" si="6"/>
        <v>38</v>
      </c>
      <c r="O90" s="171">
        <f t="shared" si="7"/>
        <v>38</v>
      </c>
    </row>
    <row r="91" spans="5:15">
      <c r="E91" s="169" t="s">
        <v>792</v>
      </c>
      <c r="F91" s="169" t="s">
        <v>1035</v>
      </c>
      <c r="G91" s="169" t="s">
        <v>208</v>
      </c>
      <c r="H91" s="169">
        <v>16</v>
      </c>
      <c r="I91" s="169">
        <v>16</v>
      </c>
      <c r="K91" s="170" t="str">
        <f t="shared" si="4"/>
        <v>Equity Total Return Swap</v>
      </c>
      <c r="L91" s="170" t="str">
        <f>IF(E91="","",IF(COUNTIFS(Table2[[#All],[De (Lote)]],'Input_APM (Zenith)'!F91)&gt;0,INDEX(Table2[[#All],[Para (Ticker Daniel)]],MATCH('Input_APM (Zenith)'!F91,Table2[[#All],[De (Lote)]],0)),'Input_APM (Zenith)'!F91))</f>
        <v>SWAP 402340 KS 10FEB2026 20APR2026 377.6597</v>
      </c>
      <c r="M91" s="170" t="str">
        <f t="shared" si="5"/>
        <v>EQTY.IntlUS.off</v>
      </c>
      <c r="N91" s="171">
        <f t="shared" si="6"/>
        <v>16</v>
      </c>
      <c r="O91" s="171">
        <f t="shared" si="7"/>
        <v>16</v>
      </c>
    </row>
    <row r="92" spans="5:15">
      <c r="E92" s="169" t="s">
        <v>792</v>
      </c>
      <c r="F92" s="169" t="s">
        <v>1056</v>
      </c>
      <c r="G92" s="169" t="s">
        <v>208</v>
      </c>
      <c r="H92" s="169">
        <v>17</v>
      </c>
      <c r="I92" s="169">
        <v>17</v>
      </c>
      <c r="K92" s="170" t="str">
        <f t="shared" si="4"/>
        <v>Equity Total Return Swap</v>
      </c>
      <c r="L92" s="170" t="str">
        <f>IF(E92="","",IF(COUNTIFS(Table2[[#All],[De (Lote)]],'Input_APM (Zenith)'!F92)&gt;0,INDEX(Table2[[#All],[Para (Ticker Daniel)]],MATCH('Input_APM (Zenith)'!F92,Table2[[#All],[De (Lote)]],0)),'Input_APM (Zenith)'!F92))</f>
        <v>SWAP 402340 KS 11FEB2026 20APR2026 350.7653</v>
      </c>
      <c r="M92" s="170" t="str">
        <f t="shared" si="5"/>
        <v>EQTY.IntlUS.off</v>
      </c>
      <c r="N92" s="171">
        <f t="shared" si="6"/>
        <v>17</v>
      </c>
      <c r="O92" s="171">
        <f t="shared" si="7"/>
        <v>17</v>
      </c>
    </row>
    <row r="93" spans="5:15">
      <c r="E93" s="169" t="s">
        <v>938</v>
      </c>
      <c r="F93" s="169" t="s">
        <v>939</v>
      </c>
      <c r="G93" s="169" t="s">
        <v>208</v>
      </c>
      <c r="H93" s="169">
        <v>1473572</v>
      </c>
      <c r="I93" s="169">
        <v>1207940</v>
      </c>
      <c r="K93" s="170" t="str">
        <f t="shared" si="4"/>
        <v>TBOND</v>
      </c>
      <c r="L93" s="170" t="str">
        <f>IF(E93="","",IF(COUNTIFS(Table2[[#All],[De (Lote)]],'Input_APM (Zenith)'!F93)&gt;0,INDEX(Table2[[#All],[Para (Ticker Daniel)]],MATCH('Input_APM (Zenith)'!F93,Table2[[#All],[De (Lote)]],0)),'Input_APM (Zenith)'!F93))</f>
        <v>T 4.000% 11/15/35</v>
      </c>
      <c r="M93" s="170" t="str">
        <f t="shared" si="5"/>
        <v>EQTY.IntlUS.off</v>
      </c>
      <c r="N93" s="171">
        <f t="shared" si="6"/>
        <v>1473572</v>
      </c>
      <c r="O93" s="171">
        <f t="shared" si="7"/>
        <v>1207940</v>
      </c>
    </row>
    <row r="94" spans="5:15">
      <c r="E94" s="169" t="s">
        <v>8</v>
      </c>
      <c r="F94" s="169" t="s">
        <v>44</v>
      </c>
      <c r="G94" s="169" t="s">
        <v>208</v>
      </c>
      <c r="H94" s="169">
        <v>-303</v>
      </c>
      <c r="I94" s="169">
        <v>-303</v>
      </c>
      <c r="K94" s="170" t="str">
        <f t="shared" si="4"/>
        <v>ADR</v>
      </c>
      <c r="L94" s="170" t="str">
        <f>IF(E94="","",IF(COUNTIFS(Table2[[#All],[De (Lote)]],'Input_APM (Zenith)'!F94)&gt;0,INDEX(Table2[[#All],[Para (Ticker Daniel)]],MATCH('Input_APM (Zenith)'!F94,Table2[[#All],[De (Lote)]],0)),'Input_APM (Zenith)'!F94))</f>
        <v>TSM</v>
      </c>
      <c r="M94" s="170" t="str">
        <f t="shared" si="5"/>
        <v>EQTY.IntlUS.off</v>
      </c>
      <c r="N94" s="171">
        <f t="shared" si="6"/>
        <v>-303</v>
      </c>
      <c r="O94" s="171">
        <f t="shared" si="7"/>
        <v>-303</v>
      </c>
    </row>
    <row r="95" spans="5:15">
      <c r="E95" s="169" t="s">
        <v>251</v>
      </c>
      <c r="F95" s="169" t="s">
        <v>820</v>
      </c>
      <c r="G95" s="169" t="s">
        <v>208</v>
      </c>
      <c r="H95" s="169">
        <v>97</v>
      </c>
      <c r="I95" s="169">
        <v>97</v>
      </c>
      <c r="K95" s="170" t="str">
        <f t="shared" si="4"/>
        <v>ADR Options</v>
      </c>
      <c r="L95" s="170" t="str">
        <f>IF(E95="","",IF(COUNTIFS(Table2[[#All],[De (Lote)]],'Input_APM (Zenith)'!F95)&gt;0,INDEX(Table2[[#All],[Para (Ticker Daniel)]],MATCH('Input_APM (Zenith)'!F95,Table2[[#All],[De (Lote)]],0)),'Input_APM (Zenith)'!F95))</f>
        <v>TSM US 06/18/26 C340</v>
      </c>
      <c r="M95" s="170" t="str">
        <f t="shared" si="5"/>
        <v>EQTY.IntlUS.off</v>
      </c>
      <c r="N95" s="171">
        <f t="shared" si="6"/>
        <v>97</v>
      </c>
      <c r="O95" s="171">
        <f t="shared" si="7"/>
        <v>97</v>
      </c>
    </row>
    <row r="96" spans="5:15">
      <c r="E96" s="169" t="s">
        <v>251</v>
      </c>
      <c r="F96" s="169" t="s">
        <v>821</v>
      </c>
      <c r="G96" s="169" t="s">
        <v>208</v>
      </c>
      <c r="H96" s="169">
        <v>-80</v>
      </c>
      <c r="I96" s="169">
        <v>-80</v>
      </c>
      <c r="K96" s="170" t="str">
        <f t="shared" si="4"/>
        <v>ADR Options</v>
      </c>
      <c r="L96" s="170" t="str">
        <f>IF(E96="","",IF(COUNTIFS(Table2[[#All],[De (Lote)]],'Input_APM (Zenith)'!F96)&gt;0,INDEX(Table2[[#All],[Para (Ticker Daniel)]],MATCH('Input_APM (Zenith)'!F96,Table2[[#All],[De (Lote)]],0)),'Input_APM (Zenith)'!F96))</f>
        <v>TSM US 06/18/26 C380</v>
      </c>
      <c r="M96" s="170" t="str">
        <f t="shared" si="5"/>
        <v>EQTY.IntlUS.off</v>
      </c>
      <c r="N96" s="171">
        <f t="shared" si="6"/>
        <v>-80</v>
      </c>
      <c r="O96" s="171">
        <f t="shared" si="7"/>
        <v>-80</v>
      </c>
    </row>
    <row r="97" spans="5:15">
      <c r="E97" s="169" t="s">
        <v>242</v>
      </c>
      <c r="F97" s="169" t="s">
        <v>974</v>
      </c>
      <c r="G97" s="169" t="s">
        <v>208</v>
      </c>
      <c r="H97" s="169">
        <v>3231</v>
      </c>
      <c r="I97" s="169">
        <v>3231</v>
      </c>
      <c r="K97" s="170" t="str">
        <f t="shared" si="4"/>
        <v>US Equity</v>
      </c>
      <c r="L97" s="170" t="str">
        <f>IF(E97="","",IF(COUNTIFS(Table2[[#All],[De (Lote)]],'Input_APM (Zenith)'!F97)&gt;0,INDEX(Table2[[#All],[Para (Ticker Daniel)]],MATCH('Input_APM (Zenith)'!F97,Table2[[#All],[De (Lote)]],0)),'Input_APM (Zenith)'!F97))</f>
        <v>WMB</v>
      </c>
      <c r="M97" s="170" t="str">
        <f t="shared" si="5"/>
        <v>EQTY.IntlUS.off</v>
      </c>
      <c r="N97" s="171">
        <f t="shared" si="6"/>
        <v>3231</v>
      </c>
      <c r="O97" s="171">
        <f t="shared" si="7"/>
        <v>3231</v>
      </c>
    </row>
    <row r="98" spans="5:15">
      <c r="E98" s="169" t="s">
        <v>245</v>
      </c>
      <c r="F98" s="169" t="s">
        <v>36</v>
      </c>
      <c r="G98" s="169" t="s">
        <v>208</v>
      </c>
      <c r="H98" s="169">
        <v>1523</v>
      </c>
      <c r="I98" s="169">
        <v>1523</v>
      </c>
      <c r="K98" s="170" t="str">
        <f t="shared" si="4"/>
        <v>ETF</v>
      </c>
      <c r="L98" s="170" t="str">
        <f>IF(E98="","",IF(COUNTIFS(Table2[[#All],[De (Lote)]],'Input_APM (Zenith)'!F98)&gt;0,INDEX(Table2[[#All],[Para (Ticker Daniel)]],MATCH('Input_APM (Zenith)'!F98,Table2[[#All],[De (Lote)]],0)),'Input_APM (Zenith)'!F98))</f>
        <v>XLF</v>
      </c>
      <c r="M98" s="170" t="str">
        <f t="shared" si="5"/>
        <v>EQTY.IntlUS.off</v>
      </c>
      <c r="N98" s="171">
        <f t="shared" si="6"/>
        <v>1523</v>
      </c>
      <c r="O98" s="171">
        <f t="shared" si="7"/>
        <v>1523</v>
      </c>
    </row>
    <row r="99" spans="5:15">
      <c r="E99" s="169" t="s">
        <v>245</v>
      </c>
      <c r="F99" s="169" t="s">
        <v>4</v>
      </c>
      <c r="G99" s="169" t="s">
        <v>208</v>
      </c>
      <c r="H99" s="169">
        <v>-1735</v>
      </c>
      <c r="I99" s="169">
        <v>-1735</v>
      </c>
      <c r="K99" s="170" t="str">
        <f t="shared" si="4"/>
        <v>ETF</v>
      </c>
      <c r="L99" s="170" t="str">
        <f>IF(E99="","",IF(COUNTIFS(Table2[[#All],[De (Lote)]],'Input_APM (Zenith)'!F99)&gt;0,INDEX(Table2[[#All],[Para (Ticker Daniel)]],MATCH('Input_APM (Zenith)'!F99,Table2[[#All],[De (Lote)]],0)),'Input_APM (Zenith)'!F99))</f>
        <v>XLP</v>
      </c>
      <c r="M99" s="170" t="str">
        <f t="shared" si="5"/>
        <v>EQTY.IntlUS.off</v>
      </c>
      <c r="N99" s="171">
        <f t="shared" si="6"/>
        <v>-1735</v>
      </c>
      <c r="O99" s="171">
        <f t="shared" si="7"/>
        <v>-1735</v>
      </c>
    </row>
    <row r="100" spans="5:15">
      <c r="K100" s="170" t="str">
        <f t="shared" si="4"/>
        <v/>
      </c>
      <c r="L100" s="170" t="str">
        <f>IF(E100="","",IF(COUNTIFS(Table2[[#All],[De (Lote)]],'Input_APM (Zenith)'!F100)&gt;0,INDEX(Table2[[#All],[Para (Ticker Daniel)]],MATCH('Input_APM (Zenith)'!F100,Table2[[#All],[De (Lote)]],0)),'Input_APM (Zenith)'!F100))</f>
        <v/>
      </c>
      <c r="M100" s="170" t="str">
        <f t="shared" si="5"/>
        <v/>
      </c>
      <c r="N100" s="171" t="str">
        <f t="shared" si="6"/>
        <v/>
      </c>
      <c r="O100" s="171" t="str">
        <f t="shared" si="7"/>
        <v/>
      </c>
    </row>
    <row r="101" spans="5:15">
      <c r="K101" s="170" t="str">
        <f t="shared" si="4"/>
        <v/>
      </c>
      <c r="L101" s="170" t="str">
        <f>IF(E101="","",IF(COUNTIFS(Table2[[#All],[De (Lote)]],'Input_APM (Zenith)'!F101)&gt;0,INDEX(Table2[[#All],[Para (Ticker Daniel)]],MATCH('Input_APM (Zenith)'!F101,Table2[[#All],[De (Lote)]],0)),'Input_APM (Zenith)'!F101))</f>
        <v/>
      </c>
      <c r="M101" s="170" t="str">
        <f t="shared" si="5"/>
        <v/>
      </c>
      <c r="N101" s="171" t="str">
        <f t="shared" si="6"/>
        <v/>
      </c>
      <c r="O101" s="171" t="str">
        <f t="shared" si="7"/>
        <v/>
      </c>
    </row>
    <row r="102" spans="5:15">
      <c r="K102" s="170" t="str">
        <f t="shared" si="4"/>
        <v/>
      </c>
      <c r="L102" s="170" t="str">
        <f>IF(E102="","",IF(COUNTIFS(Table2[[#All],[De (Lote)]],'Input_APM (Zenith)'!F102)&gt;0,INDEX(Table2[[#All],[Para (Ticker Daniel)]],MATCH('Input_APM (Zenith)'!F102,Table2[[#All],[De (Lote)]],0)),'Input_APM (Zenith)'!F102))</f>
        <v/>
      </c>
      <c r="M102" s="170" t="str">
        <f t="shared" si="5"/>
        <v/>
      </c>
      <c r="N102" s="171" t="str">
        <f t="shared" si="6"/>
        <v/>
      </c>
      <c r="O102" s="171" t="str">
        <f t="shared" si="7"/>
        <v/>
      </c>
    </row>
    <row r="103" spans="5:15">
      <c r="K103" s="170" t="str">
        <f t="shared" si="4"/>
        <v/>
      </c>
      <c r="L103" s="170" t="str">
        <f>IF(E103="","",IF(COUNTIFS(Table2[[#All],[De (Lote)]],'Input_APM (Zenith)'!F103)&gt;0,INDEX(Table2[[#All],[Para (Ticker Daniel)]],MATCH('Input_APM (Zenith)'!F103,Table2[[#All],[De (Lote)]],0)),'Input_APM (Zenith)'!F103))</f>
        <v/>
      </c>
      <c r="M103" s="170" t="str">
        <f t="shared" si="5"/>
        <v/>
      </c>
      <c r="N103" s="171" t="str">
        <f t="shared" si="6"/>
        <v/>
      </c>
      <c r="O103" s="171" t="str">
        <f t="shared" si="7"/>
        <v/>
      </c>
    </row>
    <row r="104" spans="5:15">
      <c r="K104" s="170" t="str">
        <f t="shared" si="4"/>
        <v/>
      </c>
      <c r="L104" s="170" t="str">
        <f>IF(E104="","",IF(COUNTIFS(Table2[[#All],[De (Lote)]],'Input_APM (Zenith)'!F104)&gt;0,INDEX(Table2[[#All],[Para (Ticker Daniel)]],MATCH('Input_APM (Zenith)'!F104,Table2[[#All],[De (Lote)]],0)),'Input_APM (Zenith)'!F104))</f>
        <v/>
      </c>
      <c r="M104" s="170" t="str">
        <f t="shared" si="5"/>
        <v/>
      </c>
      <c r="N104" s="171" t="str">
        <f t="shared" si="6"/>
        <v/>
      </c>
      <c r="O104" s="171" t="str">
        <f t="shared" si="7"/>
        <v/>
      </c>
    </row>
    <row r="105" spans="5:15">
      <c r="K105" s="170" t="str">
        <f t="shared" si="4"/>
        <v/>
      </c>
      <c r="L105" s="170" t="str">
        <f>IF(E105="","",IF(COUNTIFS(Table2[[#All],[De (Lote)]],'Input_APM (Zenith)'!F105)&gt;0,INDEX(Table2[[#All],[Para (Ticker Daniel)]],MATCH('Input_APM (Zenith)'!F105,Table2[[#All],[De (Lote)]],0)),'Input_APM (Zenith)'!F105))</f>
        <v/>
      </c>
      <c r="M105" s="170" t="str">
        <f t="shared" si="5"/>
        <v/>
      </c>
      <c r="N105" s="171" t="str">
        <f t="shared" si="6"/>
        <v/>
      </c>
      <c r="O105" s="171" t="str">
        <f t="shared" si="7"/>
        <v/>
      </c>
    </row>
    <row r="106" spans="5:15">
      <c r="K106" s="170" t="str">
        <f t="shared" si="4"/>
        <v/>
      </c>
      <c r="L106" s="170" t="str">
        <f>IF(E106="","",IF(COUNTIFS(Table2[[#All],[De (Lote)]],'Input_APM (Zenith)'!F106)&gt;0,INDEX(Table2[[#All],[Para (Ticker Daniel)]],MATCH('Input_APM (Zenith)'!F106,Table2[[#All],[De (Lote)]],0)),'Input_APM (Zenith)'!F106))</f>
        <v/>
      </c>
      <c r="M106" s="170" t="str">
        <f t="shared" si="5"/>
        <v/>
      </c>
      <c r="N106" s="171" t="str">
        <f t="shared" si="6"/>
        <v/>
      </c>
      <c r="O106" s="171" t="str">
        <f t="shared" si="7"/>
        <v/>
      </c>
    </row>
    <row r="107" spans="5:15">
      <c r="K107" s="170" t="str">
        <f t="shared" si="4"/>
        <v/>
      </c>
      <c r="L107" s="170" t="str">
        <f>IF(E107="","",IF(COUNTIFS(Table2[[#All],[De (Lote)]],'Input_APM (Zenith)'!F107)&gt;0,INDEX(Table2[[#All],[Para (Ticker Daniel)]],MATCH('Input_APM (Zenith)'!F107,Table2[[#All],[De (Lote)]],0)),'Input_APM (Zenith)'!F107))</f>
        <v/>
      </c>
      <c r="M107" s="170" t="str">
        <f t="shared" si="5"/>
        <v/>
      </c>
      <c r="N107" s="171" t="str">
        <f t="shared" si="6"/>
        <v/>
      </c>
      <c r="O107" s="171" t="str">
        <f t="shared" si="7"/>
        <v/>
      </c>
    </row>
    <row r="108" spans="5:15">
      <c r="K108" s="170" t="str">
        <f t="shared" si="4"/>
        <v/>
      </c>
      <c r="L108" s="170" t="str">
        <f>IF(E108="","",IF(COUNTIFS(Table2[[#All],[De (Lote)]],'Input_APM (Zenith)'!F108)&gt;0,INDEX(Table2[[#All],[Para (Ticker Daniel)]],MATCH('Input_APM (Zenith)'!F108,Table2[[#All],[De (Lote)]],0)),'Input_APM (Zenith)'!F108))</f>
        <v/>
      </c>
      <c r="M108" s="170" t="str">
        <f t="shared" si="5"/>
        <v/>
      </c>
      <c r="N108" s="171" t="str">
        <f t="shared" si="6"/>
        <v/>
      </c>
      <c r="O108" s="171" t="str">
        <f t="shared" si="7"/>
        <v/>
      </c>
    </row>
    <row r="109" spans="5:15">
      <c r="K109" s="170" t="str">
        <f t="shared" si="4"/>
        <v/>
      </c>
      <c r="L109" s="170" t="str">
        <f>IF(E109="","",IF(COUNTIFS(Table2[[#All],[De (Lote)]],'Input_APM (Zenith)'!F109)&gt;0,INDEX(Table2[[#All],[Para (Ticker Daniel)]],MATCH('Input_APM (Zenith)'!F109,Table2[[#All],[De (Lote)]],0)),'Input_APM (Zenith)'!F109))</f>
        <v/>
      </c>
      <c r="M109" s="170" t="str">
        <f t="shared" si="5"/>
        <v/>
      </c>
      <c r="N109" s="171" t="str">
        <f t="shared" si="6"/>
        <v/>
      </c>
      <c r="O109" s="171" t="str">
        <f t="shared" si="7"/>
        <v/>
      </c>
    </row>
    <row r="110" spans="5:15">
      <c r="K110" s="170" t="str">
        <f t="shared" si="4"/>
        <v/>
      </c>
      <c r="L110" s="170" t="str">
        <f>IF(E110="","",IF(COUNTIFS(Table2[[#All],[De (Lote)]],'Input_APM (Zenith)'!F110)&gt;0,INDEX(Table2[[#All],[Para (Ticker Daniel)]],MATCH('Input_APM (Zenith)'!F110,Table2[[#All],[De (Lote)]],0)),'Input_APM (Zenith)'!F110))</f>
        <v/>
      </c>
      <c r="M110" s="170" t="str">
        <f t="shared" si="5"/>
        <v/>
      </c>
      <c r="N110" s="171" t="str">
        <f t="shared" si="6"/>
        <v/>
      </c>
      <c r="O110" s="171" t="str">
        <f t="shared" si="7"/>
        <v/>
      </c>
    </row>
    <row r="111" spans="5:15">
      <c r="K111" s="170" t="str">
        <f t="shared" si="4"/>
        <v/>
      </c>
      <c r="L111" s="170" t="str">
        <f>IF(E111="","",IF(COUNTIFS(Table2[[#All],[De (Lote)]],'Input_APM (Zenith)'!F111)&gt;0,INDEX(Table2[[#All],[Para (Ticker Daniel)]],MATCH('Input_APM (Zenith)'!F111,Table2[[#All],[De (Lote)]],0)),'Input_APM (Zenith)'!F111))</f>
        <v/>
      </c>
      <c r="M111" s="170" t="str">
        <f t="shared" si="5"/>
        <v/>
      </c>
      <c r="N111" s="171" t="str">
        <f t="shared" si="6"/>
        <v/>
      </c>
      <c r="O111" s="171" t="str">
        <f t="shared" si="7"/>
        <v/>
      </c>
    </row>
    <row r="112" spans="5:15">
      <c r="K112" s="170" t="str">
        <f t="shared" si="4"/>
        <v/>
      </c>
      <c r="L112" s="170" t="str">
        <f>IF(E112="","",IF(COUNTIFS(Table2[[#All],[De (Lote)]],'Input_APM (Zenith)'!F112)&gt;0,INDEX(Table2[[#All],[Para (Ticker Daniel)]],MATCH('Input_APM (Zenith)'!F112,Table2[[#All],[De (Lote)]],0)),'Input_APM (Zenith)'!F112))</f>
        <v/>
      </c>
      <c r="M112" s="170" t="str">
        <f t="shared" si="5"/>
        <v/>
      </c>
      <c r="N112" s="171" t="str">
        <f t="shared" si="6"/>
        <v/>
      </c>
      <c r="O112" s="171" t="str">
        <f t="shared" si="7"/>
        <v/>
      </c>
    </row>
    <row r="113" spans="11:15">
      <c r="K113" s="170" t="str">
        <f t="shared" si="4"/>
        <v/>
      </c>
      <c r="L113" s="170" t="str">
        <f>IF(E113="","",IF(COUNTIFS(Table2[[#All],[De (Lote)]],'Input_APM (Zenith)'!F113)&gt;0,INDEX(Table2[[#All],[Para (Ticker Daniel)]],MATCH('Input_APM (Zenith)'!F113,Table2[[#All],[De (Lote)]],0)),'Input_APM (Zenith)'!F113))</f>
        <v/>
      </c>
      <c r="M113" s="170" t="str">
        <f t="shared" si="5"/>
        <v/>
      </c>
      <c r="N113" s="171" t="str">
        <f t="shared" si="6"/>
        <v/>
      </c>
      <c r="O113" s="171" t="str">
        <f t="shared" si="7"/>
        <v/>
      </c>
    </row>
    <row r="114" spans="11:15">
      <c r="K114" s="170" t="str">
        <f t="shared" si="4"/>
        <v/>
      </c>
      <c r="L114" s="170" t="str">
        <f>IF(E114="","",IF(COUNTIFS(Table2[[#All],[De (Lote)]],'Input_APM (Zenith)'!F114)&gt;0,INDEX(Table2[[#All],[Para (Ticker Daniel)]],MATCH('Input_APM (Zenith)'!F114,Table2[[#All],[De (Lote)]],0)),'Input_APM (Zenith)'!F114))</f>
        <v/>
      </c>
      <c r="M114" s="170" t="str">
        <f t="shared" si="5"/>
        <v/>
      </c>
      <c r="N114" s="171" t="str">
        <f t="shared" si="6"/>
        <v/>
      </c>
      <c r="O114" s="171" t="str">
        <f t="shared" si="7"/>
        <v/>
      </c>
    </row>
    <row r="115" spans="11:15">
      <c r="K115" s="170" t="str">
        <f t="shared" si="4"/>
        <v/>
      </c>
      <c r="L115" s="170" t="str">
        <f>IF(E115="","",IF(COUNTIFS(Table2[[#All],[De (Lote)]],'Input_APM (Zenith)'!F115)&gt;0,INDEX(Table2[[#All],[Para (Ticker Daniel)]],MATCH('Input_APM (Zenith)'!F115,Table2[[#All],[De (Lote)]],0)),'Input_APM (Zenith)'!F115))</f>
        <v/>
      </c>
      <c r="M115" s="170" t="str">
        <f t="shared" si="5"/>
        <v/>
      </c>
      <c r="N115" s="171" t="str">
        <f t="shared" si="6"/>
        <v/>
      </c>
      <c r="O115" s="171" t="str">
        <f t="shared" si="7"/>
        <v/>
      </c>
    </row>
    <row r="116" spans="11:15">
      <c r="K116" s="170" t="str">
        <f t="shared" si="4"/>
        <v/>
      </c>
      <c r="L116" s="170" t="str">
        <f>IF(E116="","",IF(COUNTIFS(Table2[[#All],[De (Lote)]],'Input_APM (Zenith)'!F116)&gt;0,INDEX(Table2[[#All],[Para (Ticker Daniel)]],MATCH('Input_APM (Zenith)'!F116,Table2[[#All],[De (Lote)]],0)),'Input_APM (Zenith)'!F116))</f>
        <v/>
      </c>
      <c r="M116" s="170" t="str">
        <f t="shared" si="5"/>
        <v/>
      </c>
      <c r="N116" s="171" t="str">
        <f t="shared" si="6"/>
        <v/>
      </c>
      <c r="O116" s="171" t="str">
        <f t="shared" si="7"/>
        <v/>
      </c>
    </row>
    <row r="117" spans="11:15">
      <c r="K117" s="170" t="str">
        <f t="shared" si="4"/>
        <v/>
      </c>
      <c r="L117" s="170" t="str">
        <f>IF(E117="","",IF(COUNTIFS(Table2[[#All],[De (Lote)]],'Input_APM (Zenith)'!F117)&gt;0,INDEX(Table2[[#All],[Para (Ticker Daniel)]],MATCH('Input_APM (Zenith)'!F117,Table2[[#All],[De (Lote)]],0)),'Input_APM (Zenith)'!F117))</f>
        <v/>
      </c>
      <c r="M117" s="170" t="str">
        <f t="shared" si="5"/>
        <v/>
      </c>
      <c r="N117" s="171" t="str">
        <f t="shared" si="6"/>
        <v/>
      </c>
      <c r="O117" s="171" t="str">
        <f t="shared" si="7"/>
        <v/>
      </c>
    </row>
    <row r="118" spans="11:15">
      <c r="K118" s="170" t="str">
        <f t="shared" si="4"/>
        <v/>
      </c>
      <c r="L118" s="170" t="str">
        <f>IF(E118="","",IF(COUNTIFS(Table2[[#All],[De (Lote)]],'Input_APM (Zenith)'!F118)&gt;0,INDEX(Table2[[#All],[Para (Ticker Daniel)]],MATCH('Input_APM (Zenith)'!F118,Table2[[#All],[De (Lote)]],0)),'Input_APM (Zenith)'!F118))</f>
        <v/>
      </c>
      <c r="M118" s="170" t="str">
        <f t="shared" si="5"/>
        <v/>
      </c>
      <c r="N118" s="171" t="str">
        <f t="shared" si="6"/>
        <v/>
      </c>
      <c r="O118" s="171" t="str">
        <f t="shared" si="7"/>
        <v/>
      </c>
    </row>
    <row r="119" spans="11:15">
      <c r="K119" s="170" t="str">
        <f t="shared" si="4"/>
        <v/>
      </c>
      <c r="L119" s="170" t="str">
        <f>IF(E119="","",IF(COUNTIFS(Table2[[#All],[De (Lote)]],'Input_APM (Zenith)'!F119)&gt;0,INDEX(Table2[[#All],[Para (Ticker Daniel)]],MATCH('Input_APM (Zenith)'!F119,Table2[[#All],[De (Lote)]],0)),'Input_APM (Zenith)'!F119))</f>
        <v/>
      </c>
      <c r="M119" s="170" t="str">
        <f t="shared" si="5"/>
        <v/>
      </c>
      <c r="N119" s="171" t="str">
        <f t="shared" si="6"/>
        <v/>
      </c>
      <c r="O119" s="171" t="str">
        <f t="shared" si="7"/>
        <v/>
      </c>
    </row>
    <row r="120" spans="11:15">
      <c r="K120" s="170" t="str">
        <f t="shared" si="4"/>
        <v/>
      </c>
      <c r="L120" s="170" t="str">
        <f>IF(E120="","",IF(COUNTIFS(Table2[[#All],[De (Lote)]],'Input_APM (Zenith)'!F120)&gt;0,INDEX(Table2[[#All],[Para (Ticker Daniel)]],MATCH('Input_APM (Zenith)'!F120,Table2[[#All],[De (Lote)]],0)),'Input_APM (Zenith)'!F120))</f>
        <v/>
      </c>
      <c r="M120" s="170" t="str">
        <f t="shared" si="5"/>
        <v/>
      </c>
      <c r="N120" s="171" t="str">
        <f t="shared" si="6"/>
        <v/>
      </c>
      <c r="O120" s="171" t="str">
        <f t="shared" si="7"/>
        <v/>
      </c>
    </row>
    <row r="121" spans="11:15">
      <c r="K121" s="170" t="str">
        <f t="shared" si="4"/>
        <v/>
      </c>
      <c r="L121" s="170" t="str">
        <f>IF(E121="","",IF(COUNTIFS(Table2[[#All],[De (Lote)]],'Input_APM (Zenith)'!F121)&gt;0,INDEX(Table2[[#All],[Para (Ticker Daniel)]],MATCH('Input_APM (Zenith)'!F121,Table2[[#All],[De (Lote)]],0)),'Input_APM (Zenith)'!F121))</f>
        <v/>
      </c>
      <c r="M121" s="170" t="str">
        <f t="shared" si="5"/>
        <v/>
      </c>
      <c r="N121" s="171" t="str">
        <f t="shared" si="6"/>
        <v/>
      </c>
      <c r="O121" s="171" t="str">
        <f t="shared" si="7"/>
        <v/>
      </c>
    </row>
    <row r="122" spans="11:15">
      <c r="K122" s="170" t="str">
        <f t="shared" si="4"/>
        <v/>
      </c>
      <c r="L122" s="170" t="str">
        <f>IF(E122="","",IF(COUNTIFS(Table2[[#All],[De (Lote)]],'Input_APM (Zenith)'!F122)&gt;0,INDEX(Table2[[#All],[Para (Ticker Daniel)]],MATCH('Input_APM (Zenith)'!F122,Table2[[#All],[De (Lote)]],0)),'Input_APM (Zenith)'!F122))</f>
        <v/>
      </c>
      <c r="M122" s="170" t="str">
        <f t="shared" si="5"/>
        <v/>
      </c>
      <c r="N122" s="171" t="str">
        <f t="shared" si="6"/>
        <v/>
      </c>
      <c r="O122" s="171" t="str">
        <f t="shared" si="7"/>
        <v/>
      </c>
    </row>
    <row r="123" spans="11:15">
      <c r="K123" s="170" t="str">
        <f t="shared" si="4"/>
        <v/>
      </c>
      <c r="L123" s="170" t="str">
        <f>IF(E123="","",IF(COUNTIFS(Table2[[#All],[De (Lote)]],'Input_APM (Zenith)'!F123)&gt;0,INDEX(Table2[[#All],[Para (Ticker Daniel)]],MATCH('Input_APM (Zenith)'!F123,Table2[[#All],[De (Lote)]],0)),'Input_APM (Zenith)'!F123))</f>
        <v/>
      </c>
      <c r="M123" s="170" t="str">
        <f t="shared" si="5"/>
        <v/>
      </c>
      <c r="N123" s="171" t="str">
        <f t="shared" si="6"/>
        <v/>
      </c>
      <c r="O123" s="171" t="str">
        <f t="shared" si="7"/>
        <v/>
      </c>
    </row>
    <row r="124" spans="11:15">
      <c r="K124" s="170" t="str">
        <f t="shared" si="4"/>
        <v/>
      </c>
      <c r="L124" s="170" t="str">
        <f>IF(E124="","",IF(COUNTIFS(Table2[[#All],[De (Lote)]],'Input_APM (Zenith)'!F124)&gt;0,INDEX(Table2[[#All],[Para (Ticker Daniel)]],MATCH('Input_APM (Zenith)'!F124,Table2[[#All],[De (Lote)]],0)),'Input_APM (Zenith)'!F124))</f>
        <v/>
      </c>
      <c r="M124" s="170" t="str">
        <f t="shared" si="5"/>
        <v/>
      </c>
      <c r="N124" s="171" t="str">
        <f t="shared" si="6"/>
        <v/>
      </c>
      <c r="O124" s="171" t="str">
        <f t="shared" si="7"/>
        <v/>
      </c>
    </row>
    <row r="125" spans="11:15">
      <c r="K125" s="170" t="str">
        <f t="shared" si="4"/>
        <v/>
      </c>
      <c r="L125" s="170" t="str">
        <f>IF(E125="","",IF(COUNTIFS(Table2[[#All],[De (Lote)]],'Input_APM (Zenith)'!F125)&gt;0,INDEX(Table2[[#All],[Para (Ticker Daniel)]],MATCH('Input_APM (Zenith)'!F125,Table2[[#All],[De (Lote)]],0)),'Input_APM (Zenith)'!F125))</f>
        <v/>
      </c>
      <c r="M125" s="170" t="str">
        <f t="shared" si="5"/>
        <v/>
      </c>
      <c r="N125" s="171" t="str">
        <f t="shared" si="6"/>
        <v/>
      </c>
      <c r="O125" s="171" t="str">
        <f t="shared" si="7"/>
        <v/>
      </c>
    </row>
    <row r="126" spans="11:15">
      <c r="K126" s="170" t="str">
        <f t="shared" si="4"/>
        <v/>
      </c>
      <c r="L126" s="170" t="str">
        <f>IF(E126="","",IF(COUNTIFS(Table2[[#All],[De (Lote)]],'Input_APM (Zenith)'!F126)&gt;0,INDEX(Table2[[#All],[Para (Ticker Daniel)]],MATCH('Input_APM (Zenith)'!F126,Table2[[#All],[De (Lote)]],0)),'Input_APM (Zenith)'!F126))</f>
        <v/>
      </c>
      <c r="M126" s="170" t="str">
        <f t="shared" si="5"/>
        <v/>
      </c>
      <c r="N126" s="171" t="str">
        <f t="shared" si="6"/>
        <v/>
      </c>
      <c r="O126" s="171" t="str">
        <f t="shared" si="7"/>
        <v/>
      </c>
    </row>
    <row r="127" spans="11:15">
      <c r="K127" s="170" t="str">
        <f t="shared" si="4"/>
        <v/>
      </c>
      <c r="L127" s="170" t="str">
        <f>IF(E127="","",IF(COUNTIFS(Table2[[#All],[De (Lote)]],'Input_APM (Zenith)'!F127)&gt;0,INDEX(Table2[[#All],[Para (Ticker Daniel)]],MATCH('Input_APM (Zenith)'!F127,Table2[[#All],[De (Lote)]],0)),'Input_APM (Zenith)'!F127))</f>
        <v/>
      </c>
      <c r="M127" s="170" t="str">
        <f t="shared" si="5"/>
        <v/>
      </c>
      <c r="N127" s="171" t="str">
        <f t="shared" si="6"/>
        <v/>
      </c>
      <c r="O127" s="171" t="str">
        <f t="shared" si="7"/>
        <v/>
      </c>
    </row>
    <row r="128" spans="11:15">
      <c r="K128" s="170" t="str">
        <f t="shared" si="4"/>
        <v/>
      </c>
      <c r="L128" s="170" t="str">
        <f>IF(E128="","",IF(COUNTIFS(Table2[[#All],[De (Lote)]],'Input_APM (Zenith)'!F128)&gt;0,INDEX(Table2[[#All],[Para (Ticker Daniel)]],MATCH('Input_APM (Zenith)'!F128,Table2[[#All],[De (Lote)]],0)),'Input_APM (Zenith)'!F128))</f>
        <v/>
      </c>
      <c r="M128" s="170" t="str">
        <f t="shared" si="5"/>
        <v/>
      </c>
      <c r="N128" s="171" t="str">
        <f t="shared" si="6"/>
        <v/>
      </c>
      <c r="O128" s="171" t="str">
        <f t="shared" si="7"/>
        <v/>
      </c>
    </row>
    <row r="129" spans="11:15">
      <c r="K129" s="170" t="str">
        <f t="shared" si="4"/>
        <v/>
      </c>
      <c r="L129" s="170" t="str">
        <f>IF(E129="","",IF(COUNTIFS(Table2[[#All],[De (Lote)]],'Input_APM (Zenith)'!F129)&gt;0,INDEX(Table2[[#All],[Para (Ticker Daniel)]],MATCH('Input_APM (Zenith)'!F129,Table2[[#All],[De (Lote)]],0)),'Input_APM (Zenith)'!F129))</f>
        <v/>
      </c>
      <c r="M129" s="170" t="str">
        <f t="shared" si="5"/>
        <v/>
      </c>
      <c r="N129" s="171" t="str">
        <f t="shared" si="6"/>
        <v/>
      </c>
      <c r="O129" s="171" t="str">
        <f t="shared" si="7"/>
        <v/>
      </c>
    </row>
    <row r="130" spans="11:15">
      <c r="K130" s="170" t="str">
        <f t="shared" si="4"/>
        <v/>
      </c>
      <c r="L130" s="170" t="str">
        <f>IF(E130="","",IF(COUNTIFS(Table2[[#All],[De (Lote)]],'Input_APM (Zenith)'!F130)&gt;0,INDEX(Table2[[#All],[Para (Ticker Daniel)]],MATCH('Input_APM (Zenith)'!F130,Table2[[#All],[De (Lote)]],0)),'Input_APM (Zenith)'!F130))</f>
        <v/>
      </c>
      <c r="M130" s="170" t="str">
        <f t="shared" si="5"/>
        <v/>
      </c>
      <c r="N130" s="171" t="str">
        <f t="shared" si="6"/>
        <v/>
      </c>
      <c r="O130" s="171" t="str">
        <f t="shared" si="7"/>
        <v/>
      </c>
    </row>
    <row r="131" spans="11:15">
      <c r="K131" s="170" t="str">
        <f t="shared" ref="K131:K148" si="8">IF(E131="","",E131)</f>
        <v/>
      </c>
      <c r="L131" s="170" t="str">
        <f>IF(E131="","",IF(COUNTIFS(Table2[[#All],[De (Lote)]],'Input_APM (Zenith)'!F131)&gt;0,INDEX(Table2[[#All],[Para (Ticker Daniel)]],MATCH('Input_APM (Zenith)'!F131,Table2[[#All],[De (Lote)]],0)),'Input_APM (Zenith)'!F131))</f>
        <v/>
      </c>
      <c r="M131" s="170" t="str">
        <f t="shared" ref="M131:M148" si="9">IF(E131="","",G131)</f>
        <v/>
      </c>
      <c r="N131" s="171" t="str">
        <f t="shared" ref="N131:N148" si="10">IF(E131="","",H131)</f>
        <v/>
      </c>
      <c r="O131" s="171" t="str">
        <f t="shared" ref="O131:O148" si="11">IF(E131="","",I131)</f>
        <v/>
      </c>
    </row>
    <row r="132" spans="11:15">
      <c r="K132" s="170" t="str">
        <f t="shared" si="8"/>
        <v/>
      </c>
      <c r="L132" s="170" t="str">
        <f>IF(E132="","",IF(COUNTIFS(Table2[[#All],[De (Lote)]],'Input_APM (Zenith)'!F132)&gt;0,INDEX(Table2[[#All],[Para (Ticker Daniel)]],MATCH('Input_APM (Zenith)'!F132,Table2[[#All],[De (Lote)]],0)),'Input_APM (Zenith)'!F132))</f>
        <v/>
      </c>
      <c r="M132" s="170" t="str">
        <f t="shared" si="9"/>
        <v/>
      </c>
      <c r="N132" s="171" t="str">
        <f t="shared" si="10"/>
        <v/>
      </c>
      <c r="O132" s="171" t="str">
        <f t="shared" si="11"/>
        <v/>
      </c>
    </row>
    <row r="133" spans="11:15">
      <c r="K133" s="170" t="str">
        <f t="shared" si="8"/>
        <v/>
      </c>
      <c r="L133" s="170" t="str">
        <f>IF(E133="","",IF(COUNTIFS(Table2[[#All],[De (Lote)]],'Input_APM (Zenith)'!F133)&gt;0,INDEX(Table2[[#All],[Para (Ticker Daniel)]],MATCH('Input_APM (Zenith)'!F133,Table2[[#All],[De (Lote)]],0)),'Input_APM (Zenith)'!F133))</f>
        <v/>
      </c>
      <c r="M133" s="170" t="str">
        <f t="shared" si="9"/>
        <v/>
      </c>
      <c r="N133" s="171" t="str">
        <f t="shared" si="10"/>
        <v/>
      </c>
      <c r="O133" s="171" t="str">
        <f t="shared" si="11"/>
        <v/>
      </c>
    </row>
    <row r="134" spans="11:15">
      <c r="K134" s="170" t="str">
        <f t="shared" si="8"/>
        <v/>
      </c>
      <c r="L134" s="170" t="str">
        <f>IF(E134="","",IF(COUNTIFS(Table2[[#All],[De (Lote)]],'Input_APM (Zenith)'!F134)&gt;0,INDEX(Table2[[#All],[Para (Ticker Daniel)]],MATCH('Input_APM (Zenith)'!F134,Table2[[#All],[De (Lote)]],0)),'Input_APM (Zenith)'!F134))</f>
        <v/>
      </c>
      <c r="M134" s="170" t="str">
        <f t="shared" si="9"/>
        <v/>
      </c>
      <c r="N134" s="171" t="str">
        <f t="shared" si="10"/>
        <v/>
      </c>
      <c r="O134" s="171" t="str">
        <f t="shared" si="11"/>
        <v/>
      </c>
    </row>
    <row r="135" spans="11:15">
      <c r="K135" s="170" t="str">
        <f t="shared" si="8"/>
        <v/>
      </c>
      <c r="L135" s="170" t="str">
        <f>IF(E135="","",IF(COUNTIFS(Table2[[#All],[De (Lote)]],'Input_APM (Zenith)'!F135)&gt;0,INDEX(Table2[[#All],[Para (Ticker Daniel)]],MATCH('Input_APM (Zenith)'!F135,Table2[[#All],[De (Lote)]],0)),'Input_APM (Zenith)'!F135))</f>
        <v/>
      </c>
      <c r="M135" s="170" t="str">
        <f t="shared" si="9"/>
        <v/>
      </c>
      <c r="N135" s="171" t="str">
        <f t="shared" si="10"/>
        <v/>
      </c>
      <c r="O135" s="171" t="str">
        <f t="shared" si="11"/>
        <v/>
      </c>
    </row>
    <row r="136" spans="11:15">
      <c r="K136" s="170" t="str">
        <f t="shared" si="8"/>
        <v/>
      </c>
      <c r="L136" s="170" t="str">
        <f>IF(E136="","",IF(COUNTIFS(Table2[[#All],[De (Lote)]],'Input_APM (Zenith)'!F136)&gt;0,INDEX(Table2[[#All],[Para (Ticker Daniel)]],MATCH('Input_APM (Zenith)'!F136,Table2[[#All],[De (Lote)]],0)),'Input_APM (Zenith)'!F136))</f>
        <v/>
      </c>
      <c r="M136" s="170" t="str">
        <f t="shared" si="9"/>
        <v/>
      </c>
      <c r="N136" s="171" t="str">
        <f t="shared" si="10"/>
        <v/>
      </c>
      <c r="O136" s="171" t="str">
        <f t="shared" si="11"/>
        <v/>
      </c>
    </row>
    <row r="137" spans="11:15">
      <c r="K137" s="170" t="str">
        <f t="shared" si="8"/>
        <v/>
      </c>
      <c r="L137" s="170" t="str">
        <f>IF(E137="","",IF(COUNTIFS(Table2[[#All],[De (Lote)]],'Input_APM (Zenith)'!F137)&gt;0,INDEX(Table2[[#All],[Para (Ticker Daniel)]],MATCH('Input_APM (Zenith)'!F137,Table2[[#All],[De (Lote)]],0)),'Input_APM (Zenith)'!F137))</f>
        <v/>
      </c>
      <c r="M137" s="170" t="str">
        <f t="shared" si="9"/>
        <v/>
      </c>
      <c r="N137" s="171" t="str">
        <f t="shared" si="10"/>
        <v/>
      </c>
      <c r="O137" s="171" t="str">
        <f t="shared" si="11"/>
        <v/>
      </c>
    </row>
    <row r="138" spans="11:15">
      <c r="K138" s="170" t="str">
        <f t="shared" si="8"/>
        <v/>
      </c>
      <c r="L138" s="170" t="str">
        <f>IF(E138="","",IF(COUNTIFS(Table2[[#All],[De (Lote)]],'Input_APM (Zenith)'!F138)&gt;0,INDEX(Table2[[#All],[Para (Ticker Daniel)]],MATCH('Input_APM (Zenith)'!F138,Table2[[#All],[De (Lote)]],0)),'Input_APM (Zenith)'!F138))</f>
        <v/>
      </c>
      <c r="M138" s="170" t="str">
        <f t="shared" si="9"/>
        <v/>
      </c>
      <c r="N138" s="171" t="str">
        <f t="shared" si="10"/>
        <v/>
      </c>
      <c r="O138" s="171" t="str">
        <f t="shared" si="11"/>
        <v/>
      </c>
    </row>
    <row r="139" spans="11:15">
      <c r="K139" s="170" t="str">
        <f t="shared" si="8"/>
        <v/>
      </c>
      <c r="L139" s="170" t="str">
        <f>IF(E139="","",IF(COUNTIFS(Table2[[#All],[De (Lote)]],'Input_APM (Zenith)'!F139)&gt;0,INDEX(Table2[[#All],[Para (Ticker Daniel)]],MATCH('Input_APM (Zenith)'!F139,Table2[[#All],[De (Lote)]],0)),'Input_APM (Zenith)'!F139))</f>
        <v/>
      </c>
      <c r="M139" s="170" t="str">
        <f t="shared" si="9"/>
        <v/>
      </c>
      <c r="N139" s="171" t="str">
        <f t="shared" si="10"/>
        <v/>
      </c>
      <c r="O139" s="171" t="str">
        <f t="shared" si="11"/>
        <v/>
      </c>
    </row>
    <row r="140" spans="11:15">
      <c r="K140" s="170" t="str">
        <f t="shared" si="8"/>
        <v/>
      </c>
      <c r="L140" s="170" t="str">
        <f>IF(E140="","",IF(COUNTIFS(Table2[[#All],[De (Lote)]],'Input_APM (Zenith)'!F140)&gt;0,INDEX(Table2[[#All],[Para (Ticker Daniel)]],MATCH('Input_APM (Zenith)'!F140,Table2[[#All],[De (Lote)]],0)),'Input_APM (Zenith)'!F140))</f>
        <v/>
      </c>
      <c r="M140" s="170" t="str">
        <f t="shared" si="9"/>
        <v/>
      </c>
      <c r="N140" s="171" t="str">
        <f t="shared" si="10"/>
        <v/>
      </c>
      <c r="O140" s="171" t="str">
        <f t="shared" si="11"/>
        <v/>
      </c>
    </row>
    <row r="141" spans="11:15">
      <c r="K141" s="170" t="str">
        <f t="shared" si="8"/>
        <v/>
      </c>
      <c r="L141" s="170" t="str">
        <f>IF(E141="","",IF(COUNTIFS(Table2[[#All],[De (Lote)]],'Input_APM (Zenith)'!F141)&gt;0,INDEX(Table2[[#All],[Para (Ticker Daniel)]],MATCH('Input_APM (Zenith)'!F141,Table2[[#All],[De (Lote)]],0)),'Input_APM (Zenith)'!F141))</f>
        <v/>
      </c>
      <c r="M141" s="170" t="str">
        <f t="shared" si="9"/>
        <v/>
      </c>
      <c r="N141" s="171" t="str">
        <f t="shared" si="10"/>
        <v/>
      </c>
      <c r="O141" s="171" t="str">
        <f t="shared" si="11"/>
        <v/>
      </c>
    </row>
    <row r="142" spans="11:15">
      <c r="K142" s="170" t="str">
        <f t="shared" si="8"/>
        <v/>
      </c>
      <c r="L142" s="170" t="str">
        <f>IF(E142="","",IF(COUNTIFS(Table2[[#All],[De (Lote)]],'Input_APM (Zenith)'!F142)&gt;0,INDEX(Table2[[#All],[Para (Ticker Daniel)]],MATCH('Input_APM (Zenith)'!F142,Table2[[#All],[De (Lote)]],0)),'Input_APM (Zenith)'!F142))</f>
        <v/>
      </c>
      <c r="M142" s="170" t="str">
        <f t="shared" si="9"/>
        <v/>
      </c>
      <c r="N142" s="171" t="str">
        <f t="shared" si="10"/>
        <v/>
      </c>
      <c r="O142" s="171" t="str">
        <f t="shared" si="11"/>
        <v/>
      </c>
    </row>
    <row r="143" spans="11:15">
      <c r="K143" s="170" t="str">
        <f t="shared" si="8"/>
        <v/>
      </c>
      <c r="L143" s="170" t="str">
        <f>IF(E143="","",IF(COUNTIFS(Table2[[#All],[De (Lote)]],'Input_APM (Zenith)'!F143)&gt;0,INDEX(Table2[[#All],[Para (Ticker Daniel)]],MATCH('Input_APM (Zenith)'!F143,Table2[[#All],[De (Lote)]],0)),'Input_APM (Zenith)'!F143))</f>
        <v/>
      </c>
      <c r="M143" s="170" t="str">
        <f t="shared" si="9"/>
        <v/>
      </c>
      <c r="N143" s="171" t="str">
        <f t="shared" si="10"/>
        <v/>
      </c>
      <c r="O143" s="171" t="str">
        <f t="shared" si="11"/>
        <v/>
      </c>
    </row>
    <row r="144" spans="11:15">
      <c r="K144" s="170" t="str">
        <f t="shared" si="8"/>
        <v/>
      </c>
      <c r="L144" s="170" t="str">
        <f>IF(E144="","",IF(COUNTIFS(Table2[[#All],[De (Lote)]],'Input_APM (Zenith)'!F144)&gt;0,INDEX(Table2[[#All],[Para (Ticker Daniel)]],MATCH('Input_APM (Zenith)'!F144,Table2[[#All],[De (Lote)]],0)),'Input_APM (Zenith)'!F144))</f>
        <v/>
      </c>
      <c r="M144" s="170" t="str">
        <f t="shared" si="9"/>
        <v/>
      </c>
      <c r="N144" s="171" t="str">
        <f t="shared" si="10"/>
        <v/>
      </c>
      <c r="O144" s="171" t="str">
        <f t="shared" si="11"/>
        <v/>
      </c>
    </row>
    <row r="145" spans="11:15">
      <c r="K145" s="170" t="str">
        <f t="shared" si="8"/>
        <v/>
      </c>
      <c r="L145" s="170" t="str">
        <f>IF(E145="","",IF(COUNTIFS(Table2[[#All],[De (Lote)]],'Input_APM (Zenith)'!F145)&gt;0,INDEX(Table2[[#All],[Para (Ticker Daniel)]],MATCH('Input_APM (Zenith)'!F145,Table2[[#All],[De (Lote)]],0)),'Input_APM (Zenith)'!F145))</f>
        <v/>
      </c>
      <c r="M145" s="170" t="str">
        <f t="shared" si="9"/>
        <v/>
      </c>
      <c r="N145" s="171" t="str">
        <f t="shared" si="10"/>
        <v/>
      </c>
      <c r="O145" s="171" t="str">
        <f t="shared" si="11"/>
        <v/>
      </c>
    </row>
    <row r="146" spans="11:15">
      <c r="K146" s="170" t="str">
        <f t="shared" si="8"/>
        <v/>
      </c>
      <c r="L146" s="170" t="str">
        <f>IF(E146="","",IF(COUNTIFS(Table2[[#All],[De (Lote)]],'Input_APM (Zenith)'!F146)&gt;0,INDEX(Table2[[#All],[Para (Ticker Daniel)]],MATCH('Input_APM (Zenith)'!F146,Table2[[#All],[De (Lote)]],0)),'Input_APM (Zenith)'!F146))</f>
        <v/>
      </c>
      <c r="M146" s="170" t="str">
        <f t="shared" si="9"/>
        <v/>
      </c>
      <c r="N146" s="171" t="str">
        <f t="shared" si="10"/>
        <v/>
      </c>
      <c r="O146" s="171" t="str">
        <f t="shared" si="11"/>
        <v/>
      </c>
    </row>
    <row r="147" spans="11:15">
      <c r="K147" s="170" t="str">
        <f t="shared" si="8"/>
        <v/>
      </c>
      <c r="L147" s="170" t="str">
        <f>IF(E147="","",IF(COUNTIFS(Table2[[#All],[De (Lote)]],'Input_APM (Zenith)'!F147)&gt;0,INDEX(Table2[[#All],[Para (Ticker Daniel)]],MATCH('Input_APM (Zenith)'!F147,Table2[[#All],[De (Lote)]],0)),'Input_APM (Zenith)'!F147))</f>
        <v/>
      </c>
      <c r="M147" s="170" t="str">
        <f t="shared" si="9"/>
        <v/>
      </c>
      <c r="N147" s="171" t="str">
        <f t="shared" si="10"/>
        <v/>
      </c>
      <c r="O147" s="171" t="str">
        <f t="shared" si="11"/>
        <v/>
      </c>
    </row>
    <row r="148" spans="11:15">
      <c r="K148" s="170" t="str">
        <f t="shared" si="8"/>
        <v/>
      </c>
      <c r="L148" s="170" t="str">
        <f>IF(E148="","",IF(COUNTIFS(Table2[[#All],[De (Lote)]],'Input_APM (Zenith)'!F148)&gt;0,INDEX(Table2[[#All],[Para (Ticker Daniel)]],MATCH('Input_APM (Zenith)'!F148,Table2[[#All],[De (Lote)]],0)),'Input_APM (Zenith)'!F148))</f>
        <v/>
      </c>
      <c r="M148" s="170" t="str">
        <f t="shared" si="9"/>
        <v/>
      </c>
      <c r="N148" s="171" t="str">
        <f t="shared" si="10"/>
        <v/>
      </c>
      <c r="O148" s="171" t="str">
        <f t="shared" si="11"/>
        <v/>
      </c>
    </row>
    <row r="149" spans="11:15">
      <c r="K149" s="170" t="str">
        <f t="shared" ref="K149:K156" si="12">IF(E149="","",E149)</f>
        <v/>
      </c>
      <c r="L149" s="170" t="str">
        <f>IF(E149="","",IF(COUNTIFS(Table2[[#All],[De (Lote)]],'Input_APM (Zenith)'!F149)&gt;0,INDEX(Table2[[#All],[Para (Ticker Daniel)]],MATCH('Input_APM (Zenith)'!F149,Table2[[#All],[De (Lote)]],0)),'Input_APM (Zenith)'!F149))</f>
        <v/>
      </c>
      <c r="M149" s="170" t="str">
        <f t="shared" ref="M149:M156" si="13">IF(E149="","",G149)</f>
        <v/>
      </c>
      <c r="N149" s="171" t="str">
        <f t="shared" ref="N149:N156" si="14">IF(E149="","",H149)</f>
        <v/>
      </c>
      <c r="O149" s="171" t="str">
        <f t="shared" ref="O149:O156" si="15">IF(E149="","",I149)</f>
        <v/>
      </c>
    </row>
    <row r="150" spans="11:15">
      <c r="K150" s="170" t="str">
        <f t="shared" si="12"/>
        <v/>
      </c>
      <c r="L150" s="170" t="str">
        <f>IF(E150="","",IF(COUNTIFS(Table2[[#All],[De (Lote)]],'Input_APM (Zenith)'!F150)&gt;0,INDEX(Table2[[#All],[Para (Ticker Daniel)]],MATCH('Input_APM (Zenith)'!F150,Table2[[#All],[De (Lote)]],0)),'Input_APM (Zenith)'!F150))</f>
        <v/>
      </c>
      <c r="M150" s="170" t="str">
        <f t="shared" si="13"/>
        <v/>
      </c>
      <c r="N150" s="171" t="str">
        <f t="shared" si="14"/>
        <v/>
      </c>
      <c r="O150" s="171" t="str">
        <f t="shared" si="15"/>
        <v/>
      </c>
    </row>
    <row r="151" spans="11:15">
      <c r="K151" s="170" t="str">
        <f t="shared" si="12"/>
        <v/>
      </c>
      <c r="L151" s="170" t="str">
        <f>IF(E151="","",IF(COUNTIFS(Table2[[#All],[De (Lote)]],'Input_APM (Zenith)'!F151)&gt;0,INDEX(Table2[[#All],[Para (Ticker Daniel)]],MATCH('Input_APM (Zenith)'!F151,Table2[[#All],[De (Lote)]],0)),'Input_APM (Zenith)'!F151))</f>
        <v/>
      </c>
      <c r="M151" s="170" t="str">
        <f t="shared" si="13"/>
        <v/>
      </c>
      <c r="N151" s="171" t="str">
        <f t="shared" si="14"/>
        <v/>
      </c>
      <c r="O151" s="171" t="str">
        <f t="shared" si="15"/>
        <v/>
      </c>
    </row>
    <row r="152" spans="11:15">
      <c r="K152" s="170" t="str">
        <f t="shared" si="12"/>
        <v/>
      </c>
      <c r="L152" s="170" t="str">
        <f>IF(E152="","",IF(COUNTIFS(Table2[[#All],[De (Lote)]],'Input_APM (Zenith)'!F152)&gt;0,INDEX(Table2[[#All],[Para (Ticker Daniel)]],MATCH('Input_APM (Zenith)'!F152,Table2[[#All],[De (Lote)]],0)),'Input_APM (Zenith)'!F152))</f>
        <v/>
      </c>
      <c r="M152" s="170" t="str">
        <f t="shared" si="13"/>
        <v/>
      </c>
      <c r="N152" s="171" t="str">
        <f t="shared" si="14"/>
        <v/>
      </c>
      <c r="O152" s="171" t="str">
        <f t="shared" si="15"/>
        <v/>
      </c>
    </row>
    <row r="153" spans="11:15">
      <c r="K153" s="170" t="str">
        <f t="shared" si="12"/>
        <v/>
      </c>
      <c r="L153" s="170" t="str">
        <f>IF(E153="","",IF(COUNTIFS(Table2[[#All],[De (Lote)]],'Input_APM (Zenith)'!F153)&gt;0,INDEX(Table2[[#All],[Para (Ticker Daniel)]],MATCH('Input_APM (Zenith)'!F153,Table2[[#All],[De (Lote)]],0)),'Input_APM (Zenith)'!F153))</f>
        <v/>
      </c>
      <c r="M153" s="170" t="str">
        <f t="shared" si="13"/>
        <v/>
      </c>
      <c r="N153" s="171" t="str">
        <f t="shared" si="14"/>
        <v/>
      </c>
      <c r="O153" s="171" t="str">
        <f t="shared" si="15"/>
        <v/>
      </c>
    </row>
    <row r="154" spans="11:15">
      <c r="K154" s="170" t="str">
        <f t="shared" si="12"/>
        <v/>
      </c>
      <c r="L154" s="170" t="str">
        <f>IF(E154="","",IF(COUNTIFS(Table2[[#All],[De (Lote)]],'Input_APM (Zenith)'!F154)&gt;0,INDEX(Table2[[#All],[Para (Ticker Daniel)]],MATCH('Input_APM (Zenith)'!F154,Table2[[#All],[De (Lote)]],0)),'Input_APM (Zenith)'!F154))</f>
        <v/>
      </c>
      <c r="M154" s="170" t="str">
        <f t="shared" si="13"/>
        <v/>
      </c>
      <c r="N154" s="171" t="str">
        <f t="shared" si="14"/>
        <v/>
      </c>
      <c r="O154" s="171" t="str">
        <f t="shared" si="15"/>
        <v/>
      </c>
    </row>
    <row r="155" spans="11:15">
      <c r="K155" s="170" t="str">
        <f t="shared" si="12"/>
        <v/>
      </c>
      <c r="L155" s="170" t="str">
        <f>IF(E155="","",IF(COUNTIFS(Table2[[#All],[De (Lote)]],'Input_APM (Zenith)'!F155)&gt;0,INDEX(Table2[[#All],[Para (Ticker Daniel)]],MATCH('Input_APM (Zenith)'!F155,Table2[[#All],[De (Lote)]],0)),'Input_APM (Zenith)'!F155))</f>
        <v/>
      </c>
      <c r="M155" s="170" t="str">
        <f t="shared" si="13"/>
        <v/>
      </c>
      <c r="N155" s="171" t="str">
        <f t="shared" si="14"/>
        <v/>
      </c>
      <c r="O155" s="171" t="str">
        <f t="shared" si="15"/>
        <v/>
      </c>
    </row>
    <row r="156" spans="11:15">
      <c r="K156" s="170" t="str">
        <f t="shared" si="12"/>
        <v/>
      </c>
      <c r="L156" s="170" t="str">
        <f>IF(E156="","",IF(COUNTIFS(Table2[[#All],[De (Lote)]],'Input_APM (Zenith)'!F156)&gt;0,INDEX(Table2[[#All],[Para (Ticker Daniel)]],MATCH('Input_APM (Zenith)'!F156,Table2[[#All],[De (Lote)]],0)),'Input_APM (Zenith)'!F156))</f>
        <v/>
      </c>
      <c r="M156" s="170" t="str">
        <f t="shared" si="13"/>
        <v/>
      </c>
      <c r="N156" s="171" t="str">
        <f t="shared" si="14"/>
        <v/>
      </c>
      <c r="O156" s="171" t="str">
        <f t="shared" si="15"/>
        <v/>
      </c>
    </row>
    <row r="157" spans="11:15">
      <c r="K157" s="170" t="str">
        <f>IF(E157="","",E157)</f>
        <v/>
      </c>
      <c r="L157" s="170" t="str">
        <f>IF(E157="","",IF(COUNTIFS(Table2[[#All],[De (Lote)]],'Input_APM (Zenith)'!F157)&gt;0,INDEX(Table2[[#All],[Para (Ticker Daniel)]],MATCH('Input_APM (Zenith)'!F157,Table2[[#All],[De (Lote)]],0)),'Input_APM (Zenith)'!F157))</f>
        <v/>
      </c>
      <c r="M157" s="170" t="str">
        <f>IF(E157="","",G157)</f>
        <v/>
      </c>
      <c r="N157" s="171" t="str">
        <f>IF(E157="","",H157)</f>
        <v/>
      </c>
      <c r="O157" s="171" t="str">
        <f>IF(E157="","",I157)</f>
        <v/>
      </c>
    </row>
    <row r="158" spans="11:15">
      <c r="K158" s="170" t="str">
        <f>IF(E158="","",E158)</f>
        <v/>
      </c>
      <c r="L158" s="170" t="str">
        <f>IF(E158="","",IF(COUNTIFS(Table2[[#All],[De (Lote)]],'Input_APM (Zenith)'!F158)&gt;0,INDEX(Table2[[#All],[Para (Ticker Daniel)]],MATCH('Input_APM (Zenith)'!F158,Table2[[#All],[De (Lote)]],0)),'Input_APM (Zenith)'!F158))</f>
        <v/>
      </c>
      <c r="M158" s="170" t="str">
        <f>IF(E158="","",G158)</f>
        <v/>
      </c>
      <c r="N158" s="171" t="str">
        <f>IF(E158="","",H158)</f>
        <v/>
      </c>
      <c r="O158" s="171" t="str">
        <f>IF(E158="","",I158)</f>
        <v/>
      </c>
    </row>
    <row r="159" spans="11:15">
      <c r="K159" s="170" t="str">
        <f>IF(E159="","",E159)</f>
        <v/>
      </c>
      <c r="L159" s="170" t="str">
        <f>IF(E159="","",IF(COUNTIFS(Table2[[#All],[De (Lote)]],'Input_APM (Zenith)'!F159)&gt;0,INDEX(Table2[[#All],[Para (Ticker Daniel)]],MATCH('Input_APM (Zenith)'!F159,Table2[[#All],[De (Lote)]],0)),'Input_APM (Zenith)'!F159))</f>
        <v/>
      </c>
      <c r="M159" s="170" t="str">
        <f>IF(E159="","",G159)</f>
        <v/>
      </c>
      <c r="N159" s="171" t="str">
        <f>IF(E159="","",H159)</f>
        <v/>
      </c>
      <c r="O159" s="171" t="str">
        <f>IF(E159="","",I159)</f>
        <v/>
      </c>
    </row>
    <row r="160" spans="11:15">
      <c r="K160" s="170" t="str">
        <f>IF(E160="","",E160)</f>
        <v/>
      </c>
      <c r="L160" s="170" t="str">
        <f>IF(E160="","",IF(COUNTIFS(Table2[[#All],[De (Lote)]],'Input_APM (Zenith)'!F160)&gt;0,INDEX(Table2[[#All],[Para (Ticker Daniel)]],MATCH('Input_APM (Zenith)'!F160,Table2[[#All],[De (Lote)]],0)),'Input_APM (Zenith)'!F160))</f>
        <v/>
      </c>
      <c r="M160" s="170" t="str">
        <f>IF(E160="","",G160)</f>
        <v/>
      </c>
      <c r="N160" s="171" t="str">
        <f>IF(E160="","",H160)</f>
        <v/>
      </c>
      <c r="O160" s="171" t="str">
        <f>IF(E160="","",I160)</f>
        <v/>
      </c>
    </row>
    <row r="161" spans="11:15">
      <c r="K161" s="170" t="str">
        <f>IF(E161="","",E161)</f>
        <v/>
      </c>
      <c r="L161" s="170" t="str">
        <f>IF(E161="","",IF(COUNTIFS(Table2[[#All],[De (Lote)]],'Input_APM (Zenith)'!F161)&gt;0,INDEX(Table2[[#All],[Para (Ticker Daniel)]],MATCH('Input_APM (Zenith)'!F161,Table2[[#All],[De (Lote)]],0)),'Input_APM (Zenith)'!F161))</f>
        <v/>
      </c>
      <c r="M161" s="170" t="str">
        <f>IF(E161="","",G161)</f>
        <v/>
      </c>
      <c r="N161" s="171" t="str">
        <f>IF(E161="","",H161)</f>
        <v/>
      </c>
      <c r="O161" s="171" t="str">
        <f>IF(E161="","",I161)</f>
        <v/>
      </c>
    </row>
    <row r="162" spans="11:15">
      <c r="K162" s="170" t="str">
        <f t="shared" ref="K162:K183" si="16">IF(E162="","",E162)</f>
        <v/>
      </c>
      <c r="L162" s="170" t="str">
        <f>IF(E162="","",IF(COUNTIFS(Table2[[#All],[De (Lote)]],'Input_APM (Zenith)'!F162)&gt;0,INDEX(Table2[[#All],[Para (Ticker Daniel)]],MATCH('Input_APM (Zenith)'!F162,Table2[[#All],[De (Lote)]],0)),'Input_APM (Zenith)'!F162))</f>
        <v/>
      </c>
      <c r="M162" s="170" t="str">
        <f t="shared" ref="M162:M183" si="17">IF(E162="","",G162)</f>
        <v/>
      </c>
      <c r="N162" s="171" t="str">
        <f t="shared" ref="N162:N183" si="18">IF(E162="","",H162)</f>
        <v/>
      </c>
      <c r="O162" s="171" t="str">
        <f t="shared" ref="O162:O183" si="19">IF(E162="","",I162)</f>
        <v/>
      </c>
    </row>
    <row r="163" spans="11:15">
      <c r="K163" s="170" t="str">
        <f t="shared" si="16"/>
        <v/>
      </c>
      <c r="L163" s="170" t="str">
        <f>IF(E163="","",IF(COUNTIFS(Table2[[#All],[De (Lote)]],'Input_APM (Zenith)'!F163)&gt;0,INDEX(Table2[[#All],[Para (Ticker Daniel)]],MATCH('Input_APM (Zenith)'!F163,Table2[[#All],[De (Lote)]],0)),'Input_APM (Zenith)'!F163))</f>
        <v/>
      </c>
      <c r="M163" s="170" t="str">
        <f t="shared" si="17"/>
        <v/>
      </c>
      <c r="N163" s="171" t="str">
        <f t="shared" si="18"/>
        <v/>
      </c>
      <c r="O163" s="171" t="str">
        <f t="shared" si="19"/>
        <v/>
      </c>
    </row>
    <row r="164" spans="11:15">
      <c r="K164" s="170" t="str">
        <f t="shared" si="16"/>
        <v/>
      </c>
      <c r="L164" s="170" t="str">
        <f>IF(E164="","",IF(COUNTIFS(Table2[[#All],[De (Lote)]],'Input_APM (Zenith)'!F164)&gt;0,INDEX(Table2[[#All],[Para (Ticker Daniel)]],MATCH('Input_APM (Zenith)'!F164,Table2[[#All],[De (Lote)]],0)),'Input_APM (Zenith)'!F164))</f>
        <v/>
      </c>
      <c r="M164" s="170" t="str">
        <f t="shared" si="17"/>
        <v/>
      </c>
      <c r="N164" s="171" t="str">
        <f t="shared" si="18"/>
        <v/>
      </c>
      <c r="O164" s="171" t="str">
        <f t="shared" si="19"/>
        <v/>
      </c>
    </row>
    <row r="165" spans="11:15">
      <c r="K165" s="170" t="str">
        <f t="shared" si="16"/>
        <v/>
      </c>
      <c r="L165" s="170" t="str">
        <f>IF(E165="","",IF(COUNTIFS(Table2[[#All],[De (Lote)]],'Input_APM (Zenith)'!F165)&gt;0,INDEX(Table2[[#All],[Para (Ticker Daniel)]],MATCH('Input_APM (Zenith)'!F165,Table2[[#All],[De (Lote)]],0)),'Input_APM (Zenith)'!F165))</f>
        <v/>
      </c>
      <c r="M165" s="170" t="str">
        <f t="shared" si="17"/>
        <v/>
      </c>
      <c r="N165" s="171" t="str">
        <f t="shared" si="18"/>
        <v/>
      </c>
      <c r="O165" s="171" t="str">
        <f t="shared" si="19"/>
        <v/>
      </c>
    </row>
    <row r="166" spans="11:15">
      <c r="K166" s="170" t="str">
        <f t="shared" si="16"/>
        <v/>
      </c>
      <c r="L166" s="170" t="str">
        <f>IF(E166="","",IF(COUNTIFS(Table2[[#All],[De (Lote)]],'Input_APM (Zenith)'!F166)&gt;0,INDEX(Table2[[#All],[Para (Ticker Daniel)]],MATCH('Input_APM (Zenith)'!F166,Table2[[#All],[De (Lote)]],0)),'Input_APM (Zenith)'!F166))</f>
        <v/>
      </c>
      <c r="M166" s="170" t="str">
        <f t="shared" si="17"/>
        <v/>
      </c>
      <c r="N166" s="171" t="str">
        <f t="shared" si="18"/>
        <v/>
      </c>
      <c r="O166" s="171" t="str">
        <f t="shared" si="19"/>
        <v/>
      </c>
    </row>
    <row r="167" spans="11:15">
      <c r="K167" s="170" t="str">
        <f t="shared" si="16"/>
        <v/>
      </c>
      <c r="L167" s="170" t="str">
        <f>IF(E167="","",IF(COUNTIFS(Table2[[#All],[De (Lote)]],'Input_APM (Zenith)'!F167)&gt;0,INDEX(Table2[[#All],[Para (Ticker Daniel)]],MATCH('Input_APM (Zenith)'!F167,Table2[[#All],[De (Lote)]],0)),'Input_APM (Zenith)'!F167))</f>
        <v/>
      </c>
      <c r="M167" s="170" t="str">
        <f t="shared" si="17"/>
        <v/>
      </c>
      <c r="N167" s="171" t="str">
        <f t="shared" si="18"/>
        <v/>
      </c>
      <c r="O167" s="171" t="str">
        <f t="shared" si="19"/>
        <v/>
      </c>
    </row>
    <row r="168" spans="11:15">
      <c r="K168" s="170" t="str">
        <f t="shared" si="16"/>
        <v/>
      </c>
      <c r="L168" s="170" t="str">
        <f>IF(E168="","",IF(COUNTIFS(Table2[[#All],[De (Lote)]],'Input_APM (Zenith)'!F168)&gt;0,INDEX(Table2[[#All],[Para (Ticker Daniel)]],MATCH('Input_APM (Zenith)'!F168,Table2[[#All],[De (Lote)]],0)),'Input_APM (Zenith)'!F168))</f>
        <v/>
      </c>
      <c r="M168" s="170" t="str">
        <f t="shared" si="17"/>
        <v/>
      </c>
      <c r="N168" s="171" t="str">
        <f t="shared" si="18"/>
        <v/>
      </c>
      <c r="O168" s="171" t="str">
        <f t="shared" si="19"/>
        <v/>
      </c>
    </row>
    <row r="169" spans="11:15">
      <c r="K169" s="170" t="str">
        <f t="shared" si="16"/>
        <v/>
      </c>
      <c r="L169" s="170" t="str">
        <f>IF(E169="","",IF(COUNTIFS(Table2[[#All],[De (Lote)]],'Input_APM (Zenith)'!F169)&gt;0,INDEX(Table2[[#All],[Para (Ticker Daniel)]],MATCH('Input_APM (Zenith)'!F169,Table2[[#All],[De (Lote)]],0)),'Input_APM (Zenith)'!F169))</f>
        <v/>
      </c>
      <c r="M169" s="170" t="str">
        <f t="shared" si="17"/>
        <v/>
      </c>
      <c r="N169" s="171" t="str">
        <f t="shared" si="18"/>
        <v/>
      </c>
      <c r="O169" s="171" t="str">
        <f t="shared" si="19"/>
        <v/>
      </c>
    </row>
    <row r="170" spans="11:15">
      <c r="K170" s="170" t="str">
        <f t="shared" si="16"/>
        <v/>
      </c>
      <c r="L170" s="170" t="str">
        <f>IF(E170="","",IF(COUNTIFS(Table2[[#All],[De (Lote)]],'Input_APM (Zenith)'!F170)&gt;0,INDEX(Table2[[#All],[Para (Ticker Daniel)]],MATCH('Input_APM (Zenith)'!F170,Table2[[#All],[De (Lote)]],0)),'Input_APM (Zenith)'!F170))</f>
        <v/>
      </c>
      <c r="M170" s="170" t="str">
        <f t="shared" si="17"/>
        <v/>
      </c>
      <c r="N170" s="171" t="str">
        <f t="shared" si="18"/>
        <v/>
      </c>
      <c r="O170" s="171" t="str">
        <f t="shared" si="19"/>
        <v/>
      </c>
    </row>
    <row r="171" spans="11:15">
      <c r="K171" s="170" t="str">
        <f t="shared" si="16"/>
        <v/>
      </c>
      <c r="L171" s="170" t="str">
        <f>IF(E171="","",IF(COUNTIFS(Table2[[#All],[De (Lote)]],'Input_APM (Zenith)'!F171)&gt;0,INDEX(Table2[[#All],[Para (Ticker Daniel)]],MATCH('Input_APM (Zenith)'!F171,Table2[[#All],[De (Lote)]],0)),'Input_APM (Zenith)'!F171))</f>
        <v/>
      </c>
      <c r="M171" s="170" t="str">
        <f t="shared" si="17"/>
        <v/>
      </c>
      <c r="N171" s="171" t="str">
        <f t="shared" si="18"/>
        <v/>
      </c>
      <c r="O171" s="171" t="str">
        <f t="shared" si="19"/>
        <v/>
      </c>
    </row>
    <row r="172" spans="11:15">
      <c r="K172" s="170" t="str">
        <f t="shared" si="16"/>
        <v/>
      </c>
      <c r="L172" s="170" t="str">
        <f>IF(E172="","",IF(COUNTIFS(Table2[[#All],[De (Lote)]],'Input_APM (Zenith)'!F172)&gt;0,INDEX(Table2[[#All],[Para (Ticker Daniel)]],MATCH('Input_APM (Zenith)'!F172,Table2[[#All],[De (Lote)]],0)),'Input_APM (Zenith)'!F172))</f>
        <v/>
      </c>
      <c r="M172" s="170" t="str">
        <f t="shared" si="17"/>
        <v/>
      </c>
      <c r="N172" s="171" t="str">
        <f t="shared" si="18"/>
        <v/>
      </c>
      <c r="O172" s="171" t="str">
        <f t="shared" si="19"/>
        <v/>
      </c>
    </row>
    <row r="173" spans="11:15">
      <c r="K173" s="170" t="str">
        <f t="shared" si="16"/>
        <v/>
      </c>
      <c r="L173" s="170" t="str">
        <f>IF(E173="","",IF(COUNTIFS(Table2[[#All],[De (Lote)]],'Input_APM (Zenith)'!F173)&gt;0,INDEX(Table2[[#All],[Para (Ticker Daniel)]],MATCH('Input_APM (Zenith)'!F173,Table2[[#All],[De (Lote)]],0)),'Input_APM (Zenith)'!F173))</f>
        <v/>
      </c>
      <c r="M173" s="170" t="str">
        <f t="shared" si="17"/>
        <v/>
      </c>
      <c r="N173" s="171" t="str">
        <f t="shared" si="18"/>
        <v/>
      </c>
      <c r="O173" s="171" t="str">
        <f t="shared" si="19"/>
        <v/>
      </c>
    </row>
    <row r="174" spans="11:15">
      <c r="K174" s="170" t="str">
        <f t="shared" si="16"/>
        <v/>
      </c>
      <c r="L174" s="170" t="str">
        <f>IF(E174="","",IF(COUNTIFS(Table2[[#All],[De (Lote)]],'Input_APM (Zenith)'!F174)&gt;0,INDEX(Table2[[#All],[Para (Ticker Daniel)]],MATCH('Input_APM (Zenith)'!F174,Table2[[#All],[De (Lote)]],0)),'Input_APM (Zenith)'!F174))</f>
        <v/>
      </c>
      <c r="M174" s="170" t="str">
        <f t="shared" si="17"/>
        <v/>
      </c>
      <c r="N174" s="171" t="str">
        <f t="shared" si="18"/>
        <v/>
      </c>
      <c r="O174" s="171" t="str">
        <f t="shared" si="19"/>
        <v/>
      </c>
    </row>
    <row r="175" spans="11:15">
      <c r="K175" s="170" t="str">
        <f t="shared" si="16"/>
        <v/>
      </c>
      <c r="L175" s="170" t="str">
        <f>IF(E175="","",IF(COUNTIFS(Table2[[#All],[De (Lote)]],'Input_APM (Zenith)'!F175)&gt;0,INDEX(Table2[[#All],[Para (Ticker Daniel)]],MATCH('Input_APM (Zenith)'!F175,Table2[[#All],[De (Lote)]],0)),'Input_APM (Zenith)'!F175))</f>
        <v/>
      </c>
      <c r="M175" s="170" t="str">
        <f t="shared" si="17"/>
        <v/>
      </c>
      <c r="N175" s="171" t="str">
        <f t="shared" si="18"/>
        <v/>
      </c>
      <c r="O175" s="171" t="str">
        <f t="shared" si="19"/>
        <v/>
      </c>
    </row>
    <row r="176" spans="11:15">
      <c r="K176" s="170" t="str">
        <f t="shared" si="16"/>
        <v/>
      </c>
      <c r="L176" s="170" t="str">
        <f>IF(E176="","",IF(COUNTIFS(Table2[[#All],[De (Lote)]],'Input_APM (Zenith)'!F176)&gt;0,INDEX(Table2[[#All],[Para (Ticker Daniel)]],MATCH('Input_APM (Zenith)'!F176,Table2[[#All],[De (Lote)]],0)),'Input_APM (Zenith)'!F176))</f>
        <v/>
      </c>
      <c r="M176" s="170" t="str">
        <f t="shared" si="17"/>
        <v/>
      </c>
      <c r="N176" s="171" t="str">
        <f t="shared" si="18"/>
        <v/>
      </c>
      <c r="O176" s="171" t="str">
        <f t="shared" si="19"/>
        <v/>
      </c>
    </row>
    <row r="177" spans="11:15">
      <c r="K177" s="170" t="str">
        <f t="shared" si="16"/>
        <v/>
      </c>
      <c r="L177" s="170" t="str">
        <f>IF(E177="","",IF(COUNTIFS(Table2[[#All],[De (Lote)]],'Input_APM (Zenith)'!F177)&gt;0,INDEX(Table2[[#All],[Para (Ticker Daniel)]],MATCH('Input_APM (Zenith)'!F177,Table2[[#All],[De (Lote)]],0)),'Input_APM (Zenith)'!F177))</f>
        <v/>
      </c>
      <c r="M177" s="170" t="str">
        <f t="shared" si="17"/>
        <v/>
      </c>
      <c r="N177" s="171" t="str">
        <f t="shared" si="18"/>
        <v/>
      </c>
      <c r="O177" s="171" t="str">
        <f t="shared" si="19"/>
        <v/>
      </c>
    </row>
    <row r="178" spans="11:15">
      <c r="K178" s="170" t="str">
        <f t="shared" si="16"/>
        <v/>
      </c>
      <c r="L178" s="170" t="str">
        <f>IF(E178="","",IF(COUNTIFS(Table2[[#All],[De (Lote)]],'Input_APM (Zenith)'!F178)&gt;0,INDEX(Table2[[#All],[Para (Ticker Daniel)]],MATCH('Input_APM (Zenith)'!F178,Table2[[#All],[De (Lote)]],0)),'Input_APM (Zenith)'!F178))</f>
        <v/>
      </c>
      <c r="M178" s="170" t="str">
        <f t="shared" si="17"/>
        <v/>
      </c>
      <c r="N178" s="171" t="str">
        <f t="shared" si="18"/>
        <v/>
      </c>
      <c r="O178" s="171" t="str">
        <f t="shared" si="19"/>
        <v/>
      </c>
    </row>
    <row r="179" spans="11:15">
      <c r="K179" s="170" t="str">
        <f t="shared" si="16"/>
        <v/>
      </c>
      <c r="L179" s="170" t="str">
        <f>IF(E179="","",IF(COUNTIFS(Table2[[#All],[De (Lote)]],'Input_APM (Zenith)'!F179)&gt;0,INDEX(Table2[[#All],[Para (Ticker Daniel)]],MATCH('Input_APM (Zenith)'!F179,Table2[[#All],[De (Lote)]],0)),'Input_APM (Zenith)'!F179))</f>
        <v/>
      </c>
      <c r="M179" s="170" t="str">
        <f t="shared" si="17"/>
        <v/>
      </c>
      <c r="N179" s="171" t="str">
        <f t="shared" si="18"/>
        <v/>
      </c>
      <c r="O179" s="171" t="str">
        <f t="shared" si="19"/>
        <v/>
      </c>
    </row>
    <row r="180" spans="11:15">
      <c r="K180" s="170" t="str">
        <f t="shared" si="16"/>
        <v/>
      </c>
      <c r="L180" s="170" t="str">
        <f>IF(E180="","",IF(COUNTIFS(Table2[[#All],[De (Lote)]],'Input_APM (Zenith)'!F180)&gt;0,INDEX(Table2[[#All],[Para (Ticker Daniel)]],MATCH('Input_APM (Zenith)'!F180,Table2[[#All],[De (Lote)]],0)),'Input_APM (Zenith)'!F180))</f>
        <v/>
      </c>
      <c r="M180" s="170" t="str">
        <f t="shared" si="17"/>
        <v/>
      </c>
      <c r="N180" s="171" t="str">
        <f t="shared" si="18"/>
        <v/>
      </c>
      <c r="O180" s="171" t="str">
        <f t="shared" si="19"/>
        <v/>
      </c>
    </row>
    <row r="181" spans="11:15">
      <c r="K181" s="170" t="str">
        <f t="shared" si="16"/>
        <v/>
      </c>
      <c r="L181" s="170" t="str">
        <f>IF(E181="","",IF(COUNTIFS(Table2[[#All],[De (Lote)]],'Input_APM (Zenith)'!F181)&gt;0,INDEX(Table2[[#All],[Para (Ticker Daniel)]],MATCH('Input_APM (Zenith)'!F181,Table2[[#All],[De (Lote)]],0)),'Input_APM (Zenith)'!F181))</f>
        <v/>
      </c>
      <c r="M181" s="170" t="str">
        <f t="shared" si="17"/>
        <v/>
      </c>
      <c r="N181" s="171" t="str">
        <f t="shared" si="18"/>
        <v/>
      </c>
      <c r="O181" s="171" t="str">
        <f t="shared" si="19"/>
        <v/>
      </c>
    </row>
    <row r="182" spans="11:15">
      <c r="K182" s="170" t="str">
        <f t="shared" si="16"/>
        <v/>
      </c>
      <c r="L182" s="170" t="str">
        <f>IF(E182="","",IF(COUNTIFS(Table2[[#All],[De (Lote)]],'Input_APM (Zenith)'!F182)&gt;0,INDEX(Table2[[#All],[Para (Ticker Daniel)]],MATCH('Input_APM (Zenith)'!F182,Table2[[#All],[De (Lote)]],0)),'Input_APM (Zenith)'!F182))</f>
        <v/>
      </c>
      <c r="M182" s="170" t="str">
        <f t="shared" si="17"/>
        <v/>
      </c>
      <c r="N182" s="171" t="str">
        <f t="shared" si="18"/>
        <v/>
      </c>
      <c r="O182" s="171" t="str">
        <f t="shared" si="19"/>
        <v/>
      </c>
    </row>
    <row r="183" spans="11:15">
      <c r="K183" s="170" t="str">
        <f t="shared" si="16"/>
        <v/>
      </c>
      <c r="L183" s="170" t="str">
        <f>IF(E183="","",IF(COUNTIFS(Table2[[#All],[De (Lote)]],'Input_APM (Zenith)'!F183)&gt;0,INDEX(Table2[[#All],[Para (Ticker Daniel)]],MATCH('Input_APM (Zenith)'!F183,Table2[[#All],[De (Lote)]],0)),'Input_APM (Zenith)'!F183))</f>
        <v/>
      </c>
      <c r="M183" s="170" t="str">
        <f t="shared" si="17"/>
        <v/>
      </c>
      <c r="N183" s="171" t="str">
        <f t="shared" si="18"/>
        <v/>
      </c>
      <c r="O183" s="171" t="str">
        <f t="shared" si="19"/>
        <v/>
      </c>
    </row>
    <row r="184" spans="11:15">
      <c r="K184" s="170" t="str">
        <f>IF(E184="","",E184)</f>
        <v/>
      </c>
      <c r="L184" s="170" t="str">
        <f>IF(E184="","",IF(COUNTIFS(Table2[[#All],[De (Lote)]],'Input_APM (Zenith)'!F184)&gt;0,INDEX(Table2[[#All],[Para (Ticker Daniel)]],MATCH('Input_APM (Zenith)'!F184,Table2[[#All],[De (Lote)]],0)),'Input_APM (Zenith)'!F184))</f>
        <v/>
      </c>
      <c r="M184" s="170" t="str">
        <f>IF(E184="","",G184)</f>
        <v/>
      </c>
      <c r="N184" s="171" t="str">
        <f>IF(E184="","",H184)</f>
        <v/>
      </c>
      <c r="O184" s="171" t="str">
        <f>IF(E184="","",I184)</f>
        <v/>
      </c>
    </row>
    <row r="185" spans="11:15">
      <c r="K185" s="170" t="str">
        <f>IF(E185="","",E185)</f>
        <v/>
      </c>
      <c r="L185" s="170" t="str">
        <f>IF(E185="","",IF(COUNTIFS(Table2[[#All],[De (Lote)]],'Input_APM (Zenith)'!F185)&gt;0,INDEX(Table2[[#All],[Para (Ticker Daniel)]],MATCH('Input_APM (Zenith)'!F185,Table2[[#All],[De (Lote)]],0)),'Input_APM (Zenith)'!F185))</f>
        <v/>
      </c>
      <c r="M185" s="170" t="str">
        <f>IF(E185="","",G185)</f>
        <v/>
      </c>
      <c r="N185" s="171" t="str">
        <f>IF(E185="","",H185)</f>
        <v/>
      </c>
      <c r="O185" s="171" t="str">
        <f>IF(E185="","",I185)</f>
        <v/>
      </c>
    </row>
    <row r="186" spans="11:15">
      <c r="K186" s="170" t="str">
        <f>IF(E186="","",E186)</f>
        <v/>
      </c>
      <c r="L186" s="170" t="str">
        <f>IF(E186="","",IF(COUNTIFS(Table2[[#All],[De (Lote)]],'Input_APM (Zenith)'!F186)&gt;0,INDEX(Table2[[#All],[Para (Ticker Daniel)]],MATCH('Input_APM (Zenith)'!F186,Table2[[#All],[De (Lote)]],0)),'Input_APM (Zenith)'!F186))</f>
        <v/>
      </c>
      <c r="M186" s="170" t="str">
        <f>IF(E186="","",G186)</f>
        <v/>
      </c>
      <c r="N186" s="171" t="str">
        <f>IF(E186="","",H186)</f>
        <v/>
      </c>
      <c r="O186" s="171" t="str">
        <f>IF(E186="","",I186)</f>
        <v/>
      </c>
    </row>
    <row r="187" spans="11:15">
      <c r="K187" s="170" t="str">
        <f>IF(E187="","",E187)</f>
        <v/>
      </c>
      <c r="L187" s="170" t="str">
        <f>IF(E187="","",IF(COUNTIFS(Table2[[#All],[De (Lote)]],'Input_APM (Zenith)'!F187)&gt;0,INDEX(Table2[[#All],[Para (Ticker Daniel)]],MATCH('Input_APM (Zenith)'!F187,Table2[[#All],[De (Lote)]],0)),'Input_APM (Zenith)'!F187))</f>
        <v/>
      </c>
      <c r="M187" s="170" t="str">
        <f>IF(E187="","",G187)</f>
        <v/>
      </c>
      <c r="N187" s="171" t="str">
        <f>IF(E187="","",H187)</f>
        <v/>
      </c>
      <c r="O187" s="171" t="str">
        <f>IF(E187="","",I187)</f>
        <v/>
      </c>
    </row>
    <row r="188" spans="11:15">
      <c r="K188" s="170" t="str">
        <f t="shared" ref="K188:K199" si="20">IF(E188="","",E188)</f>
        <v/>
      </c>
      <c r="L188" s="170" t="str">
        <f>IF(E188="","",IF(COUNTIFS(Table2[[#All],[De (Lote)]],'Input_APM (Zenith)'!F188)&gt;0,INDEX(Table2[[#All],[Para (Ticker Daniel)]],MATCH('Input_APM (Zenith)'!F188,Table2[[#All],[De (Lote)]],0)),'Input_APM (Zenith)'!F188))</f>
        <v/>
      </c>
      <c r="M188" s="170" t="str">
        <f t="shared" ref="M188:M199" si="21">IF(E188="","",G188)</f>
        <v/>
      </c>
      <c r="N188" s="171" t="str">
        <f t="shared" ref="N188:N199" si="22">IF(E188="","",H188)</f>
        <v/>
      </c>
      <c r="O188" s="171" t="str">
        <f t="shared" ref="O188:O199" si="23">IF(E188="","",I188)</f>
        <v/>
      </c>
    </row>
    <row r="189" spans="11:15">
      <c r="K189" s="170" t="str">
        <f t="shared" si="20"/>
        <v/>
      </c>
      <c r="L189" s="170" t="str">
        <f>IF(E189="","",IF(COUNTIFS(Table2[[#All],[De (Lote)]],'Input_APM (Zenith)'!F189)&gt;0,INDEX(Table2[[#All],[Para (Ticker Daniel)]],MATCH('Input_APM (Zenith)'!F189,Table2[[#All],[De (Lote)]],0)),'Input_APM (Zenith)'!F189))</f>
        <v/>
      </c>
      <c r="M189" s="170" t="str">
        <f t="shared" si="21"/>
        <v/>
      </c>
      <c r="N189" s="171" t="str">
        <f t="shared" si="22"/>
        <v/>
      </c>
      <c r="O189" s="171" t="str">
        <f t="shared" si="23"/>
        <v/>
      </c>
    </row>
    <row r="190" spans="11:15">
      <c r="K190" s="170" t="str">
        <f t="shared" si="20"/>
        <v/>
      </c>
      <c r="L190" s="170" t="str">
        <f>IF(E190="","",IF(COUNTIFS(Table2[[#All],[De (Lote)]],'Input_APM (Zenith)'!F190)&gt;0,INDEX(Table2[[#All],[Para (Ticker Daniel)]],MATCH('Input_APM (Zenith)'!F190,Table2[[#All],[De (Lote)]],0)),'Input_APM (Zenith)'!F190))</f>
        <v/>
      </c>
      <c r="M190" s="170" t="str">
        <f t="shared" si="21"/>
        <v/>
      </c>
      <c r="N190" s="171" t="str">
        <f t="shared" si="22"/>
        <v/>
      </c>
      <c r="O190" s="171" t="str">
        <f t="shared" si="23"/>
        <v/>
      </c>
    </row>
    <row r="191" spans="11:15">
      <c r="K191" s="170" t="str">
        <f t="shared" si="20"/>
        <v/>
      </c>
      <c r="L191" s="170" t="str">
        <f>IF(E191="","",IF(COUNTIFS(Table2[[#All],[De (Lote)]],'Input_APM (Zenith)'!F191)&gt;0,INDEX(Table2[[#All],[Para (Ticker Daniel)]],MATCH('Input_APM (Zenith)'!F191,Table2[[#All],[De (Lote)]],0)),'Input_APM (Zenith)'!F191))</f>
        <v/>
      </c>
      <c r="M191" s="170" t="str">
        <f t="shared" si="21"/>
        <v/>
      </c>
      <c r="N191" s="171" t="str">
        <f t="shared" si="22"/>
        <v/>
      </c>
      <c r="O191" s="171" t="str">
        <f t="shared" si="23"/>
        <v/>
      </c>
    </row>
    <row r="192" spans="11:15">
      <c r="K192" s="170" t="str">
        <f t="shared" si="20"/>
        <v/>
      </c>
      <c r="L192" s="170" t="str">
        <f>IF(E192="","",IF(COUNTIFS(Table2[[#All],[De (Lote)]],'Input_APM (Zenith)'!F192)&gt;0,INDEX(Table2[[#All],[Para (Ticker Daniel)]],MATCH('Input_APM (Zenith)'!F192,Table2[[#All],[De (Lote)]],0)),'Input_APM (Zenith)'!F192))</f>
        <v/>
      </c>
      <c r="M192" s="170" t="str">
        <f t="shared" si="21"/>
        <v/>
      </c>
      <c r="N192" s="171" t="str">
        <f t="shared" si="22"/>
        <v/>
      </c>
      <c r="O192" s="171" t="str">
        <f t="shared" si="23"/>
        <v/>
      </c>
    </row>
    <row r="193" spans="11:15">
      <c r="K193" s="170" t="str">
        <f t="shared" si="20"/>
        <v/>
      </c>
      <c r="L193" s="170" t="str">
        <f>IF(E193="","",IF(COUNTIFS(Table2[[#All],[De (Lote)]],'Input_APM (Zenith)'!F193)&gt;0,INDEX(Table2[[#All],[Para (Ticker Daniel)]],MATCH('Input_APM (Zenith)'!F193,Table2[[#All],[De (Lote)]],0)),'Input_APM (Zenith)'!F193))</f>
        <v/>
      </c>
      <c r="M193" s="170" t="str">
        <f t="shared" si="21"/>
        <v/>
      </c>
      <c r="N193" s="171" t="str">
        <f t="shared" si="22"/>
        <v/>
      </c>
      <c r="O193" s="171" t="str">
        <f t="shared" si="23"/>
        <v/>
      </c>
    </row>
    <row r="194" spans="11:15">
      <c r="K194" s="170" t="str">
        <f t="shared" si="20"/>
        <v/>
      </c>
      <c r="L194" s="170" t="str">
        <f>IF(E194="","",IF(COUNTIFS(Table2[[#All],[De (Lote)]],'Input_APM (Zenith)'!F194)&gt;0,INDEX(Table2[[#All],[Para (Ticker Daniel)]],MATCH('Input_APM (Zenith)'!F194,Table2[[#All],[De (Lote)]],0)),'Input_APM (Zenith)'!F194))</f>
        <v/>
      </c>
      <c r="M194" s="170" t="str">
        <f t="shared" si="21"/>
        <v/>
      </c>
      <c r="N194" s="171" t="str">
        <f t="shared" si="22"/>
        <v/>
      </c>
      <c r="O194" s="171" t="str">
        <f t="shared" si="23"/>
        <v/>
      </c>
    </row>
    <row r="195" spans="11:15">
      <c r="K195" s="170" t="str">
        <f t="shared" si="20"/>
        <v/>
      </c>
      <c r="L195" s="170" t="str">
        <f>IF(E195="","",IF(COUNTIFS(Table2[[#All],[De (Lote)]],'Input_APM (Zenith)'!F195)&gt;0,INDEX(Table2[[#All],[Para (Ticker Daniel)]],MATCH('Input_APM (Zenith)'!F195,Table2[[#All],[De (Lote)]],0)),'Input_APM (Zenith)'!F195))</f>
        <v/>
      </c>
      <c r="M195" s="170" t="str">
        <f t="shared" si="21"/>
        <v/>
      </c>
      <c r="N195" s="171" t="str">
        <f t="shared" si="22"/>
        <v/>
      </c>
      <c r="O195" s="171" t="str">
        <f t="shared" si="23"/>
        <v/>
      </c>
    </row>
    <row r="196" spans="11:15">
      <c r="K196" s="170" t="str">
        <f t="shared" si="20"/>
        <v/>
      </c>
      <c r="L196" s="170" t="str">
        <f>IF(E196="","",IF(COUNTIFS(Table2[[#All],[De (Lote)]],'Input_APM (Zenith)'!F196)&gt;0,INDEX(Table2[[#All],[Para (Ticker Daniel)]],MATCH('Input_APM (Zenith)'!F196,Table2[[#All],[De (Lote)]],0)),'Input_APM (Zenith)'!F196))</f>
        <v/>
      </c>
      <c r="M196" s="170" t="str">
        <f t="shared" si="21"/>
        <v/>
      </c>
      <c r="N196" s="171" t="str">
        <f t="shared" si="22"/>
        <v/>
      </c>
      <c r="O196" s="171" t="str">
        <f t="shared" si="23"/>
        <v/>
      </c>
    </row>
    <row r="197" spans="11:15">
      <c r="K197" s="170" t="str">
        <f t="shared" si="20"/>
        <v/>
      </c>
      <c r="L197" s="170" t="str">
        <f>IF(E197="","",IF(COUNTIFS(Table2[[#All],[De (Lote)]],'Input_APM (Zenith)'!F197)&gt;0,INDEX(Table2[[#All],[Para (Ticker Daniel)]],MATCH('Input_APM (Zenith)'!F197,Table2[[#All],[De (Lote)]],0)),'Input_APM (Zenith)'!F197))</f>
        <v/>
      </c>
      <c r="M197" s="170" t="str">
        <f t="shared" si="21"/>
        <v/>
      </c>
      <c r="N197" s="171" t="str">
        <f t="shared" si="22"/>
        <v/>
      </c>
      <c r="O197" s="171" t="str">
        <f t="shared" si="23"/>
        <v/>
      </c>
    </row>
    <row r="198" spans="11:15">
      <c r="K198" s="170" t="str">
        <f t="shared" si="20"/>
        <v/>
      </c>
      <c r="L198" s="170" t="str">
        <f>IF(E198="","",IF(COUNTIFS(Table2[[#All],[De (Lote)]],'Input_APM (Zenith)'!F198)&gt;0,INDEX(Table2[[#All],[Para (Ticker Daniel)]],MATCH('Input_APM (Zenith)'!F198,Table2[[#All],[De (Lote)]],0)),'Input_APM (Zenith)'!F198))</f>
        <v/>
      </c>
      <c r="M198" s="170" t="str">
        <f t="shared" si="21"/>
        <v/>
      </c>
      <c r="N198" s="171" t="str">
        <f t="shared" si="22"/>
        <v/>
      </c>
      <c r="O198" s="171" t="str">
        <f t="shared" si="23"/>
        <v/>
      </c>
    </row>
    <row r="199" spans="11:15">
      <c r="K199" s="170" t="str">
        <f t="shared" si="20"/>
        <v/>
      </c>
      <c r="L199" s="170" t="str">
        <f>IF(E199="","",IF(COUNTIFS(Table2[[#All],[De (Lote)]],'Input_APM (Zenith)'!F199)&gt;0,INDEX(Table2[[#All],[Para (Ticker Daniel)]],MATCH('Input_APM (Zenith)'!F199,Table2[[#All],[De (Lote)]],0)),'Input_APM (Zenith)'!F199))</f>
        <v/>
      </c>
      <c r="M199" s="170" t="str">
        <f t="shared" si="21"/>
        <v/>
      </c>
      <c r="N199" s="171" t="str">
        <f t="shared" si="22"/>
        <v/>
      </c>
      <c r="O199" s="171" t="str">
        <f t="shared" si="23"/>
        <v/>
      </c>
    </row>
    <row r="200" spans="11:15">
      <c r="K200" s="170" t="str">
        <f t="shared" ref="K200:K212" si="24">IF(E200="","",E200)</f>
        <v/>
      </c>
      <c r="L200" s="170" t="str">
        <f>IF(E200="","",IF(COUNTIFS(Table2[[#All],[De (Lote)]],'Input_APM (Zenith)'!F200)&gt;0,INDEX(Table2[[#All],[Para (Ticker Daniel)]],MATCH('Input_APM (Zenith)'!F200,Table2[[#All],[De (Lote)]],0)),'Input_APM (Zenith)'!F200))</f>
        <v/>
      </c>
      <c r="M200" s="170" t="str">
        <f t="shared" ref="M200:M212" si="25">IF(E200="","",G200)</f>
        <v/>
      </c>
      <c r="N200" s="171" t="str">
        <f t="shared" ref="N200:N212" si="26">IF(E200="","",H200)</f>
        <v/>
      </c>
      <c r="O200" s="171" t="str">
        <f t="shared" ref="O200:O212" si="27">IF(E200="","",I200)</f>
        <v/>
      </c>
    </row>
    <row r="201" spans="11:15">
      <c r="K201" s="170" t="str">
        <f t="shared" si="24"/>
        <v/>
      </c>
      <c r="L201" s="170" t="str">
        <f>IF(E201="","",IF(COUNTIFS(Table2[[#All],[De (Lote)]],'Input_APM (Zenith)'!F201)&gt;0,INDEX(Table2[[#All],[Para (Ticker Daniel)]],MATCH('Input_APM (Zenith)'!F201,Table2[[#All],[De (Lote)]],0)),'Input_APM (Zenith)'!F201))</f>
        <v/>
      </c>
      <c r="M201" s="170" t="str">
        <f t="shared" si="25"/>
        <v/>
      </c>
      <c r="N201" s="171" t="str">
        <f t="shared" si="26"/>
        <v/>
      </c>
      <c r="O201" s="171" t="str">
        <f t="shared" si="27"/>
        <v/>
      </c>
    </row>
    <row r="202" spans="11:15">
      <c r="K202" s="170" t="str">
        <f t="shared" si="24"/>
        <v/>
      </c>
      <c r="L202" s="170" t="str">
        <f>IF(E202="","",IF(COUNTIFS(Table2[[#All],[De (Lote)]],'Input_APM (Zenith)'!F202)&gt;0,INDEX(Table2[[#All],[Para (Ticker Daniel)]],MATCH('Input_APM (Zenith)'!F202,Table2[[#All],[De (Lote)]],0)),'Input_APM (Zenith)'!F202))</f>
        <v/>
      </c>
      <c r="M202" s="170" t="str">
        <f t="shared" si="25"/>
        <v/>
      </c>
      <c r="N202" s="171" t="str">
        <f t="shared" si="26"/>
        <v/>
      </c>
      <c r="O202" s="171" t="str">
        <f t="shared" si="27"/>
        <v/>
      </c>
    </row>
    <row r="203" spans="11:15">
      <c r="K203" s="170" t="str">
        <f t="shared" si="24"/>
        <v/>
      </c>
      <c r="L203" s="170" t="str">
        <f>IF(E203="","",IF(COUNTIFS(Table2[[#All],[De (Lote)]],'Input_APM (Zenith)'!F203)&gt;0,INDEX(Table2[[#All],[Para (Ticker Daniel)]],MATCH('Input_APM (Zenith)'!F203,Table2[[#All],[De (Lote)]],0)),'Input_APM (Zenith)'!F203))</f>
        <v/>
      </c>
      <c r="M203" s="170" t="str">
        <f t="shared" si="25"/>
        <v/>
      </c>
      <c r="N203" s="171" t="str">
        <f t="shared" si="26"/>
        <v/>
      </c>
      <c r="O203" s="171" t="str">
        <f t="shared" si="27"/>
        <v/>
      </c>
    </row>
    <row r="204" spans="11:15">
      <c r="K204" s="170" t="str">
        <f t="shared" si="24"/>
        <v/>
      </c>
      <c r="L204" s="170" t="str">
        <f>IF(E204="","",IF(COUNTIFS(Table2[[#All],[De (Lote)]],'Input_APM (Zenith)'!F204)&gt;0,INDEX(Table2[[#All],[Para (Ticker Daniel)]],MATCH('Input_APM (Zenith)'!F204,Table2[[#All],[De (Lote)]],0)),'Input_APM (Zenith)'!F204))</f>
        <v/>
      </c>
      <c r="M204" s="170" t="str">
        <f t="shared" si="25"/>
        <v/>
      </c>
      <c r="N204" s="171" t="str">
        <f t="shared" si="26"/>
        <v/>
      </c>
      <c r="O204" s="171" t="str">
        <f t="shared" si="27"/>
        <v/>
      </c>
    </row>
    <row r="205" spans="11:15">
      <c r="K205" s="170" t="str">
        <f t="shared" si="24"/>
        <v/>
      </c>
      <c r="L205" s="170" t="str">
        <f>IF(E205="","",IF(COUNTIFS(Table2[[#All],[De (Lote)]],'Input_APM (Zenith)'!F205)&gt;0,INDEX(Table2[[#All],[Para (Ticker Daniel)]],MATCH('Input_APM (Zenith)'!F205,Table2[[#All],[De (Lote)]],0)),'Input_APM (Zenith)'!F205))</f>
        <v/>
      </c>
      <c r="M205" s="170" t="str">
        <f t="shared" si="25"/>
        <v/>
      </c>
      <c r="N205" s="171" t="str">
        <f t="shared" si="26"/>
        <v/>
      </c>
      <c r="O205" s="171" t="str">
        <f t="shared" si="27"/>
        <v/>
      </c>
    </row>
    <row r="206" spans="11:15">
      <c r="K206" s="170" t="str">
        <f t="shared" si="24"/>
        <v/>
      </c>
      <c r="L206" s="170" t="str">
        <f>IF(E206="","",IF(COUNTIFS(Table2[[#All],[De (Lote)]],'Input_APM (Zenith)'!F206)&gt;0,INDEX(Table2[[#All],[Para (Ticker Daniel)]],MATCH('Input_APM (Zenith)'!F206,Table2[[#All],[De (Lote)]],0)),'Input_APM (Zenith)'!F206))</f>
        <v/>
      </c>
      <c r="M206" s="170" t="str">
        <f t="shared" si="25"/>
        <v/>
      </c>
      <c r="N206" s="171" t="str">
        <f t="shared" si="26"/>
        <v/>
      </c>
      <c r="O206" s="171" t="str">
        <f t="shared" si="27"/>
        <v/>
      </c>
    </row>
    <row r="207" spans="11:15">
      <c r="K207" s="170" t="str">
        <f t="shared" si="24"/>
        <v/>
      </c>
      <c r="L207" s="170" t="str">
        <f>IF(E207="","",IF(COUNTIFS(Table2[[#All],[De (Lote)]],'Input_APM (Zenith)'!F207)&gt;0,INDEX(Table2[[#All],[Para (Ticker Daniel)]],MATCH('Input_APM (Zenith)'!F207,Table2[[#All],[De (Lote)]],0)),'Input_APM (Zenith)'!F207))</f>
        <v/>
      </c>
      <c r="M207" s="170" t="str">
        <f t="shared" si="25"/>
        <v/>
      </c>
      <c r="N207" s="171" t="str">
        <f t="shared" si="26"/>
        <v/>
      </c>
      <c r="O207" s="171" t="str">
        <f t="shared" si="27"/>
        <v/>
      </c>
    </row>
    <row r="208" spans="11:15">
      <c r="K208" s="170" t="str">
        <f t="shared" si="24"/>
        <v/>
      </c>
      <c r="L208" s="170" t="str">
        <f>IF(E208="","",IF(COUNTIFS(Table2[[#All],[De (Lote)]],'Input_APM (Zenith)'!F208)&gt;0,INDEX(Table2[[#All],[Para (Ticker Daniel)]],MATCH('Input_APM (Zenith)'!F208,Table2[[#All],[De (Lote)]],0)),'Input_APM (Zenith)'!F208))</f>
        <v/>
      </c>
      <c r="M208" s="170" t="str">
        <f t="shared" si="25"/>
        <v/>
      </c>
      <c r="N208" s="171" t="str">
        <f t="shared" si="26"/>
        <v/>
      </c>
      <c r="O208" s="171" t="str">
        <f t="shared" si="27"/>
        <v/>
      </c>
    </row>
    <row r="209" spans="8:15">
      <c r="K209" s="170" t="str">
        <f t="shared" si="24"/>
        <v/>
      </c>
      <c r="L209" s="170" t="str">
        <f>IF(E209="","",IF(COUNTIFS(Table2[[#All],[De (Lote)]],'Input_APM (Zenith)'!F209)&gt;0,INDEX(Table2[[#All],[Para (Ticker Daniel)]],MATCH('Input_APM (Zenith)'!F209,Table2[[#All],[De (Lote)]],0)),'Input_APM (Zenith)'!F209))</f>
        <v/>
      </c>
      <c r="M209" s="170" t="str">
        <f t="shared" si="25"/>
        <v/>
      </c>
      <c r="N209" s="171" t="str">
        <f t="shared" si="26"/>
        <v/>
      </c>
      <c r="O209" s="171" t="str">
        <f t="shared" si="27"/>
        <v/>
      </c>
    </row>
    <row r="210" spans="8:15">
      <c r="K210" s="170" t="str">
        <f t="shared" si="24"/>
        <v/>
      </c>
      <c r="L210" s="170" t="str">
        <f>IF(E210="","",IF(COUNTIFS(Table2[[#All],[De (Lote)]],'Input_APM (Zenith)'!F210)&gt;0,INDEX(Table2[[#All],[Para (Ticker Daniel)]],MATCH('Input_APM (Zenith)'!F210,Table2[[#All],[De (Lote)]],0)),'Input_APM (Zenith)'!F210))</f>
        <v/>
      </c>
      <c r="M210" s="170" t="str">
        <f t="shared" si="25"/>
        <v/>
      </c>
      <c r="N210" s="171" t="str">
        <f t="shared" si="26"/>
        <v/>
      </c>
      <c r="O210" s="171" t="str">
        <f t="shared" si="27"/>
        <v/>
      </c>
    </row>
    <row r="211" spans="8:15">
      <c r="H211" s="179"/>
      <c r="K211" s="170" t="str">
        <f t="shared" si="24"/>
        <v/>
      </c>
      <c r="L211" s="170" t="str">
        <f>IF(E211="","",IF(COUNTIFS(Table2[[#All],[De (Lote)]],'Input_APM (Zenith)'!F211)&gt;0,INDEX(Table2[[#All],[Para (Ticker Daniel)]],MATCH('Input_APM (Zenith)'!F211,Table2[[#All],[De (Lote)]],0)),'Input_APM (Zenith)'!F211))</f>
        <v/>
      </c>
      <c r="M211" s="170" t="str">
        <f t="shared" si="25"/>
        <v/>
      </c>
      <c r="N211" s="171" t="str">
        <f t="shared" si="26"/>
        <v/>
      </c>
      <c r="O211" s="171" t="str">
        <f t="shared" si="27"/>
        <v/>
      </c>
    </row>
    <row r="212" spans="8:15">
      <c r="H212" s="179"/>
      <c r="K212" s="170" t="str">
        <f t="shared" si="24"/>
        <v/>
      </c>
      <c r="L212" s="170" t="str">
        <f>IF(E212="","",IF(COUNTIFS(Table2[[#All],[De (Lote)]],'Input_APM (Zenith)'!F212)&gt;0,INDEX(Table2[[#All],[Para (Ticker Daniel)]],MATCH('Input_APM (Zenith)'!F212,Table2[[#All],[De (Lote)]],0)),'Input_APM (Zenith)'!F212))</f>
        <v/>
      </c>
      <c r="M212" s="170" t="str">
        <f t="shared" si="25"/>
        <v/>
      </c>
      <c r="N212" s="171" t="str">
        <f t="shared" si="26"/>
        <v/>
      </c>
      <c r="O212" s="171" t="str">
        <f t="shared" si="27"/>
        <v/>
      </c>
    </row>
    <row r="213" spans="8:15">
      <c r="H213" s="179"/>
      <c r="K213" s="170" t="str">
        <f t="shared" ref="K213:K219" si="28">IF(E213="","",E213)</f>
        <v/>
      </c>
      <c r="L213" s="170" t="str">
        <f>IF(E213="","",IF(COUNTIFS(Table2[[#All],[De (Lote)]],'Input_APM (Zenith)'!F213)&gt;0,INDEX(Table2[[#All],[Para (Ticker Daniel)]],MATCH('Input_APM (Zenith)'!F213,Table2[[#All],[De (Lote)]],0)),'Input_APM (Zenith)'!F213))</f>
        <v/>
      </c>
      <c r="M213" s="170" t="str">
        <f t="shared" ref="M213:M219" si="29">IF(E213="","",G213)</f>
        <v/>
      </c>
      <c r="N213" s="171" t="str">
        <f t="shared" ref="N213:N219" si="30">IF(E213="","",H213)</f>
        <v/>
      </c>
      <c r="O213" s="171" t="str">
        <f t="shared" ref="O213:O219" si="31">IF(E213="","",I213)</f>
        <v/>
      </c>
    </row>
    <row r="214" spans="8:15">
      <c r="H214" s="179"/>
      <c r="K214" s="170" t="str">
        <f t="shared" si="28"/>
        <v/>
      </c>
      <c r="L214" s="170" t="str">
        <f>IF(E214="","",IF(COUNTIFS(Table2[[#All],[De (Lote)]],'Input_APM (Zenith)'!F214)&gt;0,INDEX(Table2[[#All],[Para (Ticker Daniel)]],MATCH('Input_APM (Zenith)'!F214,Table2[[#All],[De (Lote)]],0)),'Input_APM (Zenith)'!F214))</f>
        <v/>
      </c>
      <c r="M214" s="170" t="str">
        <f t="shared" si="29"/>
        <v/>
      </c>
      <c r="N214" s="171" t="str">
        <f t="shared" si="30"/>
        <v/>
      </c>
      <c r="O214" s="171" t="str">
        <f t="shared" si="31"/>
        <v/>
      </c>
    </row>
    <row r="215" spans="8:15">
      <c r="H215" s="179"/>
      <c r="K215" s="170" t="str">
        <f t="shared" si="28"/>
        <v/>
      </c>
      <c r="L215" s="170" t="str">
        <f>IF(E215="","",IF(COUNTIFS(Table2[[#All],[De (Lote)]],'Input_APM (Zenith)'!F215)&gt;0,INDEX(Table2[[#All],[Para (Ticker Daniel)]],MATCH('Input_APM (Zenith)'!F215,Table2[[#All],[De (Lote)]],0)),'Input_APM (Zenith)'!F215))</f>
        <v/>
      </c>
      <c r="M215" s="170" t="str">
        <f t="shared" si="29"/>
        <v/>
      </c>
      <c r="N215" s="171" t="str">
        <f t="shared" si="30"/>
        <v/>
      </c>
      <c r="O215" s="171" t="str">
        <f t="shared" si="31"/>
        <v/>
      </c>
    </row>
    <row r="216" spans="8:15">
      <c r="H216" s="179"/>
      <c r="K216" s="170" t="str">
        <f t="shared" si="28"/>
        <v/>
      </c>
      <c r="L216" s="170" t="str">
        <f>IF(E216="","",IF(COUNTIFS(Table2[[#All],[De (Lote)]],'Input_APM (Zenith)'!F216)&gt;0,INDEX(Table2[[#All],[Para (Ticker Daniel)]],MATCH('Input_APM (Zenith)'!F216,Table2[[#All],[De (Lote)]],0)),'Input_APM (Zenith)'!F216))</f>
        <v/>
      </c>
      <c r="M216" s="170" t="str">
        <f t="shared" si="29"/>
        <v/>
      </c>
      <c r="N216" s="171" t="str">
        <f t="shared" si="30"/>
        <v/>
      </c>
      <c r="O216" s="171" t="str">
        <f t="shared" si="31"/>
        <v/>
      </c>
    </row>
    <row r="217" spans="8:15">
      <c r="H217" s="179"/>
      <c r="K217" s="170" t="str">
        <f t="shared" si="28"/>
        <v/>
      </c>
      <c r="L217" s="170" t="str">
        <f>IF(E217="","",IF(COUNTIFS(Table2[[#All],[De (Lote)]],'Input_APM (Zenith)'!F217)&gt;0,INDEX(Table2[[#All],[Para (Ticker Daniel)]],MATCH('Input_APM (Zenith)'!F217,Table2[[#All],[De (Lote)]],0)),'Input_APM (Zenith)'!F217))</f>
        <v/>
      </c>
      <c r="M217" s="170" t="str">
        <f t="shared" si="29"/>
        <v/>
      </c>
      <c r="N217" s="171" t="str">
        <f t="shared" si="30"/>
        <v/>
      </c>
      <c r="O217" s="171" t="str">
        <f t="shared" si="31"/>
        <v/>
      </c>
    </row>
    <row r="218" spans="8:15">
      <c r="H218" s="179"/>
      <c r="K218" s="170" t="str">
        <f t="shared" si="28"/>
        <v/>
      </c>
      <c r="L218" s="170" t="str">
        <f>IF(E218="","",IF(COUNTIFS(Table2[[#All],[De (Lote)]],'Input_APM (Zenith)'!F218)&gt;0,INDEX(Table2[[#All],[Para (Ticker Daniel)]],MATCH('Input_APM (Zenith)'!F218,Table2[[#All],[De (Lote)]],0)),'Input_APM (Zenith)'!F218))</f>
        <v/>
      </c>
      <c r="M218" s="170" t="str">
        <f t="shared" si="29"/>
        <v/>
      </c>
      <c r="N218" s="171" t="str">
        <f t="shared" si="30"/>
        <v/>
      </c>
      <c r="O218" s="171" t="str">
        <f t="shared" si="31"/>
        <v/>
      </c>
    </row>
    <row r="219" spans="8:15">
      <c r="K219" s="170" t="str">
        <f t="shared" si="28"/>
        <v/>
      </c>
      <c r="L219" s="170" t="str">
        <f>IF(E219="","",IF(COUNTIFS(Table2[[#All],[De (Lote)]],'Input_APM (Zenith)'!F219)&gt;0,INDEX(Table2[[#All],[Para (Ticker Daniel)]],MATCH('Input_APM (Zenith)'!F219,Table2[[#All],[De (Lote)]],0)),'Input_APM (Zenith)'!F219))</f>
        <v/>
      </c>
      <c r="M219" s="170" t="str">
        <f t="shared" si="29"/>
        <v/>
      </c>
      <c r="N219" s="171" t="str">
        <f t="shared" si="30"/>
        <v/>
      </c>
      <c r="O219" s="171" t="str">
        <f t="shared" si="31"/>
        <v/>
      </c>
    </row>
    <row r="220" spans="8:15">
      <c r="K220" s="170" t="str">
        <f>IF(E220="","",E220)</f>
        <v/>
      </c>
      <c r="L220" s="170" t="str">
        <f>IF(E220="","",IF(COUNTIFS(Table2[[#All],[De (Lote)]],'Input_APM (Zenith)'!F220)&gt;0,INDEX(Table2[[#All],[Para (Ticker Daniel)]],MATCH('Input_APM (Zenith)'!F220,Table2[[#All],[De (Lote)]],0)),'Input_APM (Zenith)'!F220))</f>
        <v/>
      </c>
      <c r="M220" s="170" t="str">
        <f>IF(E220="","",G220)</f>
        <v/>
      </c>
      <c r="N220" s="171" t="str">
        <f>IF(E220="","",H220)</f>
        <v/>
      </c>
      <c r="O220" s="171" t="str">
        <f>IF(E220="","",I220)</f>
        <v/>
      </c>
    </row>
    <row r="221" spans="8:15">
      <c r="K221" s="170" t="str">
        <f>IF(E221="","",E221)</f>
        <v/>
      </c>
      <c r="L221" s="170" t="str">
        <f>IF(E221="","",IF(COUNTIFS(Table2[[#All],[De (Lote)]],'Input_APM (Zenith)'!F221)&gt;0,INDEX(Table2[[#All],[Para (Ticker Daniel)]],MATCH('Input_APM (Zenith)'!F221,Table2[[#All],[De (Lote)]],0)),'Input_APM (Zenith)'!F221))</f>
        <v/>
      </c>
      <c r="M221" s="170" t="str">
        <f>IF(E221="","",G221)</f>
        <v/>
      </c>
      <c r="N221" s="171" t="str">
        <f>IF(E221="","",H221)</f>
        <v/>
      </c>
      <c r="O221" s="171" t="str">
        <f>IF(E221="","",I221)</f>
        <v/>
      </c>
    </row>
    <row r="222" spans="8:15">
      <c r="K222" s="170" t="str">
        <f t="shared" ref="K222:K261" si="32">IF(E222="","",E222)</f>
        <v/>
      </c>
      <c r="L222" s="170" t="str">
        <f>IF(E222="","",IF(COUNTIFS(Table2[[#All],[De (Lote)]],'Input_APM (Zenith)'!F222)&gt;0,INDEX(Table2[[#All],[Para (Ticker Daniel)]],MATCH('Input_APM (Zenith)'!F222,Table2[[#All],[De (Lote)]],0)),'Input_APM (Zenith)'!F222))</f>
        <v/>
      </c>
      <c r="M222" s="170" t="str">
        <f t="shared" ref="M222:M261" si="33">IF(E222="","",G222)</f>
        <v/>
      </c>
      <c r="N222" s="171" t="str">
        <f t="shared" ref="N222:N261" si="34">IF(E222="","",H222)</f>
        <v/>
      </c>
      <c r="O222" s="171" t="str">
        <f t="shared" ref="O222:O261" si="35">IF(E222="","",I222)</f>
        <v/>
      </c>
    </row>
    <row r="223" spans="8:15">
      <c r="K223" s="170" t="str">
        <f t="shared" si="32"/>
        <v/>
      </c>
      <c r="L223" s="170" t="str">
        <f>IF(E223="","",IF(COUNTIFS(Table2[[#All],[De (Lote)]],'Input_APM (Zenith)'!F223)&gt;0,INDEX(Table2[[#All],[Para (Ticker Daniel)]],MATCH('Input_APM (Zenith)'!F223,Table2[[#All],[De (Lote)]],0)),'Input_APM (Zenith)'!F223))</f>
        <v/>
      </c>
      <c r="M223" s="170" t="str">
        <f t="shared" si="33"/>
        <v/>
      </c>
      <c r="N223" s="171" t="str">
        <f t="shared" si="34"/>
        <v/>
      </c>
      <c r="O223" s="171" t="str">
        <f t="shared" si="35"/>
        <v/>
      </c>
    </row>
    <row r="224" spans="8:15">
      <c r="K224" s="170" t="str">
        <f t="shared" si="32"/>
        <v/>
      </c>
      <c r="L224" s="170" t="str">
        <f>IF(E224="","",IF(COUNTIFS(Table2[[#All],[De (Lote)]],'Input_APM (Zenith)'!F224)&gt;0,INDEX(Table2[[#All],[Para (Ticker Daniel)]],MATCH('Input_APM (Zenith)'!F224,Table2[[#All],[De (Lote)]],0)),'Input_APM (Zenith)'!F224))</f>
        <v/>
      </c>
      <c r="M224" s="170" t="str">
        <f t="shared" si="33"/>
        <v/>
      </c>
      <c r="N224" s="171" t="str">
        <f t="shared" si="34"/>
        <v/>
      </c>
      <c r="O224" s="171" t="str">
        <f t="shared" si="35"/>
        <v/>
      </c>
    </row>
    <row r="225" spans="11:15">
      <c r="K225" s="170" t="str">
        <f t="shared" si="32"/>
        <v/>
      </c>
      <c r="L225" s="170" t="str">
        <f>IF(E225="","",IF(COUNTIFS(Table2[[#All],[De (Lote)]],'Input_APM (Zenith)'!F225)&gt;0,INDEX(Table2[[#All],[Para (Ticker Daniel)]],MATCH('Input_APM (Zenith)'!F225,Table2[[#All],[De (Lote)]],0)),'Input_APM (Zenith)'!F225))</f>
        <v/>
      </c>
      <c r="M225" s="170" t="str">
        <f t="shared" si="33"/>
        <v/>
      </c>
      <c r="N225" s="171" t="str">
        <f t="shared" si="34"/>
        <v/>
      </c>
      <c r="O225" s="171" t="str">
        <f t="shared" si="35"/>
        <v/>
      </c>
    </row>
    <row r="226" spans="11:15">
      <c r="K226" s="170" t="str">
        <f t="shared" si="32"/>
        <v/>
      </c>
      <c r="L226" s="170" t="str">
        <f>IF(E226="","",IF(COUNTIFS(Table2[[#All],[De (Lote)]],'Input_APM (Zenith)'!F226)&gt;0,INDEX(Table2[[#All],[Para (Ticker Daniel)]],MATCH('Input_APM (Zenith)'!F226,Table2[[#All],[De (Lote)]],0)),'Input_APM (Zenith)'!F226))</f>
        <v/>
      </c>
      <c r="M226" s="170" t="str">
        <f t="shared" si="33"/>
        <v/>
      </c>
      <c r="N226" s="171" t="str">
        <f t="shared" si="34"/>
        <v/>
      </c>
      <c r="O226" s="171" t="str">
        <f t="shared" si="35"/>
        <v/>
      </c>
    </row>
    <row r="227" spans="11:15">
      <c r="K227" s="170" t="str">
        <f t="shared" si="32"/>
        <v/>
      </c>
      <c r="L227" s="170" t="str">
        <f>IF(E227="","",IF(COUNTIFS(Table2[[#All],[De (Lote)]],'Input_APM (Zenith)'!F227)&gt;0,INDEX(Table2[[#All],[Para (Ticker Daniel)]],MATCH('Input_APM (Zenith)'!F227,Table2[[#All],[De (Lote)]],0)),'Input_APM (Zenith)'!F227))</f>
        <v/>
      </c>
      <c r="M227" s="170" t="str">
        <f t="shared" si="33"/>
        <v/>
      </c>
      <c r="N227" s="171" t="str">
        <f t="shared" si="34"/>
        <v/>
      </c>
      <c r="O227" s="171" t="str">
        <f t="shared" si="35"/>
        <v/>
      </c>
    </row>
    <row r="228" spans="11:15">
      <c r="K228" s="170" t="str">
        <f t="shared" si="32"/>
        <v/>
      </c>
      <c r="L228" s="170" t="str">
        <f>IF(E228="","",IF(COUNTIFS(Table2[[#All],[De (Lote)]],'Input_APM (Zenith)'!F228)&gt;0,INDEX(Table2[[#All],[Para (Ticker Daniel)]],MATCH('Input_APM (Zenith)'!F228,Table2[[#All],[De (Lote)]],0)),'Input_APM (Zenith)'!F228))</f>
        <v/>
      </c>
      <c r="M228" s="170" t="str">
        <f t="shared" si="33"/>
        <v/>
      </c>
      <c r="N228" s="171" t="str">
        <f t="shared" si="34"/>
        <v/>
      </c>
      <c r="O228" s="171" t="str">
        <f t="shared" si="35"/>
        <v/>
      </c>
    </row>
    <row r="229" spans="11:15">
      <c r="K229" s="170" t="str">
        <f t="shared" si="32"/>
        <v/>
      </c>
      <c r="L229" s="170" t="str">
        <f>IF(E229="","",IF(COUNTIFS(Table2[[#All],[De (Lote)]],'Input_APM (Zenith)'!F229)&gt;0,INDEX(Table2[[#All],[Para (Ticker Daniel)]],MATCH('Input_APM (Zenith)'!F229,Table2[[#All],[De (Lote)]],0)),'Input_APM (Zenith)'!F229))</f>
        <v/>
      </c>
      <c r="M229" s="170" t="str">
        <f t="shared" si="33"/>
        <v/>
      </c>
      <c r="N229" s="171" t="str">
        <f t="shared" si="34"/>
        <v/>
      </c>
      <c r="O229" s="171" t="str">
        <f t="shared" si="35"/>
        <v/>
      </c>
    </row>
    <row r="230" spans="11:15">
      <c r="K230" s="170" t="str">
        <f t="shared" si="32"/>
        <v/>
      </c>
      <c r="L230" s="170" t="str">
        <f>IF(E230="","",IF(COUNTIFS(Table2[[#All],[De (Lote)]],'Input_APM (Zenith)'!F230)&gt;0,INDEX(Table2[[#All],[Para (Ticker Daniel)]],MATCH('Input_APM (Zenith)'!F230,Table2[[#All],[De (Lote)]],0)),'Input_APM (Zenith)'!F230))</f>
        <v/>
      </c>
      <c r="M230" s="170" t="str">
        <f t="shared" si="33"/>
        <v/>
      </c>
      <c r="N230" s="171" t="str">
        <f t="shared" si="34"/>
        <v/>
      </c>
      <c r="O230" s="171" t="str">
        <f t="shared" si="35"/>
        <v/>
      </c>
    </row>
    <row r="231" spans="11:15">
      <c r="K231" s="170" t="str">
        <f t="shared" si="32"/>
        <v/>
      </c>
      <c r="L231" s="170" t="str">
        <f>IF(E231="","",IF(COUNTIFS(Table2[[#All],[De (Lote)]],'Input_APM (Zenith)'!F231)&gt;0,INDEX(Table2[[#All],[Para (Ticker Daniel)]],MATCH('Input_APM (Zenith)'!F231,Table2[[#All],[De (Lote)]],0)),'Input_APM (Zenith)'!F231))</f>
        <v/>
      </c>
      <c r="M231" s="170" t="str">
        <f t="shared" si="33"/>
        <v/>
      </c>
      <c r="N231" s="171" t="str">
        <f t="shared" si="34"/>
        <v/>
      </c>
      <c r="O231" s="171" t="str">
        <f t="shared" si="35"/>
        <v/>
      </c>
    </row>
    <row r="232" spans="11:15">
      <c r="K232" s="170" t="str">
        <f t="shared" si="32"/>
        <v/>
      </c>
      <c r="L232" s="170" t="str">
        <f>IF(E232="","",IF(COUNTIFS(Table2[[#All],[De (Lote)]],'Input_APM (Zenith)'!F232)&gt;0,INDEX(Table2[[#All],[Para (Ticker Daniel)]],MATCH('Input_APM (Zenith)'!F232,Table2[[#All],[De (Lote)]],0)),'Input_APM (Zenith)'!F232))</f>
        <v/>
      </c>
      <c r="M232" s="170" t="str">
        <f t="shared" si="33"/>
        <v/>
      </c>
      <c r="N232" s="171" t="str">
        <f t="shared" si="34"/>
        <v/>
      </c>
      <c r="O232" s="171" t="str">
        <f t="shared" si="35"/>
        <v/>
      </c>
    </row>
    <row r="233" spans="11:15">
      <c r="K233" s="170" t="str">
        <f t="shared" si="32"/>
        <v/>
      </c>
      <c r="L233" s="170" t="str">
        <f>IF(E233="","",IF(COUNTIFS(Table2[[#All],[De (Lote)]],'Input_APM (Zenith)'!F233)&gt;0,INDEX(Table2[[#All],[Para (Ticker Daniel)]],MATCH('Input_APM (Zenith)'!F233,Table2[[#All],[De (Lote)]],0)),'Input_APM (Zenith)'!F233))</f>
        <v/>
      </c>
      <c r="M233" s="170" t="str">
        <f t="shared" si="33"/>
        <v/>
      </c>
      <c r="N233" s="171" t="str">
        <f t="shared" si="34"/>
        <v/>
      </c>
      <c r="O233" s="171" t="str">
        <f t="shared" si="35"/>
        <v/>
      </c>
    </row>
    <row r="234" spans="11:15">
      <c r="K234" s="170" t="str">
        <f t="shared" si="32"/>
        <v/>
      </c>
      <c r="L234" s="170" t="str">
        <f>IF(E234="","",IF(COUNTIFS(Table2[[#All],[De (Lote)]],'Input_APM (Zenith)'!F234)&gt;0,INDEX(Table2[[#All],[Para (Ticker Daniel)]],MATCH('Input_APM (Zenith)'!F234,Table2[[#All],[De (Lote)]],0)),'Input_APM (Zenith)'!F234))</f>
        <v/>
      </c>
      <c r="M234" s="170" t="str">
        <f t="shared" si="33"/>
        <v/>
      </c>
      <c r="N234" s="171" t="str">
        <f t="shared" si="34"/>
        <v/>
      </c>
      <c r="O234" s="171" t="str">
        <f t="shared" si="35"/>
        <v/>
      </c>
    </row>
    <row r="235" spans="11:15">
      <c r="K235" s="170" t="str">
        <f t="shared" si="32"/>
        <v/>
      </c>
      <c r="L235" s="170" t="str">
        <f>IF(E235="","",IF(COUNTIFS(Table2[[#All],[De (Lote)]],'Input_APM (Zenith)'!F235)&gt;0,INDEX(Table2[[#All],[Para (Ticker Daniel)]],MATCH('Input_APM (Zenith)'!F235,Table2[[#All],[De (Lote)]],0)),'Input_APM (Zenith)'!F235))</f>
        <v/>
      </c>
      <c r="M235" s="170" t="str">
        <f t="shared" si="33"/>
        <v/>
      </c>
      <c r="N235" s="171" t="str">
        <f t="shared" si="34"/>
        <v/>
      </c>
      <c r="O235" s="171" t="str">
        <f t="shared" si="35"/>
        <v/>
      </c>
    </row>
    <row r="236" spans="11:15">
      <c r="K236" s="170" t="str">
        <f t="shared" si="32"/>
        <v/>
      </c>
      <c r="L236" s="170" t="str">
        <f>IF(E236="","",IF(COUNTIFS(Table2[[#All],[De (Lote)]],'Input_APM (Zenith)'!F236)&gt;0,INDEX(Table2[[#All],[Para (Ticker Daniel)]],MATCH('Input_APM (Zenith)'!F236,Table2[[#All],[De (Lote)]],0)),'Input_APM (Zenith)'!F236))</f>
        <v/>
      </c>
      <c r="M236" s="170" t="str">
        <f t="shared" si="33"/>
        <v/>
      </c>
      <c r="N236" s="171" t="str">
        <f t="shared" si="34"/>
        <v/>
      </c>
      <c r="O236" s="171" t="str">
        <f t="shared" si="35"/>
        <v/>
      </c>
    </row>
    <row r="237" spans="11:15">
      <c r="K237" s="170" t="str">
        <f t="shared" si="32"/>
        <v/>
      </c>
      <c r="L237" s="170" t="str">
        <f>IF(E237="","",IF(COUNTIFS(Table2[[#All],[De (Lote)]],'Input_APM (Zenith)'!F237)&gt;0,INDEX(Table2[[#All],[Para (Ticker Daniel)]],MATCH('Input_APM (Zenith)'!F237,Table2[[#All],[De (Lote)]],0)),'Input_APM (Zenith)'!F237))</f>
        <v/>
      </c>
      <c r="M237" s="170" t="str">
        <f t="shared" si="33"/>
        <v/>
      </c>
      <c r="N237" s="171" t="str">
        <f t="shared" si="34"/>
        <v/>
      </c>
      <c r="O237" s="171" t="str">
        <f t="shared" si="35"/>
        <v/>
      </c>
    </row>
    <row r="238" spans="11:15">
      <c r="K238" s="170" t="str">
        <f t="shared" si="32"/>
        <v/>
      </c>
      <c r="L238" s="170" t="str">
        <f>IF(E238="","",IF(COUNTIFS(Table2[[#All],[De (Lote)]],'Input_APM (Zenith)'!F238)&gt;0,INDEX(Table2[[#All],[Para (Ticker Daniel)]],MATCH('Input_APM (Zenith)'!F238,Table2[[#All],[De (Lote)]],0)),'Input_APM (Zenith)'!F238))</f>
        <v/>
      </c>
      <c r="M238" s="170" t="str">
        <f t="shared" si="33"/>
        <v/>
      </c>
      <c r="N238" s="171" t="str">
        <f t="shared" si="34"/>
        <v/>
      </c>
      <c r="O238" s="171" t="str">
        <f t="shared" si="35"/>
        <v/>
      </c>
    </row>
    <row r="239" spans="11:15">
      <c r="K239" s="170" t="str">
        <f t="shared" si="32"/>
        <v/>
      </c>
      <c r="L239" s="170" t="str">
        <f>IF(E239="","",IF(COUNTIFS(Table2[[#All],[De (Lote)]],'Input_APM (Zenith)'!F239)&gt;0,INDEX(Table2[[#All],[Para (Ticker Daniel)]],MATCH('Input_APM (Zenith)'!F239,Table2[[#All],[De (Lote)]],0)),'Input_APM (Zenith)'!F239))</f>
        <v/>
      </c>
      <c r="M239" s="170" t="str">
        <f t="shared" si="33"/>
        <v/>
      </c>
      <c r="N239" s="171" t="str">
        <f t="shared" si="34"/>
        <v/>
      </c>
      <c r="O239" s="171" t="str">
        <f t="shared" si="35"/>
        <v/>
      </c>
    </row>
    <row r="240" spans="11:15">
      <c r="K240" s="170" t="str">
        <f t="shared" si="32"/>
        <v/>
      </c>
      <c r="L240" s="170" t="str">
        <f>IF(E240="","",IF(COUNTIFS(Table2[[#All],[De (Lote)]],'Input_APM (Zenith)'!F240)&gt;0,INDEX(Table2[[#All],[Para (Ticker Daniel)]],MATCH('Input_APM (Zenith)'!F240,Table2[[#All],[De (Lote)]],0)),'Input_APM (Zenith)'!F240))</f>
        <v/>
      </c>
      <c r="M240" s="170" t="str">
        <f t="shared" si="33"/>
        <v/>
      </c>
      <c r="N240" s="171" t="str">
        <f t="shared" si="34"/>
        <v/>
      </c>
      <c r="O240" s="171" t="str">
        <f t="shared" si="35"/>
        <v/>
      </c>
    </row>
    <row r="241" spans="11:15">
      <c r="K241" s="170" t="str">
        <f t="shared" si="32"/>
        <v/>
      </c>
      <c r="L241" s="170" t="str">
        <f>IF(E241="","",IF(COUNTIFS(Table2[[#All],[De (Lote)]],'Input_APM (Zenith)'!F241)&gt;0,INDEX(Table2[[#All],[Para (Ticker Daniel)]],MATCH('Input_APM (Zenith)'!F241,Table2[[#All],[De (Lote)]],0)),'Input_APM (Zenith)'!F241))</f>
        <v/>
      </c>
      <c r="M241" s="170" t="str">
        <f t="shared" si="33"/>
        <v/>
      </c>
      <c r="N241" s="171" t="str">
        <f t="shared" si="34"/>
        <v/>
      </c>
      <c r="O241" s="171" t="str">
        <f t="shared" si="35"/>
        <v/>
      </c>
    </row>
    <row r="242" spans="11:15">
      <c r="K242" s="170" t="str">
        <f t="shared" si="32"/>
        <v/>
      </c>
      <c r="L242" s="170" t="str">
        <f>IF(E242="","",IF(COUNTIFS(Table2[[#All],[De (Lote)]],'Input_APM (Zenith)'!F242)&gt;0,INDEX(Table2[[#All],[Para (Ticker Daniel)]],MATCH('Input_APM (Zenith)'!F242,Table2[[#All],[De (Lote)]],0)),'Input_APM (Zenith)'!F242))</f>
        <v/>
      </c>
      <c r="M242" s="170" t="str">
        <f t="shared" si="33"/>
        <v/>
      </c>
      <c r="N242" s="171" t="str">
        <f t="shared" si="34"/>
        <v/>
      </c>
      <c r="O242" s="171" t="str">
        <f t="shared" si="35"/>
        <v/>
      </c>
    </row>
    <row r="243" spans="11:15">
      <c r="K243" s="170" t="str">
        <f t="shared" si="32"/>
        <v/>
      </c>
      <c r="L243" s="170" t="str">
        <f>IF(E243="","",IF(COUNTIFS(Table2[[#All],[De (Lote)]],'Input_APM (Zenith)'!F243)&gt;0,INDEX(Table2[[#All],[Para (Ticker Daniel)]],MATCH('Input_APM (Zenith)'!F243,Table2[[#All],[De (Lote)]],0)),'Input_APM (Zenith)'!F243))</f>
        <v/>
      </c>
      <c r="M243" s="170" t="str">
        <f t="shared" si="33"/>
        <v/>
      </c>
      <c r="N243" s="171" t="str">
        <f t="shared" si="34"/>
        <v/>
      </c>
      <c r="O243" s="171" t="str">
        <f t="shared" si="35"/>
        <v/>
      </c>
    </row>
    <row r="244" spans="11:15">
      <c r="K244" s="170" t="str">
        <f t="shared" si="32"/>
        <v/>
      </c>
      <c r="L244" s="170" t="str">
        <f>IF(E244="","",IF(COUNTIFS(Table2[[#All],[De (Lote)]],'Input_APM (Zenith)'!F244)&gt;0,INDEX(Table2[[#All],[Para (Ticker Daniel)]],MATCH('Input_APM (Zenith)'!F244,Table2[[#All],[De (Lote)]],0)),'Input_APM (Zenith)'!F244))</f>
        <v/>
      </c>
      <c r="M244" s="170" t="str">
        <f t="shared" si="33"/>
        <v/>
      </c>
      <c r="N244" s="171" t="str">
        <f t="shared" si="34"/>
        <v/>
      </c>
      <c r="O244" s="171" t="str">
        <f t="shared" si="35"/>
        <v/>
      </c>
    </row>
    <row r="245" spans="11:15">
      <c r="K245" s="170" t="str">
        <f t="shared" si="32"/>
        <v/>
      </c>
      <c r="L245" s="170" t="str">
        <f>IF(E245="","",IF(COUNTIFS(Table2[[#All],[De (Lote)]],'Input_APM (Zenith)'!F245)&gt;0,INDEX(Table2[[#All],[Para (Ticker Daniel)]],MATCH('Input_APM (Zenith)'!F245,Table2[[#All],[De (Lote)]],0)),'Input_APM (Zenith)'!F245))</f>
        <v/>
      </c>
      <c r="M245" s="170" t="str">
        <f t="shared" si="33"/>
        <v/>
      </c>
      <c r="N245" s="171" t="str">
        <f t="shared" si="34"/>
        <v/>
      </c>
      <c r="O245" s="171" t="str">
        <f t="shared" si="35"/>
        <v/>
      </c>
    </row>
    <row r="246" spans="11:15">
      <c r="K246" s="170" t="str">
        <f t="shared" si="32"/>
        <v/>
      </c>
      <c r="L246" s="170" t="str">
        <f>IF(E246="","",IF(COUNTIFS(Table2[[#All],[De (Lote)]],'Input_APM (Zenith)'!F246)&gt;0,INDEX(Table2[[#All],[Para (Ticker Daniel)]],MATCH('Input_APM (Zenith)'!F246,Table2[[#All],[De (Lote)]],0)),'Input_APM (Zenith)'!F246))</f>
        <v/>
      </c>
      <c r="M246" s="170" t="str">
        <f t="shared" si="33"/>
        <v/>
      </c>
      <c r="N246" s="171" t="str">
        <f t="shared" si="34"/>
        <v/>
      </c>
      <c r="O246" s="171" t="str">
        <f t="shared" si="35"/>
        <v/>
      </c>
    </row>
    <row r="247" spans="11:15">
      <c r="K247" s="170" t="str">
        <f t="shared" si="32"/>
        <v/>
      </c>
      <c r="L247" s="170" t="str">
        <f>IF(E247="","",IF(COUNTIFS(Table2[[#All],[De (Lote)]],'Input_APM (Zenith)'!F247)&gt;0,INDEX(Table2[[#All],[Para (Ticker Daniel)]],MATCH('Input_APM (Zenith)'!F247,Table2[[#All],[De (Lote)]],0)),'Input_APM (Zenith)'!F247))</f>
        <v/>
      </c>
      <c r="M247" s="170" t="str">
        <f t="shared" si="33"/>
        <v/>
      </c>
      <c r="N247" s="171" t="str">
        <f t="shared" si="34"/>
        <v/>
      </c>
      <c r="O247" s="171" t="str">
        <f t="shared" si="35"/>
        <v/>
      </c>
    </row>
    <row r="248" spans="11:15">
      <c r="K248" s="170" t="str">
        <f t="shared" si="32"/>
        <v/>
      </c>
      <c r="L248" s="170" t="str">
        <f>IF(E248="","",IF(COUNTIFS(Table2[[#All],[De (Lote)]],'Input_APM (Zenith)'!F248)&gt;0,INDEX(Table2[[#All],[Para (Ticker Daniel)]],MATCH('Input_APM (Zenith)'!F248,Table2[[#All],[De (Lote)]],0)),'Input_APM (Zenith)'!F248))</f>
        <v/>
      </c>
      <c r="M248" s="170" t="str">
        <f t="shared" si="33"/>
        <v/>
      </c>
      <c r="N248" s="171" t="str">
        <f t="shared" si="34"/>
        <v/>
      </c>
      <c r="O248" s="171" t="str">
        <f t="shared" si="35"/>
        <v/>
      </c>
    </row>
    <row r="249" spans="11:15">
      <c r="K249" s="170" t="str">
        <f t="shared" si="32"/>
        <v/>
      </c>
      <c r="L249" s="170" t="str">
        <f>IF(E249="","",IF(COUNTIFS(Table2[[#All],[De (Lote)]],'Input_APM (Zenith)'!F249)&gt;0,INDEX(Table2[[#All],[Para (Ticker Daniel)]],MATCH('Input_APM (Zenith)'!F249,Table2[[#All],[De (Lote)]],0)),'Input_APM (Zenith)'!F249))</f>
        <v/>
      </c>
      <c r="M249" s="170" t="str">
        <f t="shared" si="33"/>
        <v/>
      </c>
      <c r="N249" s="171" t="str">
        <f t="shared" si="34"/>
        <v/>
      </c>
      <c r="O249" s="171" t="str">
        <f t="shared" si="35"/>
        <v/>
      </c>
    </row>
    <row r="250" spans="11:15">
      <c r="K250" s="170" t="str">
        <f t="shared" si="32"/>
        <v/>
      </c>
      <c r="L250" s="170" t="str">
        <f>IF(E250="","",IF(COUNTIFS(Table2[[#All],[De (Lote)]],'Input_APM (Zenith)'!F250)&gt;0,INDEX(Table2[[#All],[Para (Ticker Daniel)]],MATCH('Input_APM (Zenith)'!F250,Table2[[#All],[De (Lote)]],0)),'Input_APM (Zenith)'!F250))</f>
        <v/>
      </c>
      <c r="M250" s="170" t="str">
        <f t="shared" si="33"/>
        <v/>
      </c>
      <c r="N250" s="171" t="str">
        <f t="shared" si="34"/>
        <v/>
      </c>
      <c r="O250" s="171" t="str">
        <f t="shared" si="35"/>
        <v/>
      </c>
    </row>
    <row r="251" spans="11:15">
      <c r="K251" s="170" t="str">
        <f t="shared" si="32"/>
        <v/>
      </c>
      <c r="L251" s="170" t="str">
        <f>IF(E251="","",IF(COUNTIFS(Table2[[#All],[De (Lote)]],'Input_APM (Zenith)'!F251)&gt;0,INDEX(Table2[[#All],[Para (Ticker Daniel)]],MATCH('Input_APM (Zenith)'!F251,Table2[[#All],[De (Lote)]],0)),'Input_APM (Zenith)'!F251))</f>
        <v/>
      </c>
      <c r="M251" s="170" t="str">
        <f t="shared" si="33"/>
        <v/>
      </c>
      <c r="N251" s="171" t="str">
        <f t="shared" si="34"/>
        <v/>
      </c>
      <c r="O251" s="171" t="str">
        <f t="shared" si="35"/>
        <v/>
      </c>
    </row>
    <row r="252" spans="11:15">
      <c r="K252" s="170" t="str">
        <f t="shared" si="32"/>
        <v/>
      </c>
      <c r="L252" s="170" t="str">
        <f>IF(E252="","",IF(COUNTIFS(Table2[[#All],[De (Lote)]],'Input_APM (Zenith)'!F252)&gt;0,INDEX(Table2[[#All],[Para (Ticker Daniel)]],MATCH('Input_APM (Zenith)'!F252,Table2[[#All],[De (Lote)]],0)),'Input_APM (Zenith)'!F252))</f>
        <v/>
      </c>
      <c r="M252" s="170" t="str">
        <f t="shared" si="33"/>
        <v/>
      </c>
      <c r="N252" s="171" t="str">
        <f t="shared" si="34"/>
        <v/>
      </c>
      <c r="O252" s="171" t="str">
        <f t="shared" si="35"/>
        <v/>
      </c>
    </row>
    <row r="253" spans="11:15">
      <c r="K253" s="170" t="str">
        <f t="shared" si="32"/>
        <v/>
      </c>
      <c r="L253" s="170" t="str">
        <f>IF(E253="","",IF(COUNTIFS(Table2[[#All],[De (Lote)]],'Input_APM (Zenith)'!F253)&gt;0,INDEX(Table2[[#All],[Para (Ticker Daniel)]],MATCH('Input_APM (Zenith)'!F253,Table2[[#All],[De (Lote)]],0)),'Input_APM (Zenith)'!F253))</f>
        <v/>
      </c>
      <c r="M253" s="170" t="str">
        <f t="shared" si="33"/>
        <v/>
      </c>
      <c r="N253" s="171" t="str">
        <f t="shared" si="34"/>
        <v/>
      </c>
      <c r="O253" s="171" t="str">
        <f t="shared" si="35"/>
        <v/>
      </c>
    </row>
    <row r="254" spans="11:15">
      <c r="K254" s="170" t="str">
        <f t="shared" si="32"/>
        <v/>
      </c>
      <c r="L254" s="170" t="str">
        <f>IF(E254="","",IF(COUNTIFS(Table2[[#All],[De (Lote)]],'Input_APM (Zenith)'!F254)&gt;0,INDEX(Table2[[#All],[Para (Ticker Daniel)]],MATCH('Input_APM (Zenith)'!F254,Table2[[#All],[De (Lote)]],0)),'Input_APM (Zenith)'!F254))</f>
        <v/>
      </c>
      <c r="M254" s="170" t="str">
        <f t="shared" si="33"/>
        <v/>
      </c>
      <c r="N254" s="171" t="str">
        <f t="shared" si="34"/>
        <v/>
      </c>
      <c r="O254" s="171" t="str">
        <f t="shared" si="35"/>
        <v/>
      </c>
    </row>
    <row r="255" spans="11:15">
      <c r="K255" s="170" t="str">
        <f t="shared" si="32"/>
        <v/>
      </c>
      <c r="L255" s="170" t="str">
        <f>IF(E255="","",IF(COUNTIFS(Table2[[#All],[De (Lote)]],'Input_APM (Zenith)'!F255)&gt;0,INDEX(Table2[[#All],[Para (Ticker Daniel)]],MATCH('Input_APM (Zenith)'!F255,Table2[[#All],[De (Lote)]],0)),'Input_APM (Zenith)'!F255))</f>
        <v/>
      </c>
      <c r="M255" s="170" t="str">
        <f t="shared" si="33"/>
        <v/>
      </c>
      <c r="N255" s="171" t="str">
        <f t="shared" si="34"/>
        <v/>
      </c>
      <c r="O255" s="171" t="str">
        <f t="shared" si="35"/>
        <v/>
      </c>
    </row>
    <row r="256" spans="11:15">
      <c r="K256" s="170" t="str">
        <f t="shared" si="32"/>
        <v/>
      </c>
      <c r="L256" s="170" t="str">
        <f>IF(E256="","",IF(COUNTIFS(Table2[[#All],[De (Lote)]],'Input_APM (Zenith)'!F256)&gt;0,INDEX(Table2[[#All],[Para (Ticker Daniel)]],MATCH('Input_APM (Zenith)'!F256,Table2[[#All],[De (Lote)]],0)),'Input_APM (Zenith)'!F256))</f>
        <v/>
      </c>
      <c r="M256" s="170" t="str">
        <f t="shared" si="33"/>
        <v/>
      </c>
      <c r="N256" s="171" t="str">
        <f t="shared" si="34"/>
        <v/>
      </c>
      <c r="O256" s="171" t="str">
        <f t="shared" si="35"/>
        <v/>
      </c>
    </row>
    <row r="257" spans="11:15">
      <c r="K257" s="170" t="str">
        <f t="shared" si="32"/>
        <v/>
      </c>
      <c r="L257" s="170" t="str">
        <f>IF(E257="","",IF(COUNTIFS(Table2[[#All],[De (Lote)]],'Input_APM (Zenith)'!F257)&gt;0,INDEX(Table2[[#All],[Para (Ticker Daniel)]],MATCH('Input_APM (Zenith)'!F257,Table2[[#All],[De (Lote)]],0)),'Input_APM (Zenith)'!F257))</f>
        <v/>
      </c>
      <c r="M257" s="170" t="str">
        <f t="shared" si="33"/>
        <v/>
      </c>
      <c r="N257" s="171" t="str">
        <f t="shared" si="34"/>
        <v/>
      </c>
      <c r="O257" s="171" t="str">
        <f t="shared" si="35"/>
        <v/>
      </c>
    </row>
    <row r="258" spans="11:15">
      <c r="K258" s="170" t="str">
        <f t="shared" si="32"/>
        <v/>
      </c>
      <c r="L258" s="170" t="str">
        <f>IF(E258="","",IF(COUNTIFS(Table2[[#All],[De (Lote)]],'Input_APM (Zenith)'!F258)&gt;0,INDEX(Table2[[#All],[Para (Ticker Daniel)]],MATCH('Input_APM (Zenith)'!F258,Table2[[#All],[De (Lote)]],0)),'Input_APM (Zenith)'!F258))</f>
        <v/>
      </c>
      <c r="M258" s="170" t="str">
        <f t="shared" si="33"/>
        <v/>
      </c>
      <c r="N258" s="171" t="str">
        <f t="shared" si="34"/>
        <v/>
      </c>
      <c r="O258" s="171" t="str">
        <f t="shared" si="35"/>
        <v/>
      </c>
    </row>
    <row r="259" spans="11:15">
      <c r="K259" s="170" t="str">
        <f t="shared" si="32"/>
        <v/>
      </c>
      <c r="L259" s="170" t="str">
        <f>IF(E259="","",IF(COUNTIFS(Table2[[#All],[De (Lote)]],'Input_APM (Zenith)'!F259)&gt;0,INDEX(Table2[[#All],[Para (Ticker Daniel)]],MATCH('Input_APM (Zenith)'!F259,Table2[[#All],[De (Lote)]],0)),'Input_APM (Zenith)'!F259))</f>
        <v/>
      </c>
      <c r="M259" s="170" t="str">
        <f t="shared" si="33"/>
        <v/>
      </c>
      <c r="N259" s="171" t="str">
        <f t="shared" si="34"/>
        <v/>
      </c>
      <c r="O259" s="171" t="str">
        <f t="shared" si="35"/>
        <v/>
      </c>
    </row>
    <row r="260" spans="11:15">
      <c r="K260" s="170" t="str">
        <f t="shared" si="32"/>
        <v/>
      </c>
      <c r="L260" s="170" t="str">
        <f>IF(E260="","",IF(COUNTIFS(Table2[[#All],[De (Lote)]],'Input_APM (Zenith)'!F260)&gt;0,INDEX(Table2[[#All],[Para (Ticker Daniel)]],MATCH('Input_APM (Zenith)'!F260,Table2[[#All],[De (Lote)]],0)),'Input_APM (Zenith)'!F260))</f>
        <v/>
      </c>
      <c r="M260" s="170" t="str">
        <f t="shared" si="33"/>
        <v/>
      </c>
      <c r="N260" s="171" t="str">
        <f t="shared" si="34"/>
        <v/>
      </c>
      <c r="O260" s="171" t="str">
        <f t="shared" si="35"/>
        <v/>
      </c>
    </row>
    <row r="261" spans="11:15">
      <c r="K261" s="170" t="str">
        <f t="shared" si="32"/>
        <v/>
      </c>
      <c r="L261" s="170" t="str">
        <f>IF(E261="","",IF(COUNTIFS(Table2[[#All],[De (Lote)]],'Input_APM (Zenith)'!F261)&gt;0,INDEX(Table2[[#All],[Para (Ticker Daniel)]],MATCH('Input_APM (Zenith)'!F261,Table2[[#All],[De (Lote)]],0)),'Input_APM (Zenith)'!F261))</f>
        <v/>
      </c>
      <c r="M261" s="170" t="str">
        <f t="shared" si="33"/>
        <v/>
      </c>
      <c r="N261" s="171" t="str">
        <f t="shared" si="34"/>
        <v/>
      </c>
      <c r="O261" s="171" t="str">
        <f t="shared" si="35"/>
        <v/>
      </c>
    </row>
    <row r="262" spans="11:15">
      <c r="K262" s="170" t="str">
        <f t="shared" ref="K262:K267" si="36">IF(E262="","",E262)</f>
        <v/>
      </c>
      <c r="L262" s="170" t="str">
        <f>IF(E262="","",IF(COUNTIFS(Table2[[#All],[De (Lote)]],'Input_APM (Zenith)'!F262)&gt;0,INDEX(Table2[[#All],[Para (Ticker Daniel)]],MATCH('Input_APM (Zenith)'!F262,Table2[[#All],[De (Lote)]],0)),'Input_APM (Zenith)'!F262))</f>
        <v/>
      </c>
      <c r="M262" s="170" t="str">
        <f t="shared" ref="M262:M267" si="37">IF(E262="","",G262)</f>
        <v/>
      </c>
      <c r="N262" s="171" t="str">
        <f t="shared" ref="N262:N267" si="38">IF(E262="","",H262)</f>
        <v/>
      </c>
      <c r="O262" s="171" t="str">
        <f t="shared" ref="O262:O267" si="39">IF(E262="","",I262)</f>
        <v/>
      </c>
    </row>
    <row r="263" spans="11:15">
      <c r="K263" s="170" t="str">
        <f t="shared" si="36"/>
        <v/>
      </c>
      <c r="L263" s="170" t="str">
        <f>IF(E263="","",IF(COUNTIFS(Table2[[#All],[De (Lote)]],'Input_APM (Zenith)'!F263)&gt;0,INDEX(Table2[[#All],[Para (Ticker Daniel)]],MATCH('Input_APM (Zenith)'!F263,Table2[[#All],[De (Lote)]],0)),'Input_APM (Zenith)'!F263))</f>
        <v/>
      </c>
      <c r="M263" s="170" t="str">
        <f t="shared" si="37"/>
        <v/>
      </c>
      <c r="N263" s="171" t="str">
        <f t="shared" si="38"/>
        <v/>
      </c>
      <c r="O263" s="171" t="str">
        <f t="shared" si="39"/>
        <v/>
      </c>
    </row>
    <row r="264" spans="11:15">
      <c r="K264" s="170" t="str">
        <f t="shared" si="36"/>
        <v/>
      </c>
      <c r="L264" s="170" t="str">
        <f>IF(E264="","",IF(COUNTIFS(Table2[[#All],[De (Lote)]],'Input_APM (Zenith)'!F264)&gt;0,INDEX(Table2[[#All],[Para (Ticker Daniel)]],MATCH('Input_APM (Zenith)'!F264,Table2[[#All],[De (Lote)]],0)),'Input_APM (Zenith)'!F264))</f>
        <v/>
      </c>
      <c r="M264" s="170" t="str">
        <f t="shared" si="37"/>
        <v/>
      </c>
      <c r="N264" s="171" t="str">
        <f t="shared" si="38"/>
        <v/>
      </c>
      <c r="O264" s="171" t="str">
        <f t="shared" si="39"/>
        <v/>
      </c>
    </row>
    <row r="265" spans="11:15">
      <c r="K265" s="170" t="str">
        <f t="shared" si="36"/>
        <v/>
      </c>
      <c r="L265" s="170" t="str">
        <f>IF(E265="","",IF(COUNTIFS(Table2[[#All],[De (Lote)]],'Input_APM (Zenith)'!F265)&gt;0,INDEX(Table2[[#All],[Para (Ticker Daniel)]],MATCH('Input_APM (Zenith)'!F265,Table2[[#All],[De (Lote)]],0)),'Input_APM (Zenith)'!F265))</f>
        <v/>
      </c>
      <c r="M265" s="170" t="str">
        <f t="shared" si="37"/>
        <v/>
      </c>
      <c r="N265" s="171" t="str">
        <f t="shared" si="38"/>
        <v/>
      </c>
      <c r="O265" s="171" t="str">
        <f t="shared" si="39"/>
        <v/>
      </c>
    </row>
    <row r="266" spans="11:15">
      <c r="K266" s="170" t="str">
        <f t="shared" si="36"/>
        <v/>
      </c>
      <c r="L266" s="170" t="str">
        <f>IF(E266="","",IF(COUNTIFS(Table2[[#All],[De (Lote)]],'Input_APM (Zenith)'!F266)&gt;0,INDEX(Table2[[#All],[Para (Ticker Daniel)]],MATCH('Input_APM (Zenith)'!F266,Table2[[#All],[De (Lote)]],0)),'Input_APM (Zenith)'!F266))</f>
        <v/>
      </c>
      <c r="M266" s="170" t="str">
        <f t="shared" si="37"/>
        <v/>
      </c>
      <c r="N266" s="171" t="str">
        <f t="shared" si="38"/>
        <v/>
      </c>
      <c r="O266" s="171" t="str">
        <f t="shared" si="39"/>
        <v/>
      </c>
    </row>
    <row r="267" spans="11:15">
      <c r="K267" s="170" t="str">
        <f t="shared" si="36"/>
        <v/>
      </c>
      <c r="L267" s="170" t="str">
        <f>IF(E267="","",IF(COUNTIFS(Table2[[#All],[De (Lote)]],'Input_APM (Zenith)'!F267)&gt;0,INDEX(Table2[[#All],[Para (Ticker Daniel)]],MATCH('Input_APM (Zenith)'!F267,Table2[[#All],[De (Lote)]],0)),'Input_APM (Zenith)'!F267))</f>
        <v/>
      </c>
      <c r="M267" s="170" t="str">
        <f t="shared" si="37"/>
        <v/>
      </c>
      <c r="N267" s="171" t="str">
        <f t="shared" si="38"/>
        <v/>
      </c>
      <c r="O267" s="171" t="str">
        <f t="shared" si="39"/>
        <v/>
      </c>
    </row>
    <row r="268" spans="11:15">
      <c r="K268" s="170" t="str">
        <f t="shared" ref="K268:K293" si="40">IF(E268="","",E268)</f>
        <v/>
      </c>
      <c r="L268" s="170" t="str">
        <f>IF(E268="","",IF(COUNTIFS(Table2[[#All],[De (Lote)]],'Input_APM (Zenith)'!F268)&gt;0,INDEX(Table2[[#All],[Para (Ticker Daniel)]],MATCH('Input_APM (Zenith)'!F268,Table2[[#All],[De (Lote)]],0)),'Input_APM (Zenith)'!F268))</f>
        <v/>
      </c>
      <c r="M268" s="170" t="str">
        <f t="shared" ref="M268:M293" si="41">IF(E268="","",G268)</f>
        <v/>
      </c>
      <c r="N268" s="171" t="str">
        <f t="shared" ref="N268:N293" si="42">IF(E268="","",H268)</f>
        <v/>
      </c>
      <c r="O268" s="171" t="str">
        <f t="shared" ref="O268:O293" si="43">IF(E268="","",I268)</f>
        <v/>
      </c>
    </row>
    <row r="269" spans="11:15">
      <c r="K269" s="170" t="str">
        <f t="shared" si="40"/>
        <v/>
      </c>
      <c r="L269" s="170" t="str">
        <f>IF(E269="","",IF(COUNTIFS(Table2[[#All],[De (Lote)]],'Input_APM (Zenith)'!F269)&gt;0,INDEX(Table2[[#All],[Para (Ticker Daniel)]],MATCH('Input_APM (Zenith)'!F269,Table2[[#All],[De (Lote)]],0)),'Input_APM (Zenith)'!F269))</f>
        <v/>
      </c>
      <c r="M269" s="170" t="str">
        <f t="shared" si="41"/>
        <v/>
      </c>
      <c r="N269" s="171" t="str">
        <f t="shared" si="42"/>
        <v/>
      </c>
      <c r="O269" s="171" t="str">
        <f t="shared" si="43"/>
        <v/>
      </c>
    </row>
    <row r="270" spans="11:15">
      <c r="K270" s="170" t="str">
        <f t="shared" si="40"/>
        <v/>
      </c>
      <c r="L270" s="170" t="str">
        <f>IF(E270="","",IF(COUNTIFS(Table2[[#All],[De (Lote)]],'Input_APM (Zenith)'!F270)&gt;0,INDEX(Table2[[#All],[Para (Ticker Daniel)]],MATCH('Input_APM (Zenith)'!F270,Table2[[#All],[De (Lote)]],0)),'Input_APM (Zenith)'!F270))</f>
        <v/>
      </c>
      <c r="M270" s="170" t="str">
        <f t="shared" si="41"/>
        <v/>
      </c>
      <c r="N270" s="171" t="str">
        <f t="shared" si="42"/>
        <v/>
      </c>
      <c r="O270" s="171" t="str">
        <f t="shared" si="43"/>
        <v/>
      </c>
    </row>
    <row r="271" spans="11:15">
      <c r="K271" s="170" t="str">
        <f t="shared" si="40"/>
        <v/>
      </c>
      <c r="L271" s="170" t="str">
        <f>IF(E271="","",IF(COUNTIFS(Table2[[#All],[De (Lote)]],'Input_APM (Zenith)'!F271)&gt;0,INDEX(Table2[[#All],[Para (Ticker Daniel)]],MATCH('Input_APM (Zenith)'!F271,Table2[[#All],[De (Lote)]],0)),'Input_APM (Zenith)'!F271))</f>
        <v/>
      </c>
      <c r="M271" s="170" t="str">
        <f t="shared" si="41"/>
        <v/>
      </c>
      <c r="N271" s="171" t="str">
        <f t="shared" si="42"/>
        <v/>
      </c>
      <c r="O271" s="171" t="str">
        <f t="shared" si="43"/>
        <v/>
      </c>
    </row>
    <row r="272" spans="11:15">
      <c r="K272" s="170" t="str">
        <f t="shared" si="40"/>
        <v/>
      </c>
      <c r="L272" s="170" t="str">
        <f>IF(E272="","",IF(COUNTIFS(Table2[[#All],[De (Lote)]],'Input_APM (Zenith)'!F272)&gt;0,INDEX(Table2[[#All],[Para (Ticker Daniel)]],MATCH('Input_APM (Zenith)'!F272,Table2[[#All],[De (Lote)]],0)),'Input_APM (Zenith)'!F272))</f>
        <v/>
      </c>
      <c r="M272" s="170" t="str">
        <f t="shared" si="41"/>
        <v/>
      </c>
      <c r="N272" s="171" t="str">
        <f t="shared" si="42"/>
        <v/>
      </c>
      <c r="O272" s="171" t="str">
        <f t="shared" si="43"/>
        <v/>
      </c>
    </row>
    <row r="273" spans="11:15">
      <c r="K273" s="170" t="str">
        <f t="shared" si="40"/>
        <v/>
      </c>
      <c r="L273" s="170" t="str">
        <f>IF(E273="","",IF(COUNTIFS(Table2[[#All],[De (Lote)]],'Input_APM (Zenith)'!F273)&gt;0,INDEX(Table2[[#All],[Para (Ticker Daniel)]],MATCH('Input_APM (Zenith)'!F273,Table2[[#All],[De (Lote)]],0)),'Input_APM (Zenith)'!F273))</f>
        <v/>
      </c>
      <c r="M273" s="170" t="str">
        <f t="shared" si="41"/>
        <v/>
      </c>
      <c r="N273" s="171" t="str">
        <f t="shared" si="42"/>
        <v/>
      </c>
      <c r="O273" s="171" t="str">
        <f t="shared" si="43"/>
        <v/>
      </c>
    </row>
    <row r="274" spans="11:15">
      <c r="K274" s="170" t="str">
        <f t="shared" si="40"/>
        <v/>
      </c>
      <c r="L274" s="170" t="str">
        <f>IF(E274="","",IF(COUNTIFS(Table2[[#All],[De (Lote)]],'Input_APM (Zenith)'!F274)&gt;0,INDEX(Table2[[#All],[Para (Ticker Daniel)]],MATCH('Input_APM (Zenith)'!F274,Table2[[#All],[De (Lote)]],0)),'Input_APM (Zenith)'!F274))</f>
        <v/>
      </c>
      <c r="M274" s="170" t="str">
        <f t="shared" si="41"/>
        <v/>
      </c>
      <c r="N274" s="171" t="str">
        <f t="shared" si="42"/>
        <v/>
      </c>
      <c r="O274" s="171" t="str">
        <f t="shared" si="43"/>
        <v/>
      </c>
    </row>
    <row r="275" spans="11:15">
      <c r="K275" s="170" t="str">
        <f t="shared" si="40"/>
        <v/>
      </c>
      <c r="L275" s="170" t="str">
        <f>IF(E275="","",IF(COUNTIFS(Table2[[#All],[De (Lote)]],'Input_APM (Zenith)'!F275)&gt;0,INDEX(Table2[[#All],[Para (Ticker Daniel)]],MATCH('Input_APM (Zenith)'!F275,Table2[[#All],[De (Lote)]],0)),'Input_APM (Zenith)'!F275))</f>
        <v/>
      </c>
      <c r="M275" s="170" t="str">
        <f t="shared" si="41"/>
        <v/>
      </c>
      <c r="N275" s="171" t="str">
        <f t="shared" si="42"/>
        <v/>
      </c>
      <c r="O275" s="171" t="str">
        <f t="shared" si="43"/>
        <v/>
      </c>
    </row>
    <row r="276" spans="11:15">
      <c r="K276" s="170" t="str">
        <f t="shared" si="40"/>
        <v/>
      </c>
      <c r="L276" s="170" t="str">
        <f>IF(E276="","",IF(COUNTIFS(Table2[[#All],[De (Lote)]],'Input_APM (Zenith)'!F276)&gt;0,INDEX(Table2[[#All],[Para (Ticker Daniel)]],MATCH('Input_APM (Zenith)'!F276,Table2[[#All],[De (Lote)]],0)),'Input_APM (Zenith)'!F276))</f>
        <v/>
      </c>
      <c r="M276" s="170" t="str">
        <f t="shared" si="41"/>
        <v/>
      </c>
      <c r="N276" s="171" t="str">
        <f t="shared" si="42"/>
        <v/>
      </c>
      <c r="O276" s="171" t="str">
        <f t="shared" si="43"/>
        <v/>
      </c>
    </row>
    <row r="277" spans="11:15">
      <c r="K277" s="170" t="str">
        <f t="shared" si="40"/>
        <v/>
      </c>
      <c r="L277" s="170" t="str">
        <f>IF(E277="","",IF(COUNTIFS(Table2[[#All],[De (Lote)]],'Input_APM (Zenith)'!F277)&gt;0,INDEX(Table2[[#All],[Para (Ticker Daniel)]],MATCH('Input_APM (Zenith)'!F277,Table2[[#All],[De (Lote)]],0)),'Input_APM (Zenith)'!F277))</f>
        <v/>
      </c>
      <c r="M277" s="170" t="str">
        <f t="shared" si="41"/>
        <v/>
      </c>
      <c r="N277" s="171" t="str">
        <f t="shared" si="42"/>
        <v/>
      </c>
      <c r="O277" s="171" t="str">
        <f t="shared" si="43"/>
        <v/>
      </c>
    </row>
    <row r="278" spans="11:15">
      <c r="K278" s="170" t="str">
        <f t="shared" si="40"/>
        <v/>
      </c>
      <c r="L278" s="170" t="str">
        <f>IF(E278="","",IF(COUNTIFS(Table2[[#All],[De (Lote)]],'Input_APM (Zenith)'!F278)&gt;0,INDEX(Table2[[#All],[Para (Ticker Daniel)]],MATCH('Input_APM (Zenith)'!F278,Table2[[#All],[De (Lote)]],0)),'Input_APM (Zenith)'!F278))</f>
        <v/>
      </c>
      <c r="M278" s="170" t="str">
        <f t="shared" si="41"/>
        <v/>
      </c>
      <c r="N278" s="171" t="str">
        <f t="shared" si="42"/>
        <v/>
      </c>
      <c r="O278" s="171" t="str">
        <f t="shared" si="43"/>
        <v/>
      </c>
    </row>
    <row r="279" spans="11:15">
      <c r="K279" s="170" t="str">
        <f t="shared" si="40"/>
        <v/>
      </c>
      <c r="L279" s="170" t="str">
        <f>IF(E279="","",IF(COUNTIFS(Table2[[#All],[De (Lote)]],'Input_APM (Zenith)'!F279)&gt;0,INDEX(Table2[[#All],[Para (Ticker Daniel)]],MATCH('Input_APM (Zenith)'!F279,Table2[[#All],[De (Lote)]],0)),'Input_APM (Zenith)'!F279))</f>
        <v/>
      </c>
      <c r="M279" s="170" t="str">
        <f t="shared" si="41"/>
        <v/>
      </c>
      <c r="N279" s="171" t="str">
        <f t="shared" si="42"/>
        <v/>
      </c>
      <c r="O279" s="171" t="str">
        <f t="shared" si="43"/>
        <v/>
      </c>
    </row>
    <row r="280" spans="11:15">
      <c r="K280" s="170" t="str">
        <f t="shared" si="40"/>
        <v/>
      </c>
      <c r="L280" s="170" t="str">
        <f>IF(E280="","",IF(COUNTIFS(Table2[[#All],[De (Lote)]],'Input_APM (Zenith)'!F280)&gt;0,INDEX(Table2[[#All],[Para (Ticker Daniel)]],MATCH('Input_APM (Zenith)'!F280,Table2[[#All],[De (Lote)]],0)),'Input_APM (Zenith)'!F280))</f>
        <v/>
      </c>
      <c r="M280" s="170" t="str">
        <f t="shared" si="41"/>
        <v/>
      </c>
      <c r="N280" s="171" t="str">
        <f t="shared" si="42"/>
        <v/>
      </c>
      <c r="O280" s="171" t="str">
        <f t="shared" si="43"/>
        <v/>
      </c>
    </row>
    <row r="281" spans="11:15">
      <c r="K281" s="170" t="str">
        <f t="shared" si="40"/>
        <v/>
      </c>
      <c r="L281" s="170" t="str">
        <f>IF(E281="","",IF(COUNTIFS(Table2[[#All],[De (Lote)]],'Input_APM (Zenith)'!F281)&gt;0,INDEX(Table2[[#All],[Para (Ticker Daniel)]],MATCH('Input_APM (Zenith)'!F281,Table2[[#All],[De (Lote)]],0)),'Input_APM (Zenith)'!F281))</f>
        <v/>
      </c>
      <c r="M281" s="170" t="str">
        <f t="shared" si="41"/>
        <v/>
      </c>
      <c r="N281" s="171" t="str">
        <f t="shared" si="42"/>
        <v/>
      </c>
      <c r="O281" s="171" t="str">
        <f t="shared" si="43"/>
        <v/>
      </c>
    </row>
    <row r="282" spans="11:15">
      <c r="K282" s="170" t="str">
        <f t="shared" si="40"/>
        <v/>
      </c>
      <c r="L282" s="170" t="str">
        <f>IF(E282="","",IF(COUNTIFS(Table2[[#All],[De (Lote)]],'Input_APM (Zenith)'!F282)&gt;0,INDEX(Table2[[#All],[Para (Ticker Daniel)]],MATCH('Input_APM (Zenith)'!F282,Table2[[#All],[De (Lote)]],0)),'Input_APM (Zenith)'!F282))</f>
        <v/>
      </c>
      <c r="M282" s="170" t="str">
        <f t="shared" si="41"/>
        <v/>
      </c>
      <c r="N282" s="171" t="str">
        <f t="shared" si="42"/>
        <v/>
      </c>
      <c r="O282" s="171" t="str">
        <f t="shared" si="43"/>
        <v/>
      </c>
    </row>
    <row r="283" spans="11:15">
      <c r="K283" s="170" t="str">
        <f t="shared" si="40"/>
        <v/>
      </c>
      <c r="L283" s="170" t="str">
        <f>IF(E283="","",IF(COUNTIFS(Table2[[#All],[De (Lote)]],'Input_APM (Zenith)'!F283)&gt;0,INDEX(Table2[[#All],[Para (Ticker Daniel)]],MATCH('Input_APM (Zenith)'!F283,Table2[[#All],[De (Lote)]],0)),'Input_APM (Zenith)'!F283))</f>
        <v/>
      </c>
      <c r="M283" s="170" t="str">
        <f t="shared" si="41"/>
        <v/>
      </c>
      <c r="N283" s="171" t="str">
        <f t="shared" si="42"/>
        <v/>
      </c>
      <c r="O283" s="171" t="str">
        <f t="shared" si="43"/>
        <v/>
      </c>
    </row>
    <row r="284" spans="11:15">
      <c r="K284" s="170" t="str">
        <f t="shared" si="40"/>
        <v/>
      </c>
      <c r="L284" s="170" t="str">
        <f>IF(E284="","",IF(COUNTIFS(Table2[[#All],[De (Lote)]],'Input_APM (Zenith)'!F284)&gt;0,INDEX(Table2[[#All],[Para (Ticker Daniel)]],MATCH('Input_APM (Zenith)'!F284,Table2[[#All],[De (Lote)]],0)),'Input_APM (Zenith)'!F284))</f>
        <v/>
      </c>
      <c r="M284" s="170" t="str">
        <f t="shared" si="41"/>
        <v/>
      </c>
      <c r="N284" s="171" t="str">
        <f t="shared" si="42"/>
        <v/>
      </c>
      <c r="O284" s="171" t="str">
        <f t="shared" si="43"/>
        <v/>
      </c>
    </row>
    <row r="285" spans="11:15">
      <c r="K285" s="170" t="str">
        <f t="shared" si="40"/>
        <v/>
      </c>
      <c r="L285" s="170" t="str">
        <f>IF(E285="","",IF(COUNTIFS(Table2[[#All],[De (Lote)]],'Input_APM (Zenith)'!F285)&gt;0,INDEX(Table2[[#All],[Para (Ticker Daniel)]],MATCH('Input_APM (Zenith)'!F285,Table2[[#All],[De (Lote)]],0)),'Input_APM (Zenith)'!F285))</f>
        <v/>
      </c>
      <c r="M285" s="170" t="str">
        <f t="shared" si="41"/>
        <v/>
      </c>
      <c r="N285" s="171" t="str">
        <f t="shared" si="42"/>
        <v/>
      </c>
      <c r="O285" s="171" t="str">
        <f t="shared" si="43"/>
        <v/>
      </c>
    </row>
    <row r="286" spans="11:15">
      <c r="K286" s="170" t="str">
        <f t="shared" si="40"/>
        <v/>
      </c>
      <c r="L286" s="170" t="str">
        <f>IF(E286="","",IF(COUNTIFS(Table2[[#All],[De (Lote)]],'Input_APM (Zenith)'!F286)&gt;0,INDEX(Table2[[#All],[Para (Ticker Daniel)]],MATCH('Input_APM (Zenith)'!F286,Table2[[#All],[De (Lote)]],0)),'Input_APM (Zenith)'!F286))</f>
        <v/>
      </c>
      <c r="M286" s="170" t="str">
        <f t="shared" si="41"/>
        <v/>
      </c>
      <c r="N286" s="171" t="str">
        <f t="shared" si="42"/>
        <v/>
      </c>
      <c r="O286" s="171" t="str">
        <f t="shared" si="43"/>
        <v/>
      </c>
    </row>
    <row r="287" spans="11:15">
      <c r="K287" s="170" t="str">
        <f t="shared" si="40"/>
        <v/>
      </c>
      <c r="L287" s="170" t="str">
        <f>IF(E287="","",IF(COUNTIFS(Table2[[#All],[De (Lote)]],'Input_APM (Zenith)'!F287)&gt;0,INDEX(Table2[[#All],[Para (Ticker Daniel)]],MATCH('Input_APM (Zenith)'!F287,Table2[[#All],[De (Lote)]],0)),'Input_APM (Zenith)'!F287))</f>
        <v/>
      </c>
      <c r="M287" s="170" t="str">
        <f t="shared" si="41"/>
        <v/>
      </c>
      <c r="N287" s="171" t="str">
        <f t="shared" si="42"/>
        <v/>
      </c>
      <c r="O287" s="171" t="str">
        <f t="shared" si="43"/>
        <v/>
      </c>
    </row>
    <row r="288" spans="11:15">
      <c r="K288" s="170" t="str">
        <f t="shared" si="40"/>
        <v/>
      </c>
      <c r="L288" s="170" t="str">
        <f>IF(E288="","",IF(COUNTIFS(Table2[[#All],[De (Lote)]],'Input_APM (Zenith)'!F288)&gt;0,INDEX(Table2[[#All],[Para (Ticker Daniel)]],MATCH('Input_APM (Zenith)'!F288,Table2[[#All],[De (Lote)]],0)),'Input_APM (Zenith)'!F288))</f>
        <v/>
      </c>
      <c r="M288" s="170" t="str">
        <f t="shared" si="41"/>
        <v/>
      </c>
      <c r="N288" s="171" t="str">
        <f t="shared" si="42"/>
        <v/>
      </c>
      <c r="O288" s="171" t="str">
        <f t="shared" si="43"/>
        <v/>
      </c>
    </row>
    <row r="289" spans="11:15">
      <c r="K289" s="170" t="str">
        <f t="shared" si="40"/>
        <v/>
      </c>
      <c r="L289" s="170" t="str">
        <f>IF(E289="","",IF(COUNTIFS(Table2[[#All],[De (Lote)]],'Input_APM (Zenith)'!F289)&gt;0,INDEX(Table2[[#All],[Para (Ticker Daniel)]],MATCH('Input_APM (Zenith)'!F289,Table2[[#All],[De (Lote)]],0)),'Input_APM (Zenith)'!F289))</f>
        <v/>
      </c>
      <c r="M289" s="170" t="str">
        <f t="shared" si="41"/>
        <v/>
      </c>
      <c r="N289" s="171" t="str">
        <f t="shared" si="42"/>
        <v/>
      </c>
      <c r="O289" s="171" t="str">
        <f t="shared" si="43"/>
        <v/>
      </c>
    </row>
    <row r="290" spans="11:15">
      <c r="K290" s="170" t="str">
        <f t="shared" si="40"/>
        <v/>
      </c>
      <c r="L290" s="170" t="str">
        <f>IF(E290="","",IF(COUNTIFS(Table2[[#All],[De (Lote)]],'Input_APM (Zenith)'!F290)&gt;0,INDEX(Table2[[#All],[Para (Ticker Daniel)]],MATCH('Input_APM (Zenith)'!F290,Table2[[#All],[De (Lote)]],0)),'Input_APM (Zenith)'!F290))</f>
        <v/>
      </c>
      <c r="M290" s="170" t="str">
        <f t="shared" si="41"/>
        <v/>
      </c>
      <c r="N290" s="171" t="str">
        <f t="shared" si="42"/>
        <v/>
      </c>
      <c r="O290" s="171" t="str">
        <f t="shared" si="43"/>
        <v/>
      </c>
    </row>
    <row r="291" spans="11:15">
      <c r="K291" s="170" t="str">
        <f t="shared" si="40"/>
        <v/>
      </c>
      <c r="L291" s="170" t="str">
        <f>IF(E291="","",IF(COUNTIFS(Table2[[#All],[De (Lote)]],'Input_APM (Zenith)'!F291)&gt;0,INDEX(Table2[[#All],[Para (Ticker Daniel)]],MATCH('Input_APM (Zenith)'!F291,Table2[[#All],[De (Lote)]],0)),'Input_APM (Zenith)'!F291))</f>
        <v/>
      </c>
      <c r="M291" s="170" t="str">
        <f t="shared" si="41"/>
        <v/>
      </c>
      <c r="N291" s="171" t="str">
        <f t="shared" si="42"/>
        <v/>
      </c>
      <c r="O291" s="171" t="str">
        <f t="shared" si="43"/>
        <v/>
      </c>
    </row>
    <row r="292" spans="11:15">
      <c r="K292" s="170" t="str">
        <f t="shared" si="40"/>
        <v/>
      </c>
      <c r="L292" s="170" t="str">
        <f>IF(E292="","",IF(COUNTIFS(Table2[[#All],[De (Lote)]],'Input_APM (Zenith)'!F292)&gt;0,INDEX(Table2[[#All],[Para (Ticker Daniel)]],MATCH('Input_APM (Zenith)'!F292,Table2[[#All],[De (Lote)]],0)),'Input_APM (Zenith)'!F292))</f>
        <v/>
      </c>
      <c r="M292" s="170" t="str">
        <f t="shared" si="41"/>
        <v/>
      </c>
      <c r="N292" s="171" t="str">
        <f t="shared" si="42"/>
        <v/>
      </c>
      <c r="O292" s="171" t="str">
        <f t="shared" si="43"/>
        <v/>
      </c>
    </row>
    <row r="293" spans="11:15">
      <c r="K293" s="170" t="str">
        <f t="shared" si="40"/>
        <v/>
      </c>
      <c r="L293" s="170" t="str">
        <f>IF(E293="","",IF(COUNTIFS(Table2[[#All],[De (Lote)]],'Input_APM (Zenith)'!F293)&gt;0,INDEX(Table2[[#All],[Para (Ticker Daniel)]],MATCH('Input_APM (Zenith)'!F293,Table2[[#All],[De (Lote)]],0)),'Input_APM (Zenith)'!F293))</f>
        <v/>
      </c>
      <c r="M293" s="170" t="str">
        <f t="shared" si="41"/>
        <v/>
      </c>
      <c r="N293" s="171" t="str">
        <f t="shared" si="42"/>
        <v/>
      </c>
      <c r="O293" s="171" t="str">
        <f t="shared" si="43"/>
        <v/>
      </c>
    </row>
    <row r="294" spans="11:15">
      <c r="K294" s="170" t="str">
        <f t="shared" ref="K294:K357" si="44">IF(E294="","",E294)</f>
        <v/>
      </c>
      <c r="L294" s="170" t="str">
        <f>IF(E294="","",IF(COUNTIFS(Table2[[#All],[De (Lote)]],'Input_APM (Zenith)'!F294)&gt;0,INDEX(Table2[[#All],[Para (Ticker Daniel)]],MATCH('Input_APM (Zenith)'!F294,Table2[[#All],[De (Lote)]],0)),'Input_APM (Zenith)'!F294))</f>
        <v/>
      </c>
      <c r="M294" s="170" t="str">
        <f t="shared" ref="M294:M357" si="45">IF(E294="","",G294)</f>
        <v/>
      </c>
      <c r="N294" s="171" t="str">
        <f t="shared" ref="N294:N357" si="46">IF(E294="","",H294)</f>
        <v/>
      </c>
      <c r="O294" s="171" t="str">
        <f t="shared" ref="O294:O357" si="47">IF(E294="","",I294)</f>
        <v/>
      </c>
    </row>
    <row r="295" spans="11:15">
      <c r="K295" s="170" t="str">
        <f t="shared" si="44"/>
        <v/>
      </c>
      <c r="L295" s="170" t="str">
        <f>IF(E295="","",IF(COUNTIFS(Table2[[#All],[De (Lote)]],'Input_APM (Zenith)'!F295)&gt;0,INDEX(Table2[[#All],[Para (Ticker Daniel)]],MATCH('Input_APM (Zenith)'!F295,Table2[[#All],[De (Lote)]],0)),'Input_APM (Zenith)'!F295))</f>
        <v/>
      </c>
      <c r="M295" s="170" t="str">
        <f t="shared" si="45"/>
        <v/>
      </c>
      <c r="N295" s="171" t="str">
        <f t="shared" si="46"/>
        <v/>
      </c>
      <c r="O295" s="171" t="str">
        <f t="shared" si="47"/>
        <v/>
      </c>
    </row>
    <row r="296" spans="11:15">
      <c r="K296" s="170" t="str">
        <f t="shared" si="44"/>
        <v/>
      </c>
      <c r="L296" s="170" t="str">
        <f>IF(E296="","",IF(COUNTIFS(Table2[[#All],[De (Lote)]],'Input_APM (Zenith)'!F296)&gt;0,INDEX(Table2[[#All],[Para (Ticker Daniel)]],MATCH('Input_APM (Zenith)'!F296,Table2[[#All],[De (Lote)]],0)),'Input_APM (Zenith)'!F296))</f>
        <v/>
      </c>
      <c r="M296" s="170" t="str">
        <f t="shared" si="45"/>
        <v/>
      </c>
      <c r="N296" s="171" t="str">
        <f t="shared" si="46"/>
        <v/>
      </c>
      <c r="O296" s="171" t="str">
        <f t="shared" si="47"/>
        <v/>
      </c>
    </row>
    <row r="297" spans="11:15">
      <c r="K297" s="170" t="str">
        <f t="shared" si="44"/>
        <v/>
      </c>
      <c r="L297" s="170" t="str">
        <f>IF(E297="","",IF(COUNTIFS(Table2[[#All],[De (Lote)]],'Input_APM (Zenith)'!F297)&gt;0,INDEX(Table2[[#All],[Para (Ticker Daniel)]],MATCH('Input_APM (Zenith)'!F297,Table2[[#All],[De (Lote)]],0)),'Input_APM (Zenith)'!F297))</f>
        <v/>
      </c>
      <c r="M297" s="170" t="str">
        <f t="shared" si="45"/>
        <v/>
      </c>
      <c r="N297" s="171" t="str">
        <f t="shared" si="46"/>
        <v/>
      </c>
      <c r="O297" s="171" t="str">
        <f t="shared" si="47"/>
        <v/>
      </c>
    </row>
    <row r="298" spans="11:15">
      <c r="K298" s="170" t="str">
        <f t="shared" si="44"/>
        <v/>
      </c>
      <c r="L298" s="170" t="str">
        <f>IF(E298="","",IF(COUNTIFS(Table2[[#All],[De (Lote)]],'Input_APM (Zenith)'!F298)&gt;0,INDEX(Table2[[#All],[Para (Ticker Daniel)]],MATCH('Input_APM (Zenith)'!F298,Table2[[#All],[De (Lote)]],0)),'Input_APM (Zenith)'!F298))</f>
        <v/>
      </c>
      <c r="M298" s="170" t="str">
        <f t="shared" si="45"/>
        <v/>
      </c>
      <c r="N298" s="171" t="str">
        <f t="shared" si="46"/>
        <v/>
      </c>
      <c r="O298" s="171" t="str">
        <f t="shared" si="47"/>
        <v/>
      </c>
    </row>
    <row r="299" spans="11:15">
      <c r="K299" s="170" t="str">
        <f t="shared" si="44"/>
        <v/>
      </c>
      <c r="L299" s="170" t="str">
        <f>IF(E299="","",IF(COUNTIFS(Table2[[#All],[De (Lote)]],'Input_APM (Zenith)'!F299)&gt;0,INDEX(Table2[[#All],[Para (Ticker Daniel)]],MATCH('Input_APM (Zenith)'!F299,Table2[[#All],[De (Lote)]],0)),'Input_APM (Zenith)'!F299))</f>
        <v/>
      </c>
      <c r="M299" s="170" t="str">
        <f t="shared" si="45"/>
        <v/>
      </c>
      <c r="N299" s="171" t="str">
        <f t="shared" si="46"/>
        <v/>
      </c>
      <c r="O299" s="171" t="str">
        <f t="shared" si="47"/>
        <v/>
      </c>
    </row>
    <row r="300" spans="11:15">
      <c r="K300" s="170" t="str">
        <f t="shared" si="44"/>
        <v/>
      </c>
      <c r="L300" s="170" t="str">
        <f>IF(E300="","",IF(COUNTIFS(Table2[[#All],[De (Lote)]],'Input_APM (Zenith)'!F300)&gt;0,INDEX(Table2[[#All],[Para (Ticker Daniel)]],MATCH('Input_APM (Zenith)'!F300,Table2[[#All],[De (Lote)]],0)),'Input_APM (Zenith)'!F300))</f>
        <v/>
      </c>
      <c r="M300" s="170" t="str">
        <f t="shared" si="45"/>
        <v/>
      </c>
      <c r="N300" s="171" t="str">
        <f t="shared" si="46"/>
        <v/>
      </c>
      <c r="O300" s="171" t="str">
        <f t="shared" si="47"/>
        <v/>
      </c>
    </row>
    <row r="301" spans="11:15">
      <c r="K301" s="170" t="str">
        <f t="shared" si="44"/>
        <v/>
      </c>
      <c r="L301" s="170" t="str">
        <f>IF(E301="","",IF(COUNTIFS(Table2[[#All],[De (Lote)]],'Input_APM (Zenith)'!F301)&gt;0,INDEX(Table2[[#All],[Para (Ticker Daniel)]],MATCH('Input_APM (Zenith)'!F301,Table2[[#All],[De (Lote)]],0)),'Input_APM (Zenith)'!F301))</f>
        <v/>
      </c>
      <c r="M301" s="170" t="str">
        <f t="shared" si="45"/>
        <v/>
      </c>
      <c r="N301" s="171" t="str">
        <f t="shared" si="46"/>
        <v/>
      </c>
      <c r="O301" s="171" t="str">
        <f t="shared" si="47"/>
        <v/>
      </c>
    </row>
    <row r="302" spans="11:15">
      <c r="K302" s="170" t="str">
        <f t="shared" si="44"/>
        <v/>
      </c>
      <c r="L302" s="170" t="str">
        <f>IF(E302="","",IF(COUNTIFS(Table2[[#All],[De (Lote)]],'Input_APM (Zenith)'!F302)&gt;0,INDEX(Table2[[#All],[Para (Ticker Daniel)]],MATCH('Input_APM (Zenith)'!F302,Table2[[#All],[De (Lote)]],0)),'Input_APM (Zenith)'!F302))</f>
        <v/>
      </c>
      <c r="M302" s="170" t="str">
        <f t="shared" si="45"/>
        <v/>
      </c>
      <c r="N302" s="171" t="str">
        <f t="shared" si="46"/>
        <v/>
      </c>
      <c r="O302" s="171" t="str">
        <f t="shared" si="47"/>
        <v/>
      </c>
    </row>
    <row r="303" spans="11:15">
      <c r="K303" s="170" t="str">
        <f t="shared" si="44"/>
        <v/>
      </c>
      <c r="L303" s="170" t="str">
        <f>IF(E303="","",IF(COUNTIFS(Table2[[#All],[De (Lote)]],'Input_APM (Zenith)'!F303)&gt;0,INDEX(Table2[[#All],[Para (Ticker Daniel)]],MATCH('Input_APM (Zenith)'!F303,Table2[[#All],[De (Lote)]],0)),'Input_APM (Zenith)'!F303))</f>
        <v/>
      </c>
      <c r="M303" s="170" t="str">
        <f t="shared" si="45"/>
        <v/>
      </c>
      <c r="N303" s="171" t="str">
        <f t="shared" si="46"/>
        <v/>
      </c>
      <c r="O303" s="171" t="str">
        <f t="shared" si="47"/>
        <v/>
      </c>
    </row>
    <row r="304" spans="11:15">
      <c r="K304" s="170" t="str">
        <f t="shared" si="44"/>
        <v/>
      </c>
      <c r="L304" s="170" t="str">
        <f>IF(E304="","",IF(COUNTIFS(Table2[[#All],[De (Lote)]],'Input_APM (Zenith)'!F304)&gt;0,INDEX(Table2[[#All],[Para (Ticker Daniel)]],MATCH('Input_APM (Zenith)'!F304,Table2[[#All],[De (Lote)]],0)),'Input_APM (Zenith)'!F304))</f>
        <v/>
      </c>
      <c r="M304" s="170" t="str">
        <f t="shared" si="45"/>
        <v/>
      </c>
      <c r="N304" s="171" t="str">
        <f t="shared" si="46"/>
        <v/>
      </c>
      <c r="O304" s="171" t="str">
        <f t="shared" si="47"/>
        <v/>
      </c>
    </row>
    <row r="305" spans="11:15">
      <c r="K305" s="170" t="str">
        <f t="shared" si="44"/>
        <v/>
      </c>
      <c r="L305" s="170" t="str">
        <f>IF(E305="","",IF(COUNTIFS(Table2[[#All],[De (Lote)]],'Input_APM (Zenith)'!F305)&gt;0,INDEX(Table2[[#All],[Para (Ticker Daniel)]],MATCH('Input_APM (Zenith)'!F305,Table2[[#All],[De (Lote)]],0)),'Input_APM (Zenith)'!F305))</f>
        <v/>
      </c>
      <c r="M305" s="170" t="str">
        <f t="shared" si="45"/>
        <v/>
      </c>
      <c r="N305" s="171" t="str">
        <f t="shared" si="46"/>
        <v/>
      </c>
      <c r="O305" s="171" t="str">
        <f t="shared" si="47"/>
        <v/>
      </c>
    </row>
    <row r="306" spans="11:15">
      <c r="K306" s="170" t="str">
        <f t="shared" si="44"/>
        <v/>
      </c>
      <c r="L306" s="170" t="str">
        <f>IF(E306="","",IF(COUNTIFS(Table2[[#All],[De (Lote)]],'Input_APM (Zenith)'!F306)&gt;0,INDEX(Table2[[#All],[Para (Ticker Daniel)]],MATCH('Input_APM (Zenith)'!F306,Table2[[#All],[De (Lote)]],0)),'Input_APM (Zenith)'!F306))</f>
        <v/>
      </c>
      <c r="M306" s="170" t="str">
        <f t="shared" si="45"/>
        <v/>
      </c>
      <c r="N306" s="171" t="str">
        <f t="shared" si="46"/>
        <v/>
      </c>
      <c r="O306" s="171" t="str">
        <f t="shared" si="47"/>
        <v/>
      </c>
    </row>
    <row r="307" spans="11:15">
      <c r="K307" s="170" t="str">
        <f t="shared" si="44"/>
        <v/>
      </c>
      <c r="L307" s="170" t="str">
        <f>IF(E307="","",IF(COUNTIFS(Table2[[#All],[De (Lote)]],'Input_APM (Zenith)'!F307)&gt;0,INDEX(Table2[[#All],[Para (Ticker Daniel)]],MATCH('Input_APM (Zenith)'!F307,Table2[[#All],[De (Lote)]],0)),'Input_APM (Zenith)'!F307))</f>
        <v/>
      </c>
      <c r="M307" s="170" t="str">
        <f t="shared" si="45"/>
        <v/>
      </c>
      <c r="N307" s="171" t="str">
        <f t="shared" si="46"/>
        <v/>
      </c>
      <c r="O307" s="171" t="str">
        <f t="shared" si="47"/>
        <v/>
      </c>
    </row>
    <row r="308" spans="11:15">
      <c r="K308" s="170" t="str">
        <f t="shared" si="44"/>
        <v/>
      </c>
      <c r="L308" s="170" t="str">
        <f>IF(E308="","",IF(COUNTIFS(Table2[[#All],[De (Lote)]],'Input_APM (Zenith)'!F308)&gt;0,INDEX(Table2[[#All],[Para (Ticker Daniel)]],MATCH('Input_APM (Zenith)'!F308,Table2[[#All],[De (Lote)]],0)),'Input_APM (Zenith)'!F308))</f>
        <v/>
      </c>
      <c r="M308" s="170" t="str">
        <f t="shared" si="45"/>
        <v/>
      </c>
      <c r="N308" s="171" t="str">
        <f t="shared" si="46"/>
        <v/>
      </c>
      <c r="O308" s="171" t="str">
        <f t="shared" si="47"/>
        <v/>
      </c>
    </row>
    <row r="309" spans="11:15">
      <c r="K309" s="170" t="str">
        <f t="shared" si="44"/>
        <v/>
      </c>
      <c r="L309" s="170" t="str">
        <f>IF(E309="","",IF(COUNTIFS(Table2[[#All],[De (Lote)]],'Input_APM (Zenith)'!F309)&gt;0,INDEX(Table2[[#All],[Para (Ticker Daniel)]],MATCH('Input_APM (Zenith)'!F309,Table2[[#All],[De (Lote)]],0)),'Input_APM (Zenith)'!F309))</f>
        <v/>
      </c>
      <c r="M309" s="170" t="str">
        <f t="shared" si="45"/>
        <v/>
      </c>
      <c r="N309" s="171" t="str">
        <f t="shared" si="46"/>
        <v/>
      </c>
      <c r="O309" s="171" t="str">
        <f t="shared" si="47"/>
        <v/>
      </c>
    </row>
    <row r="310" spans="11:15">
      <c r="K310" s="170" t="str">
        <f t="shared" si="44"/>
        <v/>
      </c>
      <c r="L310" s="170" t="str">
        <f>IF(E310="","",IF(COUNTIFS(Table2[[#All],[De (Lote)]],'Input_APM (Zenith)'!F310)&gt;0,INDEX(Table2[[#All],[Para (Ticker Daniel)]],MATCH('Input_APM (Zenith)'!F310,Table2[[#All],[De (Lote)]],0)),'Input_APM (Zenith)'!F310))</f>
        <v/>
      </c>
      <c r="M310" s="170" t="str">
        <f t="shared" si="45"/>
        <v/>
      </c>
      <c r="N310" s="171" t="str">
        <f t="shared" si="46"/>
        <v/>
      </c>
      <c r="O310" s="171" t="str">
        <f t="shared" si="47"/>
        <v/>
      </c>
    </row>
    <row r="311" spans="11:15">
      <c r="K311" s="170" t="str">
        <f t="shared" si="44"/>
        <v/>
      </c>
      <c r="L311" s="170" t="str">
        <f>IF(E311="","",IF(COUNTIFS(Table2[[#All],[De (Lote)]],'Input_APM (Zenith)'!F311)&gt;0,INDEX(Table2[[#All],[Para (Ticker Daniel)]],MATCH('Input_APM (Zenith)'!F311,Table2[[#All],[De (Lote)]],0)),'Input_APM (Zenith)'!F311))</f>
        <v/>
      </c>
      <c r="M311" s="170" t="str">
        <f t="shared" si="45"/>
        <v/>
      </c>
      <c r="N311" s="171" t="str">
        <f t="shared" si="46"/>
        <v/>
      </c>
      <c r="O311" s="171" t="str">
        <f t="shared" si="47"/>
        <v/>
      </c>
    </row>
    <row r="312" spans="11:15">
      <c r="K312" s="170" t="str">
        <f t="shared" si="44"/>
        <v/>
      </c>
      <c r="L312" s="170" t="str">
        <f>IF(E312="","",IF(COUNTIFS(Table2[[#All],[De (Lote)]],'Input_APM (Zenith)'!F312)&gt;0,INDEX(Table2[[#All],[Para (Ticker Daniel)]],MATCH('Input_APM (Zenith)'!F312,Table2[[#All],[De (Lote)]],0)),'Input_APM (Zenith)'!F312))</f>
        <v/>
      </c>
      <c r="M312" s="170" t="str">
        <f t="shared" si="45"/>
        <v/>
      </c>
      <c r="N312" s="171" t="str">
        <f t="shared" si="46"/>
        <v/>
      </c>
      <c r="O312" s="171" t="str">
        <f t="shared" si="47"/>
        <v/>
      </c>
    </row>
    <row r="313" spans="11:15">
      <c r="K313" s="170" t="str">
        <f t="shared" si="44"/>
        <v/>
      </c>
      <c r="L313" s="170" t="str">
        <f>IF(E313="","",IF(COUNTIFS(Table2[[#All],[De (Lote)]],'Input_APM (Zenith)'!F313)&gt;0,INDEX(Table2[[#All],[Para (Ticker Daniel)]],MATCH('Input_APM (Zenith)'!F313,Table2[[#All],[De (Lote)]],0)),'Input_APM (Zenith)'!F313))</f>
        <v/>
      </c>
      <c r="M313" s="170" t="str">
        <f t="shared" si="45"/>
        <v/>
      </c>
      <c r="N313" s="171" t="str">
        <f t="shared" si="46"/>
        <v/>
      </c>
      <c r="O313" s="171" t="str">
        <f t="shared" si="47"/>
        <v/>
      </c>
    </row>
    <row r="314" spans="11:15">
      <c r="K314" s="170" t="str">
        <f t="shared" si="44"/>
        <v/>
      </c>
      <c r="L314" s="170" t="str">
        <f>IF(E314="","",IF(COUNTIFS(Table2[[#All],[De (Lote)]],'Input_APM (Zenith)'!F314)&gt;0,INDEX(Table2[[#All],[Para (Ticker Daniel)]],MATCH('Input_APM (Zenith)'!F314,Table2[[#All],[De (Lote)]],0)),'Input_APM (Zenith)'!F314))</f>
        <v/>
      </c>
      <c r="M314" s="170" t="str">
        <f t="shared" si="45"/>
        <v/>
      </c>
      <c r="N314" s="171" t="str">
        <f t="shared" si="46"/>
        <v/>
      </c>
      <c r="O314" s="171" t="str">
        <f t="shared" si="47"/>
        <v/>
      </c>
    </row>
    <row r="315" spans="11:15">
      <c r="K315" s="170" t="str">
        <f t="shared" si="44"/>
        <v/>
      </c>
      <c r="L315" s="170" t="str">
        <f>IF(E315="","",IF(COUNTIFS(Table2[[#All],[De (Lote)]],'Input_APM (Zenith)'!F315)&gt;0,INDEX(Table2[[#All],[Para (Ticker Daniel)]],MATCH('Input_APM (Zenith)'!F315,Table2[[#All],[De (Lote)]],0)),'Input_APM (Zenith)'!F315))</f>
        <v/>
      </c>
      <c r="M315" s="170" t="str">
        <f t="shared" si="45"/>
        <v/>
      </c>
      <c r="N315" s="171" t="str">
        <f t="shared" si="46"/>
        <v/>
      </c>
      <c r="O315" s="171" t="str">
        <f t="shared" si="47"/>
        <v/>
      </c>
    </row>
    <row r="316" spans="11:15">
      <c r="K316" s="170" t="str">
        <f t="shared" si="44"/>
        <v/>
      </c>
      <c r="L316" s="170" t="str">
        <f>IF(E316="","",IF(COUNTIFS(Table2[[#All],[De (Lote)]],'Input_APM (Zenith)'!F316)&gt;0,INDEX(Table2[[#All],[Para (Ticker Daniel)]],MATCH('Input_APM (Zenith)'!F316,Table2[[#All],[De (Lote)]],0)),'Input_APM (Zenith)'!F316))</f>
        <v/>
      </c>
      <c r="M316" s="170" t="str">
        <f t="shared" si="45"/>
        <v/>
      </c>
      <c r="N316" s="171" t="str">
        <f t="shared" si="46"/>
        <v/>
      </c>
      <c r="O316" s="171" t="str">
        <f t="shared" si="47"/>
        <v/>
      </c>
    </row>
    <row r="317" spans="11:15">
      <c r="K317" s="170" t="str">
        <f t="shared" si="44"/>
        <v/>
      </c>
      <c r="L317" s="170" t="str">
        <f>IF(E317="","",IF(COUNTIFS(Table2[[#All],[De (Lote)]],'Input_APM (Zenith)'!F317)&gt;0,INDEX(Table2[[#All],[Para (Ticker Daniel)]],MATCH('Input_APM (Zenith)'!F317,Table2[[#All],[De (Lote)]],0)),'Input_APM (Zenith)'!F317))</f>
        <v/>
      </c>
      <c r="M317" s="170" t="str">
        <f t="shared" si="45"/>
        <v/>
      </c>
      <c r="N317" s="171" t="str">
        <f t="shared" si="46"/>
        <v/>
      </c>
      <c r="O317" s="171" t="str">
        <f t="shared" si="47"/>
        <v/>
      </c>
    </row>
    <row r="318" spans="11:15">
      <c r="K318" s="170" t="str">
        <f t="shared" si="44"/>
        <v/>
      </c>
      <c r="L318" s="170" t="str">
        <f>IF(E318="","",IF(COUNTIFS(Table2[[#All],[De (Lote)]],'Input_APM (Zenith)'!F318)&gt;0,INDEX(Table2[[#All],[Para (Ticker Daniel)]],MATCH('Input_APM (Zenith)'!F318,Table2[[#All],[De (Lote)]],0)),'Input_APM (Zenith)'!F318))</f>
        <v/>
      </c>
      <c r="M318" s="170" t="str">
        <f t="shared" si="45"/>
        <v/>
      </c>
      <c r="N318" s="171" t="str">
        <f t="shared" si="46"/>
        <v/>
      </c>
      <c r="O318" s="171" t="str">
        <f t="shared" si="47"/>
        <v/>
      </c>
    </row>
    <row r="319" spans="11:15">
      <c r="K319" s="170" t="str">
        <f t="shared" si="44"/>
        <v/>
      </c>
      <c r="L319" s="170" t="str">
        <f>IF(E319="","",IF(COUNTIFS(Table2[[#All],[De (Lote)]],'Input_APM (Zenith)'!F319)&gt;0,INDEX(Table2[[#All],[Para (Ticker Daniel)]],MATCH('Input_APM (Zenith)'!F319,Table2[[#All],[De (Lote)]],0)),'Input_APM (Zenith)'!F319))</f>
        <v/>
      </c>
      <c r="M319" s="170" t="str">
        <f t="shared" si="45"/>
        <v/>
      </c>
      <c r="N319" s="171" t="str">
        <f t="shared" si="46"/>
        <v/>
      </c>
      <c r="O319" s="171" t="str">
        <f t="shared" si="47"/>
        <v/>
      </c>
    </row>
    <row r="320" spans="11:15">
      <c r="K320" s="170" t="str">
        <f t="shared" si="44"/>
        <v/>
      </c>
      <c r="L320" s="170" t="str">
        <f>IF(E320="","",IF(COUNTIFS(Table2[[#All],[De (Lote)]],'Input_APM (Zenith)'!F320)&gt;0,INDEX(Table2[[#All],[Para (Ticker Daniel)]],MATCH('Input_APM (Zenith)'!F320,Table2[[#All],[De (Lote)]],0)),'Input_APM (Zenith)'!F320))</f>
        <v/>
      </c>
      <c r="M320" s="170" t="str">
        <f t="shared" si="45"/>
        <v/>
      </c>
      <c r="N320" s="171" t="str">
        <f t="shared" si="46"/>
        <v/>
      </c>
      <c r="O320" s="171" t="str">
        <f t="shared" si="47"/>
        <v/>
      </c>
    </row>
    <row r="321" spans="11:15">
      <c r="K321" s="170" t="str">
        <f t="shared" si="44"/>
        <v/>
      </c>
      <c r="L321" s="170" t="str">
        <f>IF(E321="","",IF(COUNTIFS(Table2[[#All],[De (Lote)]],'Input_APM (Zenith)'!F321)&gt;0,INDEX(Table2[[#All],[Para (Ticker Daniel)]],MATCH('Input_APM (Zenith)'!F321,Table2[[#All],[De (Lote)]],0)),'Input_APM (Zenith)'!F321))</f>
        <v/>
      </c>
      <c r="M321" s="170" t="str">
        <f t="shared" si="45"/>
        <v/>
      </c>
      <c r="N321" s="171" t="str">
        <f t="shared" si="46"/>
        <v/>
      </c>
      <c r="O321" s="171" t="str">
        <f t="shared" si="47"/>
        <v/>
      </c>
    </row>
    <row r="322" spans="11:15">
      <c r="K322" s="170" t="str">
        <f t="shared" si="44"/>
        <v/>
      </c>
      <c r="L322" s="170" t="str">
        <f>IF(E322="","",IF(COUNTIFS(Table2[[#All],[De (Lote)]],'Input_APM (Zenith)'!F322)&gt;0,INDEX(Table2[[#All],[Para (Ticker Daniel)]],MATCH('Input_APM (Zenith)'!F322,Table2[[#All],[De (Lote)]],0)),'Input_APM (Zenith)'!F322))</f>
        <v/>
      </c>
      <c r="M322" s="170" t="str">
        <f t="shared" si="45"/>
        <v/>
      </c>
      <c r="N322" s="171" t="str">
        <f t="shared" si="46"/>
        <v/>
      </c>
      <c r="O322" s="171" t="str">
        <f t="shared" si="47"/>
        <v/>
      </c>
    </row>
    <row r="323" spans="11:15">
      <c r="K323" s="170" t="str">
        <f t="shared" si="44"/>
        <v/>
      </c>
      <c r="L323" s="170" t="str">
        <f>IF(E323="","",IF(COUNTIFS(Table2[[#All],[De (Lote)]],'Input_APM (Zenith)'!F323)&gt;0,INDEX(Table2[[#All],[Para (Ticker Daniel)]],MATCH('Input_APM (Zenith)'!F323,Table2[[#All],[De (Lote)]],0)),'Input_APM (Zenith)'!F323))</f>
        <v/>
      </c>
      <c r="M323" s="170" t="str">
        <f t="shared" si="45"/>
        <v/>
      </c>
      <c r="N323" s="171" t="str">
        <f t="shared" si="46"/>
        <v/>
      </c>
      <c r="O323" s="171" t="str">
        <f t="shared" si="47"/>
        <v/>
      </c>
    </row>
    <row r="324" spans="11:15">
      <c r="K324" s="170" t="str">
        <f t="shared" si="44"/>
        <v/>
      </c>
      <c r="L324" s="170" t="str">
        <f>IF(E324="","",IF(COUNTIFS(Table2[[#All],[De (Lote)]],'Input_APM (Zenith)'!F324)&gt;0,INDEX(Table2[[#All],[Para (Ticker Daniel)]],MATCH('Input_APM (Zenith)'!F324,Table2[[#All],[De (Lote)]],0)),'Input_APM (Zenith)'!F324))</f>
        <v/>
      </c>
      <c r="M324" s="170" t="str">
        <f t="shared" si="45"/>
        <v/>
      </c>
      <c r="N324" s="171" t="str">
        <f t="shared" si="46"/>
        <v/>
      </c>
      <c r="O324" s="171" t="str">
        <f t="shared" si="47"/>
        <v/>
      </c>
    </row>
    <row r="325" spans="11:15">
      <c r="K325" s="170" t="str">
        <f t="shared" si="44"/>
        <v/>
      </c>
      <c r="L325" s="170" t="str">
        <f>IF(E325="","",IF(COUNTIFS(Table2[[#All],[De (Lote)]],'Input_APM (Zenith)'!F325)&gt;0,INDEX(Table2[[#All],[Para (Ticker Daniel)]],MATCH('Input_APM (Zenith)'!F325,Table2[[#All],[De (Lote)]],0)),'Input_APM (Zenith)'!F325))</f>
        <v/>
      </c>
      <c r="M325" s="170" t="str">
        <f t="shared" si="45"/>
        <v/>
      </c>
      <c r="N325" s="171" t="str">
        <f t="shared" si="46"/>
        <v/>
      </c>
      <c r="O325" s="171" t="str">
        <f t="shared" si="47"/>
        <v/>
      </c>
    </row>
    <row r="326" spans="11:15">
      <c r="K326" s="170" t="str">
        <f t="shared" si="44"/>
        <v/>
      </c>
      <c r="L326" s="170" t="str">
        <f>IF(E326="","",IF(COUNTIFS(Table2[[#All],[De (Lote)]],'Input_APM (Zenith)'!F326)&gt;0,INDEX(Table2[[#All],[Para (Ticker Daniel)]],MATCH('Input_APM (Zenith)'!F326,Table2[[#All],[De (Lote)]],0)),'Input_APM (Zenith)'!F326))</f>
        <v/>
      </c>
      <c r="M326" s="170" t="str">
        <f t="shared" si="45"/>
        <v/>
      </c>
      <c r="N326" s="171" t="str">
        <f t="shared" si="46"/>
        <v/>
      </c>
      <c r="O326" s="171" t="str">
        <f t="shared" si="47"/>
        <v/>
      </c>
    </row>
    <row r="327" spans="11:15">
      <c r="K327" s="170" t="str">
        <f t="shared" si="44"/>
        <v/>
      </c>
      <c r="L327" s="170" t="str">
        <f>IF(E327="","",IF(COUNTIFS(Table2[[#All],[De (Lote)]],'Input_APM (Zenith)'!F327)&gt;0,INDEX(Table2[[#All],[Para (Ticker Daniel)]],MATCH('Input_APM (Zenith)'!F327,Table2[[#All],[De (Lote)]],0)),'Input_APM (Zenith)'!F327))</f>
        <v/>
      </c>
      <c r="M327" s="170" t="str">
        <f t="shared" si="45"/>
        <v/>
      </c>
      <c r="N327" s="171" t="str">
        <f t="shared" si="46"/>
        <v/>
      </c>
      <c r="O327" s="171" t="str">
        <f t="shared" si="47"/>
        <v/>
      </c>
    </row>
    <row r="328" spans="11:15">
      <c r="K328" s="170" t="str">
        <f t="shared" si="44"/>
        <v/>
      </c>
      <c r="L328" s="170" t="str">
        <f>IF(E328="","",IF(COUNTIFS(Table2[[#All],[De (Lote)]],'Input_APM (Zenith)'!F328)&gt;0,INDEX(Table2[[#All],[Para (Ticker Daniel)]],MATCH('Input_APM (Zenith)'!F328,Table2[[#All],[De (Lote)]],0)),'Input_APM (Zenith)'!F328))</f>
        <v/>
      </c>
      <c r="M328" s="170" t="str">
        <f t="shared" si="45"/>
        <v/>
      </c>
      <c r="N328" s="171" t="str">
        <f t="shared" si="46"/>
        <v/>
      </c>
      <c r="O328" s="171" t="str">
        <f t="shared" si="47"/>
        <v/>
      </c>
    </row>
    <row r="329" spans="11:15">
      <c r="K329" s="170" t="str">
        <f t="shared" si="44"/>
        <v/>
      </c>
      <c r="L329" s="170" t="str">
        <f>IF(E329="","",IF(COUNTIFS(Table2[[#All],[De (Lote)]],'Input_APM (Zenith)'!F329)&gt;0,INDEX(Table2[[#All],[Para (Ticker Daniel)]],MATCH('Input_APM (Zenith)'!F329,Table2[[#All],[De (Lote)]],0)),'Input_APM (Zenith)'!F329))</f>
        <v/>
      </c>
      <c r="M329" s="170" t="str">
        <f t="shared" si="45"/>
        <v/>
      </c>
      <c r="N329" s="171" t="str">
        <f t="shared" si="46"/>
        <v/>
      </c>
      <c r="O329" s="171" t="str">
        <f t="shared" si="47"/>
        <v/>
      </c>
    </row>
    <row r="330" spans="11:15">
      <c r="K330" s="170" t="str">
        <f t="shared" si="44"/>
        <v/>
      </c>
      <c r="L330" s="170" t="str">
        <f>IF(E330="","",IF(COUNTIFS(Table2[[#All],[De (Lote)]],'Input_APM (Zenith)'!F330)&gt;0,INDEX(Table2[[#All],[Para (Ticker Daniel)]],MATCH('Input_APM (Zenith)'!F330,Table2[[#All],[De (Lote)]],0)),'Input_APM (Zenith)'!F330))</f>
        <v/>
      </c>
      <c r="M330" s="170" t="str">
        <f t="shared" si="45"/>
        <v/>
      </c>
      <c r="N330" s="171" t="str">
        <f t="shared" si="46"/>
        <v/>
      </c>
      <c r="O330" s="171" t="str">
        <f t="shared" si="47"/>
        <v/>
      </c>
    </row>
    <row r="331" spans="11:15">
      <c r="K331" s="170" t="str">
        <f t="shared" si="44"/>
        <v/>
      </c>
      <c r="L331" s="170" t="str">
        <f>IF(E331="","",IF(COUNTIFS(Table2[[#All],[De (Lote)]],'Input_APM (Zenith)'!F331)&gt;0,INDEX(Table2[[#All],[Para (Ticker Daniel)]],MATCH('Input_APM (Zenith)'!F331,Table2[[#All],[De (Lote)]],0)),'Input_APM (Zenith)'!F331))</f>
        <v/>
      </c>
      <c r="M331" s="170" t="str">
        <f t="shared" si="45"/>
        <v/>
      </c>
      <c r="N331" s="171" t="str">
        <f t="shared" si="46"/>
        <v/>
      </c>
      <c r="O331" s="171" t="str">
        <f t="shared" si="47"/>
        <v/>
      </c>
    </row>
    <row r="332" spans="11:15">
      <c r="K332" s="170" t="str">
        <f t="shared" si="44"/>
        <v/>
      </c>
      <c r="L332" s="170" t="str">
        <f>IF(E332="","",IF(COUNTIFS(Table2[[#All],[De (Lote)]],'Input_APM (Zenith)'!F332)&gt;0,INDEX(Table2[[#All],[Para (Ticker Daniel)]],MATCH('Input_APM (Zenith)'!F332,Table2[[#All],[De (Lote)]],0)),'Input_APM (Zenith)'!F332))</f>
        <v/>
      </c>
      <c r="M332" s="170" t="str">
        <f t="shared" si="45"/>
        <v/>
      </c>
      <c r="N332" s="171" t="str">
        <f t="shared" si="46"/>
        <v/>
      </c>
      <c r="O332" s="171" t="str">
        <f t="shared" si="47"/>
        <v/>
      </c>
    </row>
    <row r="333" spans="11:15">
      <c r="K333" s="170" t="str">
        <f t="shared" si="44"/>
        <v/>
      </c>
      <c r="L333" s="170" t="str">
        <f>IF(E333="","",IF(COUNTIFS(Table2[[#All],[De (Lote)]],'Input_APM (Zenith)'!F333)&gt;0,INDEX(Table2[[#All],[Para (Ticker Daniel)]],MATCH('Input_APM (Zenith)'!F333,Table2[[#All],[De (Lote)]],0)),'Input_APM (Zenith)'!F333))</f>
        <v/>
      </c>
      <c r="M333" s="170" t="str">
        <f t="shared" si="45"/>
        <v/>
      </c>
      <c r="N333" s="171" t="str">
        <f t="shared" si="46"/>
        <v/>
      </c>
      <c r="O333" s="171" t="str">
        <f t="shared" si="47"/>
        <v/>
      </c>
    </row>
    <row r="334" spans="11:15">
      <c r="K334" s="170" t="str">
        <f t="shared" si="44"/>
        <v/>
      </c>
      <c r="L334" s="170" t="str">
        <f>IF(E334="","",IF(COUNTIFS(Table2[[#All],[De (Lote)]],'Input_APM (Zenith)'!F334)&gt;0,INDEX(Table2[[#All],[Para (Ticker Daniel)]],MATCH('Input_APM (Zenith)'!F334,Table2[[#All],[De (Lote)]],0)),'Input_APM (Zenith)'!F334))</f>
        <v/>
      </c>
      <c r="M334" s="170" t="str">
        <f t="shared" si="45"/>
        <v/>
      </c>
      <c r="N334" s="171" t="str">
        <f t="shared" si="46"/>
        <v/>
      </c>
      <c r="O334" s="171" t="str">
        <f t="shared" si="47"/>
        <v/>
      </c>
    </row>
    <row r="335" spans="11:15">
      <c r="K335" s="170" t="str">
        <f t="shared" si="44"/>
        <v/>
      </c>
      <c r="L335" s="170" t="str">
        <f>IF(E335="","",IF(COUNTIFS(Table2[[#All],[De (Lote)]],'Input_APM (Zenith)'!F335)&gt;0,INDEX(Table2[[#All],[Para (Ticker Daniel)]],MATCH('Input_APM (Zenith)'!F335,Table2[[#All],[De (Lote)]],0)),'Input_APM (Zenith)'!F335))</f>
        <v/>
      </c>
      <c r="M335" s="170" t="str">
        <f t="shared" si="45"/>
        <v/>
      </c>
      <c r="N335" s="171" t="str">
        <f t="shared" si="46"/>
        <v/>
      </c>
      <c r="O335" s="171" t="str">
        <f t="shared" si="47"/>
        <v/>
      </c>
    </row>
    <row r="336" spans="11:15">
      <c r="K336" s="170" t="str">
        <f t="shared" si="44"/>
        <v/>
      </c>
      <c r="L336" s="170" t="str">
        <f>IF(E336="","",IF(COUNTIFS(Table2[[#All],[De (Lote)]],'Input_APM (Zenith)'!F336)&gt;0,INDEX(Table2[[#All],[Para (Ticker Daniel)]],MATCH('Input_APM (Zenith)'!F336,Table2[[#All],[De (Lote)]],0)),'Input_APM (Zenith)'!F336))</f>
        <v/>
      </c>
      <c r="M336" s="170" t="str">
        <f t="shared" si="45"/>
        <v/>
      </c>
      <c r="N336" s="171" t="str">
        <f t="shared" si="46"/>
        <v/>
      </c>
      <c r="O336" s="171" t="str">
        <f t="shared" si="47"/>
        <v/>
      </c>
    </row>
    <row r="337" spans="11:15">
      <c r="K337" s="170" t="str">
        <f t="shared" si="44"/>
        <v/>
      </c>
      <c r="L337" s="170" t="str">
        <f>IF(E337="","",IF(COUNTIFS(Table2[[#All],[De (Lote)]],'Input_APM (Zenith)'!F337)&gt;0,INDEX(Table2[[#All],[Para (Ticker Daniel)]],MATCH('Input_APM (Zenith)'!F337,Table2[[#All],[De (Lote)]],0)),'Input_APM (Zenith)'!F337))</f>
        <v/>
      </c>
      <c r="M337" s="170" t="str">
        <f t="shared" si="45"/>
        <v/>
      </c>
      <c r="N337" s="171" t="str">
        <f t="shared" si="46"/>
        <v/>
      </c>
      <c r="O337" s="171" t="str">
        <f t="shared" si="47"/>
        <v/>
      </c>
    </row>
    <row r="338" spans="11:15">
      <c r="K338" s="170" t="str">
        <f t="shared" si="44"/>
        <v/>
      </c>
      <c r="L338" s="170" t="str">
        <f>IF(E338="","",IF(COUNTIFS(Table2[[#All],[De (Lote)]],'Input_APM (Zenith)'!F338)&gt;0,INDEX(Table2[[#All],[Para (Ticker Daniel)]],MATCH('Input_APM (Zenith)'!F338,Table2[[#All],[De (Lote)]],0)),'Input_APM (Zenith)'!F338))</f>
        <v/>
      </c>
      <c r="M338" s="170" t="str">
        <f t="shared" si="45"/>
        <v/>
      </c>
      <c r="N338" s="171" t="str">
        <f t="shared" si="46"/>
        <v/>
      </c>
      <c r="O338" s="171" t="str">
        <f t="shared" si="47"/>
        <v/>
      </c>
    </row>
    <row r="339" spans="11:15">
      <c r="K339" s="170" t="str">
        <f t="shared" si="44"/>
        <v/>
      </c>
      <c r="L339" s="170" t="str">
        <f>IF(E339="","",IF(COUNTIFS(Table2[[#All],[De (Lote)]],'Input_APM (Zenith)'!F339)&gt;0,INDEX(Table2[[#All],[Para (Ticker Daniel)]],MATCH('Input_APM (Zenith)'!F339,Table2[[#All],[De (Lote)]],0)),'Input_APM (Zenith)'!F339))</f>
        <v/>
      </c>
      <c r="M339" s="170" t="str">
        <f t="shared" si="45"/>
        <v/>
      </c>
      <c r="N339" s="171" t="str">
        <f t="shared" si="46"/>
        <v/>
      </c>
      <c r="O339" s="171" t="str">
        <f t="shared" si="47"/>
        <v/>
      </c>
    </row>
    <row r="340" spans="11:15">
      <c r="K340" s="170" t="str">
        <f t="shared" si="44"/>
        <v/>
      </c>
      <c r="L340" s="170" t="str">
        <f>IF(E340="","",IF(COUNTIFS(Table2[[#All],[De (Lote)]],'Input_APM (Zenith)'!F340)&gt;0,INDEX(Table2[[#All],[Para (Ticker Daniel)]],MATCH('Input_APM (Zenith)'!F340,Table2[[#All],[De (Lote)]],0)),'Input_APM (Zenith)'!F340))</f>
        <v/>
      </c>
      <c r="M340" s="170" t="str">
        <f t="shared" si="45"/>
        <v/>
      </c>
      <c r="N340" s="171" t="str">
        <f t="shared" si="46"/>
        <v/>
      </c>
      <c r="O340" s="171" t="str">
        <f t="shared" si="47"/>
        <v/>
      </c>
    </row>
    <row r="341" spans="11:15">
      <c r="K341" s="170" t="str">
        <f t="shared" si="44"/>
        <v/>
      </c>
      <c r="L341" s="170" t="str">
        <f>IF(E341="","",IF(COUNTIFS(Table2[[#All],[De (Lote)]],'Input_APM (Zenith)'!F341)&gt;0,INDEX(Table2[[#All],[Para (Ticker Daniel)]],MATCH('Input_APM (Zenith)'!F341,Table2[[#All],[De (Lote)]],0)),'Input_APM (Zenith)'!F341))</f>
        <v/>
      </c>
      <c r="M341" s="170" t="str">
        <f t="shared" si="45"/>
        <v/>
      </c>
      <c r="N341" s="171" t="str">
        <f t="shared" si="46"/>
        <v/>
      </c>
      <c r="O341" s="171" t="str">
        <f t="shared" si="47"/>
        <v/>
      </c>
    </row>
    <row r="342" spans="11:15">
      <c r="K342" s="170" t="str">
        <f t="shared" si="44"/>
        <v/>
      </c>
      <c r="L342" s="170" t="str">
        <f>IF(E342="","",IF(COUNTIFS(Table2[[#All],[De (Lote)]],'Input_APM (Zenith)'!F342)&gt;0,INDEX(Table2[[#All],[Para (Ticker Daniel)]],MATCH('Input_APM (Zenith)'!F342,Table2[[#All],[De (Lote)]],0)),'Input_APM (Zenith)'!F342))</f>
        <v/>
      </c>
      <c r="M342" s="170" t="str">
        <f t="shared" si="45"/>
        <v/>
      </c>
      <c r="N342" s="171" t="str">
        <f t="shared" si="46"/>
        <v/>
      </c>
      <c r="O342" s="171" t="str">
        <f t="shared" si="47"/>
        <v/>
      </c>
    </row>
    <row r="343" spans="11:15">
      <c r="K343" s="170" t="str">
        <f t="shared" si="44"/>
        <v/>
      </c>
      <c r="L343" s="170" t="str">
        <f>IF(E343="","",IF(COUNTIFS(Table2[[#All],[De (Lote)]],'Input_APM (Zenith)'!F343)&gt;0,INDEX(Table2[[#All],[Para (Ticker Daniel)]],MATCH('Input_APM (Zenith)'!F343,Table2[[#All],[De (Lote)]],0)),'Input_APM (Zenith)'!F343))</f>
        <v/>
      </c>
      <c r="M343" s="170" t="str">
        <f t="shared" si="45"/>
        <v/>
      </c>
      <c r="N343" s="171" t="str">
        <f t="shared" si="46"/>
        <v/>
      </c>
      <c r="O343" s="171" t="str">
        <f t="shared" si="47"/>
        <v/>
      </c>
    </row>
    <row r="344" spans="11:15">
      <c r="K344" s="170" t="str">
        <f t="shared" si="44"/>
        <v/>
      </c>
      <c r="L344" s="170" t="str">
        <f>IF(E344="","",IF(COUNTIFS(Table2[[#All],[De (Lote)]],'Input_APM (Zenith)'!F344)&gt;0,INDEX(Table2[[#All],[Para (Ticker Daniel)]],MATCH('Input_APM (Zenith)'!F344,Table2[[#All],[De (Lote)]],0)),'Input_APM (Zenith)'!F344))</f>
        <v/>
      </c>
      <c r="M344" s="170" t="str">
        <f t="shared" si="45"/>
        <v/>
      </c>
      <c r="N344" s="171" t="str">
        <f t="shared" si="46"/>
        <v/>
      </c>
      <c r="O344" s="171" t="str">
        <f t="shared" si="47"/>
        <v/>
      </c>
    </row>
    <row r="345" spans="11:15">
      <c r="K345" s="170" t="str">
        <f t="shared" si="44"/>
        <v/>
      </c>
      <c r="L345" s="170" t="str">
        <f>IF(E345="","",IF(COUNTIFS(Table2[[#All],[De (Lote)]],'Input_APM (Zenith)'!F345)&gt;0,INDEX(Table2[[#All],[Para (Ticker Daniel)]],MATCH('Input_APM (Zenith)'!F345,Table2[[#All],[De (Lote)]],0)),'Input_APM (Zenith)'!F345))</f>
        <v/>
      </c>
      <c r="M345" s="170" t="str">
        <f t="shared" si="45"/>
        <v/>
      </c>
      <c r="N345" s="171" t="str">
        <f t="shared" si="46"/>
        <v/>
      </c>
      <c r="O345" s="171" t="str">
        <f t="shared" si="47"/>
        <v/>
      </c>
    </row>
    <row r="346" spans="11:15">
      <c r="K346" s="170" t="str">
        <f t="shared" si="44"/>
        <v/>
      </c>
      <c r="L346" s="170" t="str">
        <f>IF(E346="","",IF(COUNTIFS(Table2[[#All],[De (Lote)]],'Input_APM (Zenith)'!F346)&gt;0,INDEX(Table2[[#All],[Para (Ticker Daniel)]],MATCH('Input_APM (Zenith)'!F346,Table2[[#All],[De (Lote)]],0)),'Input_APM (Zenith)'!F346))</f>
        <v/>
      </c>
      <c r="M346" s="170" t="str">
        <f t="shared" si="45"/>
        <v/>
      </c>
      <c r="N346" s="171" t="str">
        <f t="shared" si="46"/>
        <v/>
      </c>
      <c r="O346" s="171" t="str">
        <f t="shared" si="47"/>
        <v/>
      </c>
    </row>
    <row r="347" spans="11:15">
      <c r="K347" s="170" t="str">
        <f t="shared" si="44"/>
        <v/>
      </c>
      <c r="L347" s="170" t="str">
        <f>IF(E347="","",IF(COUNTIFS(Table2[[#All],[De (Lote)]],'Input_APM (Zenith)'!F347)&gt;0,INDEX(Table2[[#All],[Para (Ticker Daniel)]],MATCH('Input_APM (Zenith)'!F347,Table2[[#All],[De (Lote)]],0)),'Input_APM (Zenith)'!F347))</f>
        <v/>
      </c>
      <c r="M347" s="170" t="str">
        <f t="shared" si="45"/>
        <v/>
      </c>
      <c r="N347" s="171" t="str">
        <f t="shared" si="46"/>
        <v/>
      </c>
      <c r="O347" s="171" t="str">
        <f t="shared" si="47"/>
        <v/>
      </c>
    </row>
    <row r="348" spans="11:15">
      <c r="K348" s="170" t="str">
        <f t="shared" si="44"/>
        <v/>
      </c>
      <c r="L348" s="170" t="str">
        <f>IF(E348="","",IF(COUNTIFS(Table2[[#All],[De (Lote)]],'Input_APM (Zenith)'!F348)&gt;0,INDEX(Table2[[#All],[Para (Ticker Daniel)]],MATCH('Input_APM (Zenith)'!F348,Table2[[#All],[De (Lote)]],0)),'Input_APM (Zenith)'!F348))</f>
        <v/>
      </c>
      <c r="M348" s="170" t="str">
        <f t="shared" si="45"/>
        <v/>
      </c>
      <c r="N348" s="171" t="str">
        <f t="shared" si="46"/>
        <v/>
      </c>
      <c r="O348" s="171" t="str">
        <f t="shared" si="47"/>
        <v/>
      </c>
    </row>
    <row r="349" spans="11:15">
      <c r="K349" s="170" t="str">
        <f t="shared" si="44"/>
        <v/>
      </c>
      <c r="L349" s="170" t="str">
        <f>IF(E349="","",IF(COUNTIFS(Table2[[#All],[De (Lote)]],'Input_APM (Zenith)'!F349)&gt;0,INDEX(Table2[[#All],[Para (Ticker Daniel)]],MATCH('Input_APM (Zenith)'!F349,Table2[[#All],[De (Lote)]],0)),'Input_APM (Zenith)'!F349))</f>
        <v/>
      </c>
      <c r="M349" s="170" t="str">
        <f t="shared" si="45"/>
        <v/>
      </c>
      <c r="N349" s="171" t="str">
        <f t="shared" si="46"/>
        <v/>
      </c>
      <c r="O349" s="171" t="str">
        <f t="shared" si="47"/>
        <v/>
      </c>
    </row>
    <row r="350" spans="11:15">
      <c r="K350" s="170" t="str">
        <f t="shared" si="44"/>
        <v/>
      </c>
      <c r="L350" s="170" t="str">
        <f>IF(E350="","",IF(COUNTIFS(Table2[[#All],[De (Lote)]],'Input_APM (Zenith)'!F350)&gt;0,INDEX(Table2[[#All],[Para (Ticker Daniel)]],MATCH('Input_APM (Zenith)'!F350,Table2[[#All],[De (Lote)]],0)),'Input_APM (Zenith)'!F350))</f>
        <v/>
      </c>
      <c r="M350" s="170" t="str">
        <f t="shared" si="45"/>
        <v/>
      </c>
      <c r="N350" s="171" t="str">
        <f t="shared" si="46"/>
        <v/>
      </c>
      <c r="O350" s="171" t="str">
        <f t="shared" si="47"/>
        <v/>
      </c>
    </row>
    <row r="351" spans="11:15">
      <c r="K351" s="170" t="str">
        <f t="shared" si="44"/>
        <v/>
      </c>
      <c r="L351" s="170" t="str">
        <f>IF(E351="","",IF(COUNTIFS(Table2[[#All],[De (Lote)]],'Input_APM (Zenith)'!F351)&gt;0,INDEX(Table2[[#All],[Para (Ticker Daniel)]],MATCH('Input_APM (Zenith)'!F351,Table2[[#All],[De (Lote)]],0)),'Input_APM (Zenith)'!F351))</f>
        <v/>
      </c>
      <c r="M351" s="170" t="str">
        <f t="shared" si="45"/>
        <v/>
      </c>
      <c r="N351" s="171" t="str">
        <f t="shared" si="46"/>
        <v/>
      </c>
      <c r="O351" s="171" t="str">
        <f t="shared" si="47"/>
        <v/>
      </c>
    </row>
    <row r="352" spans="11:15">
      <c r="K352" s="170" t="str">
        <f t="shared" si="44"/>
        <v/>
      </c>
      <c r="L352" s="170" t="str">
        <f>IF(E352="","",IF(COUNTIFS(Table2[[#All],[De (Lote)]],'Input_APM (Zenith)'!F352)&gt;0,INDEX(Table2[[#All],[Para (Ticker Daniel)]],MATCH('Input_APM (Zenith)'!F352,Table2[[#All],[De (Lote)]],0)),'Input_APM (Zenith)'!F352))</f>
        <v/>
      </c>
      <c r="M352" s="170" t="str">
        <f t="shared" si="45"/>
        <v/>
      </c>
      <c r="N352" s="171" t="str">
        <f t="shared" si="46"/>
        <v/>
      </c>
      <c r="O352" s="171" t="str">
        <f t="shared" si="47"/>
        <v/>
      </c>
    </row>
    <row r="353" spans="8:15">
      <c r="K353" s="170" t="str">
        <f t="shared" si="44"/>
        <v/>
      </c>
      <c r="L353" s="170" t="str">
        <f>IF(E353="","",IF(COUNTIFS(Table2[[#All],[De (Lote)]],'Input_APM (Zenith)'!F353)&gt;0,INDEX(Table2[[#All],[Para (Ticker Daniel)]],MATCH('Input_APM (Zenith)'!F353,Table2[[#All],[De (Lote)]],0)),'Input_APM (Zenith)'!F353))</f>
        <v/>
      </c>
      <c r="M353" s="170" t="str">
        <f t="shared" si="45"/>
        <v/>
      </c>
      <c r="N353" s="171" t="str">
        <f t="shared" si="46"/>
        <v/>
      </c>
      <c r="O353" s="171" t="str">
        <f t="shared" si="47"/>
        <v/>
      </c>
    </row>
    <row r="354" spans="8:15">
      <c r="K354" s="170" t="str">
        <f t="shared" si="44"/>
        <v/>
      </c>
      <c r="L354" s="170" t="str">
        <f>IF(E354="","",IF(COUNTIFS(Table2[[#All],[De (Lote)]],'Input_APM (Zenith)'!F354)&gt;0,INDEX(Table2[[#All],[Para (Ticker Daniel)]],MATCH('Input_APM (Zenith)'!F354,Table2[[#All],[De (Lote)]],0)),'Input_APM (Zenith)'!F354))</f>
        <v/>
      </c>
      <c r="M354" s="170" t="str">
        <f t="shared" si="45"/>
        <v/>
      </c>
      <c r="N354" s="171" t="str">
        <f t="shared" si="46"/>
        <v/>
      </c>
      <c r="O354" s="171" t="str">
        <f t="shared" si="47"/>
        <v/>
      </c>
    </row>
    <row r="355" spans="8:15">
      <c r="K355" s="170" t="str">
        <f t="shared" si="44"/>
        <v/>
      </c>
      <c r="L355" s="170" t="str">
        <f>IF(E355="","",IF(COUNTIFS(Table2[[#All],[De (Lote)]],'Input_APM (Zenith)'!F355)&gt;0,INDEX(Table2[[#All],[Para (Ticker Daniel)]],MATCH('Input_APM (Zenith)'!F355,Table2[[#All],[De (Lote)]],0)),'Input_APM (Zenith)'!F355))</f>
        <v/>
      </c>
      <c r="M355" s="170" t="str">
        <f t="shared" si="45"/>
        <v/>
      </c>
      <c r="N355" s="171" t="str">
        <f t="shared" si="46"/>
        <v/>
      </c>
      <c r="O355" s="171" t="str">
        <f t="shared" si="47"/>
        <v/>
      </c>
    </row>
    <row r="356" spans="8:15">
      <c r="K356" s="170" t="str">
        <f t="shared" si="44"/>
        <v/>
      </c>
      <c r="L356" s="170" t="str">
        <f>IF(E356="","",IF(COUNTIFS(Table2[[#All],[De (Lote)]],'Input_APM (Zenith)'!F356)&gt;0,INDEX(Table2[[#All],[Para (Ticker Daniel)]],MATCH('Input_APM (Zenith)'!F356,Table2[[#All],[De (Lote)]],0)),'Input_APM (Zenith)'!F356))</f>
        <v/>
      </c>
      <c r="M356" s="170" t="str">
        <f t="shared" si="45"/>
        <v/>
      </c>
      <c r="N356" s="171" t="str">
        <f t="shared" si="46"/>
        <v/>
      </c>
      <c r="O356" s="171" t="str">
        <f t="shared" si="47"/>
        <v/>
      </c>
    </row>
    <row r="357" spans="8:15">
      <c r="K357" s="170" t="str">
        <f t="shared" si="44"/>
        <v/>
      </c>
      <c r="L357" s="170" t="str">
        <f>IF(E357="","",IF(COUNTIFS(Table2[[#All],[De (Lote)]],'Input_APM (Zenith)'!F357)&gt;0,INDEX(Table2[[#All],[Para (Ticker Daniel)]],MATCH('Input_APM (Zenith)'!F357,Table2[[#All],[De (Lote)]],0)),'Input_APM (Zenith)'!F357))</f>
        <v/>
      </c>
      <c r="M357" s="170" t="str">
        <f t="shared" si="45"/>
        <v/>
      </c>
      <c r="N357" s="171" t="str">
        <f t="shared" si="46"/>
        <v/>
      </c>
      <c r="O357" s="171" t="str">
        <f t="shared" si="47"/>
        <v/>
      </c>
    </row>
    <row r="358" spans="8:15">
      <c r="K358" s="170" t="str">
        <f t="shared" ref="K358:K421" si="48">IF(E358="","",E358)</f>
        <v/>
      </c>
      <c r="L358" s="170" t="str">
        <f>IF(E358="","",IF(COUNTIFS(Table2[[#All],[De (Lote)]],'Input_APM (Zenith)'!F358)&gt;0,INDEX(Table2[[#All],[Para (Ticker Daniel)]],MATCH('Input_APM (Zenith)'!F358,Table2[[#All],[De (Lote)]],0)),'Input_APM (Zenith)'!F358))</f>
        <v/>
      </c>
      <c r="M358" s="170" t="str">
        <f t="shared" ref="M358:M421" si="49">IF(E358="","",G358)</f>
        <v/>
      </c>
      <c r="N358" s="171" t="str">
        <f t="shared" ref="N358:N421" si="50">IF(E358="","",H358)</f>
        <v/>
      </c>
      <c r="O358" s="171" t="str">
        <f t="shared" ref="O358:O421" si="51">IF(E358="","",I358)</f>
        <v/>
      </c>
    </row>
    <row r="359" spans="8:15">
      <c r="K359" s="170" t="str">
        <f t="shared" si="48"/>
        <v/>
      </c>
      <c r="L359" s="170" t="str">
        <f>IF(E359="","",IF(COUNTIFS(Table2[[#All],[De (Lote)]],'Input_APM (Zenith)'!F359)&gt;0,INDEX(Table2[[#All],[Para (Ticker Daniel)]],MATCH('Input_APM (Zenith)'!F359,Table2[[#All],[De (Lote)]],0)),'Input_APM (Zenith)'!F359))</f>
        <v/>
      </c>
      <c r="M359" s="170" t="str">
        <f t="shared" si="49"/>
        <v/>
      </c>
      <c r="N359" s="171" t="str">
        <f t="shared" si="50"/>
        <v/>
      </c>
      <c r="O359" s="171" t="str">
        <f t="shared" si="51"/>
        <v/>
      </c>
    </row>
    <row r="360" spans="8:15">
      <c r="K360" s="170" t="str">
        <f t="shared" si="48"/>
        <v/>
      </c>
      <c r="L360" s="170" t="str">
        <f>IF(E360="","",IF(COUNTIFS(Table2[[#All],[De (Lote)]],'Input_APM (Zenith)'!F360)&gt;0,INDEX(Table2[[#All],[Para (Ticker Daniel)]],MATCH('Input_APM (Zenith)'!F360,Table2[[#All],[De (Lote)]],0)),'Input_APM (Zenith)'!F360))</f>
        <v/>
      </c>
      <c r="M360" s="170" t="str">
        <f t="shared" si="49"/>
        <v/>
      </c>
      <c r="N360" s="171" t="str">
        <f t="shared" si="50"/>
        <v/>
      </c>
      <c r="O360" s="171" t="str">
        <f t="shared" si="51"/>
        <v/>
      </c>
    </row>
    <row r="361" spans="8:15">
      <c r="K361" s="170" t="str">
        <f t="shared" si="48"/>
        <v/>
      </c>
      <c r="L361" s="170" t="str">
        <f>IF(E361="","",IF(COUNTIFS(Table2[[#All],[De (Lote)]],'Input_APM (Zenith)'!F361)&gt;0,INDEX(Table2[[#All],[Para (Ticker Daniel)]],MATCH('Input_APM (Zenith)'!F361,Table2[[#All],[De (Lote)]],0)),'Input_APM (Zenith)'!F361))</f>
        <v/>
      </c>
      <c r="M361" s="170" t="str">
        <f t="shared" si="49"/>
        <v/>
      </c>
      <c r="N361" s="171" t="str">
        <f t="shared" si="50"/>
        <v/>
      </c>
      <c r="O361" s="171" t="str">
        <f t="shared" si="51"/>
        <v/>
      </c>
    </row>
    <row r="362" spans="8:15">
      <c r="K362" s="170" t="str">
        <f t="shared" si="48"/>
        <v/>
      </c>
      <c r="L362" s="170" t="str">
        <f>IF(E362="","",IF(COUNTIFS(Table2[[#All],[De (Lote)]],'Input_APM (Zenith)'!F362)&gt;0,INDEX(Table2[[#All],[Para (Ticker Daniel)]],MATCH('Input_APM (Zenith)'!F362,Table2[[#All],[De (Lote)]],0)),'Input_APM (Zenith)'!F362))</f>
        <v/>
      </c>
      <c r="M362" s="170" t="str">
        <f t="shared" si="49"/>
        <v/>
      </c>
      <c r="N362" s="171" t="str">
        <f t="shared" si="50"/>
        <v/>
      </c>
      <c r="O362" s="171" t="str">
        <f t="shared" si="51"/>
        <v/>
      </c>
    </row>
    <row r="363" spans="8:15">
      <c r="K363" s="170" t="str">
        <f t="shared" si="48"/>
        <v/>
      </c>
      <c r="L363" s="170" t="str">
        <f>IF(E363="","",IF(COUNTIFS(Table2[[#All],[De (Lote)]],'Input_APM (Zenith)'!F363)&gt;0,INDEX(Table2[[#All],[Para (Ticker Daniel)]],MATCH('Input_APM (Zenith)'!F363,Table2[[#All],[De (Lote)]],0)),'Input_APM (Zenith)'!F363))</f>
        <v/>
      </c>
      <c r="M363" s="170" t="str">
        <f t="shared" si="49"/>
        <v/>
      </c>
      <c r="N363" s="171" t="str">
        <f t="shared" si="50"/>
        <v/>
      </c>
      <c r="O363" s="171" t="str">
        <f t="shared" si="51"/>
        <v/>
      </c>
    </row>
    <row r="364" spans="8:15">
      <c r="K364" s="170" t="str">
        <f t="shared" si="48"/>
        <v/>
      </c>
      <c r="L364" s="170" t="str">
        <f>IF(E364="","",IF(COUNTIFS(Table2[[#All],[De (Lote)]],'Input_APM (Zenith)'!F364)&gt;0,INDEX(Table2[[#All],[Para (Ticker Daniel)]],MATCH('Input_APM (Zenith)'!F364,Table2[[#All],[De (Lote)]],0)),'Input_APM (Zenith)'!F364))</f>
        <v/>
      </c>
      <c r="M364" s="170" t="str">
        <f t="shared" si="49"/>
        <v/>
      </c>
      <c r="N364" s="171" t="str">
        <f t="shared" si="50"/>
        <v/>
      </c>
      <c r="O364" s="171" t="str">
        <f t="shared" si="51"/>
        <v/>
      </c>
    </row>
    <row r="365" spans="8:15">
      <c r="K365" s="170" t="str">
        <f t="shared" si="48"/>
        <v/>
      </c>
      <c r="L365" s="170" t="str">
        <f>IF(E365="","",IF(COUNTIFS(Table2[[#All],[De (Lote)]],'Input_APM (Zenith)'!F365)&gt;0,INDEX(Table2[[#All],[Para (Ticker Daniel)]],MATCH('Input_APM (Zenith)'!F365,Table2[[#All],[De (Lote)]],0)),'Input_APM (Zenith)'!F365))</f>
        <v/>
      </c>
      <c r="M365" s="170" t="str">
        <f t="shared" si="49"/>
        <v/>
      </c>
      <c r="N365" s="171" t="str">
        <f t="shared" si="50"/>
        <v/>
      </c>
      <c r="O365" s="171" t="str">
        <f t="shared" si="51"/>
        <v/>
      </c>
    </row>
    <row r="366" spans="8:15">
      <c r="K366" s="170" t="str">
        <f t="shared" si="48"/>
        <v/>
      </c>
      <c r="L366" s="170" t="str">
        <f>IF(E366="","",IF(COUNTIFS(Table2[[#All],[De (Lote)]],'Input_APM (Zenith)'!F366)&gt;0,INDEX(Table2[[#All],[Para (Ticker Daniel)]],MATCH('Input_APM (Zenith)'!F366,Table2[[#All],[De (Lote)]],0)),'Input_APM (Zenith)'!F366))</f>
        <v/>
      </c>
      <c r="M366" s="170" t="str">
        <f t="shared" si="49"/>
        <v/>
      </c>
      <c r="N366" s="171" t="str">
        <f t="shared" si="50"/>
        <v/>
      </c>
      <c r="O366" s="171" t="str">
        <f t="shared" si="51"/>
        <v/>
      </c>
    </row>
    <row r="367" spans="8:15">
      <c r="H367" s="179"/>
      <c r="K367" s="170" t="str">
        <f t="shared" si="48"/>
        <v/>
      </c>
      <c r="L367" s="170" t="str">
        <f>IF(E367="","",IF(COUNTIFS(Table2[[#All],[De (Lote)]],'Input_APM (Zenith)'!F367)&gt;0,INDEX(Table2[[#All],[Para (Ticker Daniel)]],MATCH('Input_APM (Zenith)'!F367,Table2[[#All],[De (Lote)]],0)),'Input_APM (Zenith)'!F367))</f>
        <v/>
      </c>
      <c r="M367" s="170" t="str">
        <f t="shared" si="49"/>
        <v/>
      </c>
      <c r="N367" s="171" t="str">
        <f t="shared" si="50"/>
        <v/>
      </c>
      <c r="O367" s="171" t="str">
        <f t="shared" si="51"/>
        <v/>
      </c>
    </row>
    <row r="368" spans="8:15">
      <c r="H368" s="179"/>
      <c r="K368" s="170" t="str">
        <f t="shared" si="48"/>
        <v/>
      </c>
      <c r="L368" s="170" t="str">
        <f>IF(E368="","",IF(COUNTIFS(Table2[[#All],[De (Lote)]],'Input_APM (Zenith)'!F368)&gt;0,INDEX(Table2[[#All],[Para (Ticker Daniel)]],MATCH('Input_APM (Zenith)'!F368,Table2[[#All],[De (Lote)]],0)),'Input_APM (Zenith)'!F368))</f>
        <v/>
      </c>
      <c r="M368" s="170" t="str">
        <f t="shared" si="49"/>
        <v/>
      </c>
      <c r="N368" s="171" t="str">
        <f t="shared" si="50"/>
        <v/>
      </c>
      <c r="O368" s="171" t="str">
        <f t="shared" si="51"/>
        <v/>
      </c>
    </row>
    <row r="369" spans="11:15">
      <c r="K369" s="170" t="str">
        <f t="shared" si="48"/>
        <v/>
      </c>
      <c r="L369" s="170" t="str">
        <f>IF(E369="","",IF(COUNTIFS(Table2[[#All],[De (Lote)]],'Input_APM (Zenith)'!F369)&gt;0,INDEX(Table2[[#All],[Para (Ticker Daniel)]],MATCH('Input_APM (Zenith)'!F369,Table2[[#All],[De (Lote)]],0)),'Input_APM (Zenith)'!F369))</f>
        <v/>
      </c>
      <c r="M369" s="170" t="str">
        <f t="shared" si="49"/>
        <v/>
      </c>
      <c r="N369" s="171" t="str">
        <f t="shared" si="50"/>
        <v/>
      </c>
      <c r="O369" s="171" t="str">
        <f t="shared" si="51"/>
        <v/>
      </c>
    </row>
    <row r="370" spans="11:15">
      <c r="K370" s="170" t="str">
        <f t="shared" si="48"/>
        <v/>
      </c>
      <c r="L370" s="170" t="str">
        <f>IF(E370="","",IF(COUNTIFS(Table2[[#All],[De (Lote)]],'Input_APM (Zenith)'!F370)&gt;0,INDEX(Table2[[#All],[Para (Ticker Daniel)]],MATCH('Input_APM (Zenith)'!F370,Table2[[#All],[De (Lote)]],0)),'Input_APM (Zenith)'!F370))</f>
        <v/>
      </c>
      <c r="M370" s="170" t="str">
        <f t="shared" si="49"/>
        <v/>
      </c>
      <c r="N370" s="171" t="str">
        <f t="shared" si="50"/>
        <v/>
      </c>
      <c r="O370" s="171" t="str">
        <f t="shared" si="51"/>
        <v/>
      </c>
    </row>
    <row r="371" spans="11:15">
      <c r="K371" s="170" t="str">
        <f t="shared" si="48"/>
        <v/>
      </c>
      <c r="L371" s="170" t="str">
        <f>IF(E371="","",IF(COUNTIFS(Table2[[#All],[De (Lote)]],'Input_APM (Zenith)'!F371)&gt;0,INDEX(Table2[[#All],[Para (Ticker Daniel)]],MATCH('Input_APM (Zenith)'!F371,Table2[[#All],[De (Lote)]],0)),'Input_APM (Zenith)'!F371))</f>
        <v/>
      </c>
      <c r="M371" s="170" t="str">
        <f t="shared" si="49"/>
        <v/>
      </c>
      <c r="N371" s="171" t="str">
        <f t="shared" si="50"/>
        <v/>
      </c>
      <c r="O371" s="171" t="str">
        <f t="shared" si="51"/>
        <v/>
      </c>
    </row>
    <row r="372" spans="11:15">
      <c r="K372" s="170" t="str">
        <f t="shared" si="48"/>
        <v/>
      </c>
      <c r="L372" s="170" t="str">
        <f>IF(E372="","",IF(COUNTIFS(Table2[[#All],[De (Lote)]],'Input_APM (Zenith)'!F372)&gt;0,INDEX(Table2[[#All],[Para (Ticker Daniel)]],MATCH('Input_APM (Zenith)'!F372,Table2[[#All],[De (Lote)]],0)),'Input_APM (Zenith)'!F372))</f>
        <v/>
      </c>
      <c r="M372" s="170" t="str">
        <f t="shared" si="49"/>
        <v/>
      </c>
      <c r="N372" s="171" t="str">
        <f t="shared" si="50"/>
        <v/>
      </c>
      <c r="O372" s="171" t="str">
        <f t="shared" si="51"/>
        <v/>
      </c>
    </row>
    <row r="373" spans="11:15">
      <c r="K373" s="170" t="str">
        <f t="shared" si="48"/>
        <v/>
      </c>
      <c r="L373" s="170" t="str">
        <f>IF(E373="","",IF(COUNTIFS(Table2[[#All],[De (Lote)]],'Input_APM (Zenith)'!F373)&gt;0,INDEX(Table2[[#All],[Para (Ticker Daniel)]],MATCH('Input_APM (Zenith)'!F373,Table2[[#All],[De (Lote)]],0)),'Input_APM (Zenith)'!F373))</f>
        <v/>
      </c>
      <c r="M373" s="170" t="str">
        <f t="shared" si="49"/>
        <v/>
      </c>
      <c r="N373" s="171" t="str">
        <f t="shared" si="50"/>
        <v/>
      </c>
      <c r="O373" s="171" t="str">
        <f t="shared" si="51"/>
        <v/>
      </c>
    </row>
    <row r="374" spans="11:15">
      <c r="K374" s="170" t="str">
        <f t="shared" si="48"/>
        <v/>
      </c>
      <c r="L374" s="170" t="str">
        <f>IF(E374="","",IF(COUNTIFS(Table2[[#All],[De (Lote)]],'Input_APM (Zenith)'!F374)&gt;0,INDEX(Table2[[#All],[Para (Ticker Daniel)]],MATCH('Input_APM (Zenith)'!F374,Table2[[#All],[De (Lote)]],0)),'Input_APM (Zenith)'!F374))</f>
        <v/>
      </c>
      <c r="M374" s="170" t="str">
        <f t="shared" si="49"/>
        <v/>
      </c>
      <c r="N374" s="171" t="str">
        <f t="shared" si="50"/>
        <v/>
      </c>
      <c r="O374" s="171" t="str">
        <f t="shared" si="51"/>
        <v/>
      </c>
    </row>
    <row r="375" spans="11:15">
      <c r="K375" s="170" t="str">
        <f t="shared" si="48"/>
        <v/>
      </c>
      <c r="L375" s="170" t="str">
        <f>IF(E375="","",IF(COUNTIFS(Table2[[#All],[De (Lote)]],'Input_APM (Zenith)'!F375)&gt;0,INDEX(Table2[[#All],[Para (Ticker Daniel)]],MATCH('Input_APM (Zenith)'!F375,Table2[[#All],[De (Lote)]],0)),'Input_APM (Zenith)'!F375))</f>
        <v/>
      </c>
      <c r="M375" s="170" t="str">
        <f t="shared" si="49"/>
        <v/>
      </c>
      <c r="N375" s="171" t="str">
        <f t="shared" si="50"/>
        <v/>
      </c>
      <c r="O375" s="171" t="str">
        <f t="shared" si="51"/>
        <v/>
      </c>
    </row>
    <row r="376" spans="11:15">
      <c r="K376" s="170" t="str">
        <f t="shared" si="48"/>
        <v/>
      </c>
      <c r="L376" s="170" t="str">
        <f>IF(E376="","",IF(COUNTIFS(Table2[[#All],[De (Lote)]],'Input_APM (Zenith)'!F376)&gt;0,INDEX(Table2[[#All],[Para (Ticker Daniel)]],MATCH('Input_APM (Zenith)'!F376,Table2[[#All],[De (Lote)]],0)),'Input_APM (Zenith)'!F376))</f>
        <v/>
      </c>
      <c r="M376" s="170" t="str">
        <f t="shared" si="49"/>
        <v/>
      </c>
      <c r="N376" s="171" t="str">
        <f t="shared" si="50"/>
        <v/>
      </c>
      <c r="O376" s="171" t="str">
        <f t="shared" si="51"/>
        <v/>
      </c>
    </row>
    <row r="377" spans="11:15">
      <c r="K377" s="170" t="str">
        <f t="shared" si="48"/>
        <v/>
      </c>
      <c r="L377" s="170" t="str">
        <f>IF(E377="","",IF(COUNTIFS(Table2[[#All],[De (Lote)]],'Input_APM (Zenith)'!F377)&gt;0,INDEX(Table2[[#All],[Para (Ticker Daniel)]],MATCH('Input_APM (Zenith)'!F377,Table2[[#All],[De (Lote)]],0)),'Input_APM (Zenith)'!F377))</f>
        <v/>
      </c>
      <c r="M377" s="170" t="str">
        <f t="shared" si="49"/>
        <v/>
      </c>
      <c r="N377" s="171" t="str">
        <f t="shared" si="50"/>
        <v/>
      </c>
      <c r="O377" s="171" t="str">
        <f t="shared" si="51"/>
        <v/>
      </c>
    </row>
    <row r="378" spans="11:15">
      <c r="K378" s="170" t="str">
        <f t="shared" si="48"/>
        <v/>
      </c>
      <c r="L378" s="170" t="str">
        <f>IF(E378="","",IF(COUNTIFS(Table2[[#All],[De (Lote)]],'Input_APM (Zenith)'!F378)&gt;0,INDEX(Table2[[#All],[Para (Ticker Daniel)]],MATCH('Input_APM (Zenith)'!F378,Table2[[#All],[De (Lote)]],0)),'Input_APM (Zenith)'!F378))</f>
        <v/>
      </c>
      <c r="M378" s="170" t="str">
        <f t="shared" si="49"/>
        <v/>
      </c>
      <c r="N378" s="171" t="str">
        <f t="shared" si="50"/>
        <v/>
      </c>
      <c r="O378" s="171" t="str">
        <f t="shared" si="51"/>
        <v/>
      </c>
    </row>
    <row r="379" spans="11:15">
      <c r="K379" s="170" t="str">
        <f t="shared" si="48"/>
        <v/>
      </c>
      <c r="L379" s="170" t="str">
        <f>IF(E379="","",IF(COUNTIFS(Table2[[#All],[De (Lote)]],'Input_APM (Zenith)'!F379)&gt;0,INDEX(Table2[[#All],[Para (Ticker Daniel)]],MATCH('Input_APM (Zenith)'!F379,Table2[[#All],[De (Lote)]],0)),'Input_APM (Zenith)'!F379))</f>
        <v/>
      </c>
      <c r="M379" s="170" t="str">
        <f t="shared" si="49"/>
        <v/>
      </c>
      <c r="N379" s="171" t="str">
        <f t="shared" si="50"/>
        <v/>
      </c>
      <c r="O379" s="171" t="str">
        <f t="shared" si="51"/>
        <v/>
      </c>
    </row>
    <row r="380" spans="11:15">
      <c r="K380" s="170" t="str">
        <f t="shared" si="48"/>
        <v/>
      </c>
      <c r="L380" s="170" t="str">
        <f>IF(E380="","",IF(COUNTIFS(Table2[[#All],[De (Lote)]],'Input_APM (Zenith)'!F380)&gt;0,INDEX(Table2[[#All],[Para (Ticker Daniel)]],MATCH('Input_APM (Zenith)'!F380,Table2[[#All],[De (Lote)]],0)),'Input_APM (Zenith)'!F380))</f>
        <v/>
      </c>
      <c r="M380" s="170" t="str">
        <f t="shared" si="49"/>
        <v/>
      </c>
      <c r="N380" s="171" t="str">
        <f t="shared" si="50"/>
        <v/>
      </c>
      <c r="O380" s="171" t="str">
        <f t="shared" si="51"/>
        <v/>
      </c>
    </row>
    <row r="381" spans="11:15">
      <c r="K381" s="170" t="str">
        <f t="shared" si="48"/>
        <v/>
      </c>
      <c r="L381" s="170" t="str">
        <f>IF(E381="","",IF(COUNTIFS(Table2[[#All],[De (Lote)]],'Input_APM (Zenith)'!F381)&gt;0,INDEX(Table2[[#All],[Para (Ticker Daniel)]],MATCH('Input_APM (Zenith)'!F381,Table2[[#All],[De (Lote)]],0)),'Input_APM (Zenith)'!F381))</f>
        <v/>
      </c>
      <c r="M381" s="170" t="str">
        <f t="shared" si="49"/>
        <v/>
      </c>
      <c r="N381" s="171" t="str">
        <f t="shared" si="50"/>
        <v/>
      </c>
      <c r="O381" s="171" t="str">
        <f t="shared" si="51"/>
        <v/>
      </c>
    </row>
    <row r="382" spans="11:15">
      <c r="K382" s="170" t="str">
        <f t="shared" si="48"/>
        <v/>
      </c>
      <c r="L382" s="170" t="str">
        <f>IF(E382="","",IF(COUNTIFS(Table2[[#All],[De (Lote)]],'Input_APM (Zenith)'!F382)&gt;0,INDEX(Table2[[#All],[Para (Ticker Daniel)]],MATCH('Input_APM (Zenith)'!F382,Table2[[#All],[De (Lote)]],0)),'Input_APM (Zenith)'!F382))</f>
        <v/>
      </c>
      <c r="M382" s="170" t="str">
        <f t="shared" si="49"/>
        <v/>
      </c>
      <c r="N382" s="171" t="str">
        <f t="shared" si="50"/>
        <v/>
      </c>
      <c r="O382" s="171" t="str">
        <f t="shared" si="51"/>
        <v/>
      </c>
    </row>
    <row r="383" spans="11:15">
      <c r="K383" s="170" t="str">
        <f t="shared" si="48"/>
        <v/>
      </c>
      <c r="L383" s="170" t="str">
        <f>IF(E383="","",IF(COUNTIFS(Table2[[#All],[De (Lote)]],'Input_APM (Zenith)'!F383)&gt;0,INDEX(Table2[[#All],[Para (Ticker Daniel)]],MATCH('Input_APM (Zenith)'!F383,Table2[[#All],[De (Lote)]],0)),'Input_APM (Zenith)'!F383))</f>
        <v/>
      </c>
      <c r="M383" s="170" t="str">
        <f t="shared" si="49"/>
        <v/>
      </c>
      <c r="N383" s="171" t="str">
        <f t="shared" si="50"/>
        <v/>
      </c>
      <c r="O383" s="171" t="str">
        <f t="shared" si="51"/>
        <v/>
      </c>
    </row>
    <row r="384" spans="11:15">
      <c r="K384" s="170" t="str">
        <f t="shared" si="48"/>
        <v/>
      </c>
      <c r="L384" s="170" t="str">
        <f>IF(E384="","",IF(COUNTIFS(Table2[[#All],[De (Lote)]],'Input_APM (Zenith)'!F384)&gt;0,INDEX(Table2[[#All],[Para (Ticker Daniel)]],MATCH('Input_APM (Zenith)'!F384,Table2[[#All],[De (Lote)]],0)),'Input_APM (Zenith)'!F384))</f>
        <v/>
      </c>
      <c r="M384" s="170" t="str">
        <f t="shared" si="49"/>
        <v/>
      </c>
      <c r="N384" s="171" t="str">
        <f t="shared" si="50"/>
        <v/>
      </c>
      <c r="O384" s="171" t="str">
        <f t="shared" si="51"/>
        <v/>
      </c>
    </row>
    <row r="385" spans="8:15">
      <c r="K385" s="170" t="str">
        <f t="shared" si="48"/>
        <v/>
      </c>
      <c r="L385" s="170" t="str">
        <f>IF(E385="","",IF(COUNTIFS(Table2[[#All],[De (Lote)]],'Input_APM (Zenith)'!F385)&gt;0,INDEX(Table2[[#All],[Para (Ticker Daniel)]],MATCH('Input_APM (Zenith)'!F385,Table2[[#All],[De (Lote)]],0)),'Input_APM (Zenith)'!F385))</f>
        <v/>
      </c>
      <c r="M385" s="170" t="str">
        <f t="shared" si="49"/>
        <v/>
      </c>
      <c r="N385" s="171" t="str">
        <f t="shared" si="50"/>
        <v/>
      </c>
      <c r="O385" s="171" t="str">
        <f t="shared" si="51"/>
        <v/>
      </c>
    </row>
    <row r="386" spans="8:15">
      <c r="K386" s="170" t="str">
        <f t="shared" si="48"/>
        <v/>
      </c>
      <c r="L386" s="170" t="str">
        <f>IF(E386="","",IF(COUNTIFS(Table2[[#All],[De (Lote)]],'Input_APM (Zenith)'!F386)&gt;0,INDEX(Table2[[#All],[Para (Ticker Daniel)]],MATCH('Input_APM (Zenith)'!F386,Table2[[#All],[De (Lote)]],0)),'Input_APM (Zenith)'!F386))</f>
        <v/>
      </c>
      <c r="M386" s="170" t="str">
        <f t="shared" si="49"/>
        <v/>
      </c>
      <c r="N386" s="171" t="str">
        <f t="shared" si="50"/>
        <v/>
      </c>
      <c r="O386" s="171" t="str">
        <f t="shared" si="51"/>
        <v/>
      </c>
    </row>
    <row r="387" spans="8:15">
      <c r="H387" s="179"/>
      <c r="K387" s="170" t="str">
        <f t="shared" si="48"/>
        <v/>
      </c>
      <c r="L387" s="170" t="str">
        <f>IF(E387="","",IF(COUNTIFS(Table2[[#All],[De (Lote)]],'Input_APM (Zenith)'!F387)&gt;0,INDEX(Table2[[#All],[Para (Ticker Daniel)]],MATCH('Input_APM (Zenith)'!F387,Table2[[#All],[De (Lote)]],0)),'Input_APM (Zenith)'!F387))</f>
        <v/>
      </c>
      <c r="M387" s="170" t="str">
        <f t="shared" si="49"/>
        <v/>
      </c>
      <c r="N387" s="171" t="str">
        <f t="shared" si="50"/>
        <v/>
      </c>
      <c r="O387" s="171" t="str">
        <f t="shared" si="51"/>
        <v/>
      </c>
    </row>
    <row r="388" spans="8:15">
      <c r="H388" s="179"/>
      <c r="K388" s="170" t="str">
        <f t="shared" si="48"/>
        <v/>
      </c>
      <c r="L388" s="170" t="str">
        <f>IF(E388="","",IF(COUNTIFS(Table2[[#All],[De (Lote)]],'Input_APM (Zenith)'!F388)&gt;0,INDEX(Table2[[#All],[Para (Ticker Daniel)]],MATCH('Input_APM (Zenith)'!F388,Table2[[#All],[De (Lote)]],0)),'Input_APM (Zenith)'!F388))</f>
        <v/>
      </c>
      <c r="M388" s="170" t="str">
        <f t="shared" si="49"/>
        <v/>
      </c>
      <c r="N388" s="171" t="str">
        <f t="shared" si="50"/>
        <v/>
      </c>
      <c r="O388" s="171" t="str">
        <f t="shared" si="51"/>
        <v/>
      </c>
    </row>
    <row r="389" spans="8:15">
      <c r="H389" s="179"/>
      <c r="K389" s="170" t="str">
        <f t="shared" si="48"/>
        <v/>
      </c>
      <c r="L389" s="170" t="str">
        <f>IF(E389="","",IF(COUNTIFS(Table2[[#All],[De (Lote)]],'Input_APM (Zenith)'!F389)&gt;0,INDEX(Table2[[#All],[Para (Ticker Daniel)]],MATCH('Input_APM (Zenith)'!F389,Table2[[#All],[De (Lote)]],0)),'Input_APM (Zenith)'!F389))</f>
        <v/>
      </c>
      <c r="M389" s="170" t="str">
        <f t="shared" si="49"/>
        <v/>
      </c>
      <c r="N389" s="171" t="str">
        <f t="shared" si="50"/>
        <v/>
      </c>
      <c r="O389" s="171" t="str">
        <f t="shared" si="51"/>
        <v/>
      </c>
    </row>
    <row r="390" spans="8:15">
      <c r="H390" s="179"/>
      <c r="K390" s="170" t="str">
        <f t="shared" si="48"/>
        <v/>
      </c>
      <c r="L390" s="170" t="str">
        <f>IF(E390="","",IF(COUNTIFS(Table2[[#All],[De (Lote)]],'Input_APM (Zenith)'!F390)&gt;0,INDEX(Table2[[#All],[Para (Ticker Daniel)]],MATCH('Input_APM (Zenith)'!F390,Table2[[#All],[De (Lote)]],0)),'Input_APM (Zenith)'!F390))</f>
        <v/>
      </c>
      <c r="M390" s="170" t="str">
        <f t="shared" si="49"/>
        <v/>
      </c>
      <c r="N390" s="171" t="str">
        <f t="shared" si="50"/>
        <v/>
      </c>
      <c r="O390" s="171" t="str">
        <f t="shared" si="51"/>
        <v/>
      </c>
    </row>
    <row r="391" spans="8:15">
      <c r="H391" s="179"/>
      <c r="K391" s="170" t="str">
        <f t="shared" si="48"/>
        <v/>
      </c>
      <c r="L391" s="170" t="str">
        <f>IF(E391="","",IF(COUNTIFS(Table2[[#All],[De (Lote)]],'Input_APM (Zenith)'!F391)&gt;0,INDEX(Table2[[#All],[Para (Ticker Daniel)]],MATCH('Input_APM (Zenith)'!F391,Table2[[#All],[De (Lote)]],0)),'Input_APM (Zenith)'!F391))</f>
        <v/>
      </c>
      <c r="M391" s="170" t="str">
        <f t="shared" si="49"/>
        <v/>
      </c>
      <c r="N391" s="171" t="str">
        <f t="shared" si="50"/>
        <v/>
      </c>
      <c r="O391" s="171" t="str">
        <f t="shared" si="51"/>
        <v/>
      </c>
    </row>
    <row r="392" spans="8:15">
      <c r="K392" s="170" t="str">
        <f t="shared" si="48"/>
        <v/>
      </c>
      <c r="L392" s="170" t="str">
        <f>IF(E392="","",IF(COUNTIFS(Table2[[#All],[De (Lote)]],'Input_APM (Zenith)'!F392)&gt;0,INDEX(Table2[[#All],[Para (Ticker Daniel)]],MATCH('Input_APM (Zenith)'!F392,Table2[[#All],[De (Lote)]],0)),'Input_APM (Zenith)'!F392))</f>
        <v/>
      </c>
      <c r="M392" s="170" t="str">
        <f t="shared" si="49"/>
        <v/>
      </c>
      <c r="N392" s="171" t="str">
        <f t="shared" si="50"/>
        <v/>
      </c>
      <c r="O392" s="171" t="str">
        <f t="shared" si="51"/>
        <v/>
      </c>
    </row>
    <row r="393" spans="8:15">
      <c r="K393" s="170" t="str">
        <f t="shared" si="48"/>
        <v/>
      </c>
      <c r="L393" s="170" t="str">
        <f>IF(E393="","",IF(COUNTIFS(Table2[[#All],[De (Lote)]],'Input_APM (Zenith)'!F393)&gt;0,INDEX(Table2[[#All],[Para (Ticker Daniel)]],MATCH('Input_APM (Zenith)'!F393,Table2[[#All],[De (Lote)]],0)),'Input_APM (Zenith)'!F393))</f>
        <v/>
      </c>
      <c r="M393" s="170" t="str">
        <f t="shared" si="49"/>
        <v/>
      </c>
      <c r="N393" s="171" t="str">
        <f t="shared" si="50"/>
        <v/>
      </c>
      <c r="O393" s="171" t="str">
        <f t="shared" si="51"/>
        <v/>
      </c>
    </row>
    <row r="394" spans="8:15">
      <c r="K394" s="170" t="str">
        <f t="shared" si="48"/>
        <v/>
      </c>
      <c r="L394" s="170" t="str">
        <f>IF(E394="","",IF(COUNTIFS(Table2[[#All],[De (Lote)]],'Input_APM (Zenith)'!F394)&gt;0,INDEX(Table2[[#All],[Para (Ticker Daniel)]],MATCH('Input_APM (Zenith)'!F394,Table2[[#All],[De (Lote)]],0)),'Input_APM (Zenith)'!F394))</f>
        <v/>
      </c>
      <c r="M394" s="170" t="str">
        <f t="shared" si="49"/>
        <v/>
      </c>
      <c r="N394" s="171" t="str">
        <f t="shared" si="50"/>
        <v/>
      </c>
      <c r="O394" s="171" t="str">
        <f t="shared" si="51"/>
        <v/>
      </c>
    </row>
    <row r="395" spans="8:15">
      <c r="H395" s="179"/>
      <c r="K395" s="170" t="str">
        <f t="shared" si="48"/>
        <v/>
      </c>
      <c r="L395" s="170" t="str">
        <f>IF(E395="","",IF(COUNTIFS(Table2[[#All],[De (Lote)]],'Input_APM (Zenith)'!F395)&gt;0,INDEX(Table2[[#All],[Para (Ticker Daniel)]],MATCH('Input_APM (Zenith)'!F395,Table2[[#All],[De (Lote)]],0)),'Input_APM (Zenith)'!F395))</f>
        <v/>
      </c>
      <c r="M395" s="170" t="str">
        <f t="shared" si="49"/>
        <v/>
      </c>
      <c r="N395" s="171" t="str">
        <f t="shared" si="50"/>
        <v/>
      </c>
      <c r="O395" s="171" t="str">
        <f t="shared" si="51"/>
        <v/>
      </c>
    </row>
    <row r="396" spans="8:15">
      <c r="K396" s="170" t="str">
        <f t="shared" si="48"/>
        <v/>
      </c>
      <c r="L396" s="170" t="str">
        <f>IF(E396="","",IF(COUNTIFS(Table2[[#All],[De (Lote)]],'Input_APM (Zenith)'!F396)&gt;0,INDEX(Table2[[#All],[Para (Ticker Daniel)]],MATCH('Input_APM (Zenith)'!F396,Table2[[#All],[De (Lote)]],0)),'Input_APM (Zenith)'!F396))</f>
        <v/>
      </c>
      <c r="M396" s="170" t="str">
        <f t="shared" si="49"/>
        <v/>
      </c>
      <c r="N396" s="171" t="str">
        <f t="shared" si="50"/>
        <v/>
      </c>
      <c r="O396" s="171" t="str">
        <f t="shared" si="51"/>
        <v/>
      </c>
    </row>
    <row r="397" spans="8:15">
      <c r="K397" s="170" t="str">
        <f t="shared" si="48"/>
        <v/>
      </c>
      <c r="L397" s="170" t="str">
        <f>IF(E397="","",IF(COUNTIFS(Table2[[#All],[De (Lote)]],'Input_APM (Zenith)'!F397)&gt;0,INDEX(Table2[[#All],[Para (Ticker Daniel)]],MATCH('Input_APM (Zenith)'!F397,Table2[[#All],[De (Lote)]],0)),'Input_APM (Zenith)'!F397))</f>
        <v/>
      </c>
      <c r="M397" s="170" t="str">
        <f t="shared" si="49"/>
        <v/>
      </c>
      <c r="N397" s="171" t="str">
        <f t="shared" si="50"/>
        <v/>
      </c>
      <c r="O397" s="171" t="str">
        <f t="shared" si="51"/>
        <v/>
      </c>
    </row>
    <row r="398" spans="8:15">
      <c r="K398" s="170" t="str">
        <f t="shared" si="48"/>
        <v/>
      </c>
      <c r="L398" s="170" t="str">
        <f>IF(E398="","",IF(COUNTIFS(Table2[[#All],[De (Lote)]],'Input_APM (Zenith)'!F398)&gt;0,INDEX(Table2[[#All],[Para (Ticker Daniel)]],MATCH('Input_APM (Zenith)'!F398,Table2[[#All],[De (Lote)]],0)),'Input_APM (Zenith)'!F398))</f>
        <v/>
      </c>
      <c r="M398" s="170" t="str">
        <f t="shared" si="49"/>
        <v/>
      </c>
      <c r="N398" s="171" t="str">
        <f t="shared" si="50"/>
        <v/>
      </c>
      <c r="O398" s="171" t="str">
        <f t="shared" si="51"/>
        <v/>
      </c>
    </row>
    <row r="399" spans="8:15">
      <c r="K399" s="170" t="str">
        <f t="shared" si="48"/>
        <v/>
      </c>
      <c r="L399" s="170" t="str">
        <f>IF(E399="","",IF(COUNTIFS(Table2[[#All],[De (Lote)]],'Input_APM (Zenith)'!F399)&gt;0,INDEX(Table2[[#All],[Para (Ticker Daniel)]],MATCH('Input_APM (Zenith)'!F399,Table2[[#All],[De (Lote)]],0)),'Input_APM (Zenith)'!F399))</f>
        <v/>
      </c>
      <c r="M399" s="170" t="str">
        <f t="shared" si="49"/>
        <v/>
      </c>
      <c r="N399" s="171" t="str">
        <f t="shared" si="50"/>
        <v/>
      </c>
      <c r="O399" s="171" t="str">
        <f t="shared" si="51"/>
        <v/>
      </c>
    </row>
    <row r="400" spans="8:15">
      <c r="K400" s="170" t="str">
        <f t="shared" si="48"/>
        <v/>
      </c>
      <c r="L400" s="170" t="str">
        <f>IF(E400="","",IF(COUNTIFS(Table2[[#All],[De (Lote)]],'Input_APM (Zenith)'!F400)&gt;0,INDEX(Table2[[#All],[Para (Ticker Daniel)]],MATCH('Input_APM (Zenith)'!F400,Table2[[#All],[De (Lote)]],0)),'Input_APM (Zenith)'!F400))</f>
        <v/>
      </c>
      <c r="M400" s="170" t="str">
        <f t="shared" si="49"/>
        <v/>
      </c>
      <c r="N400" s="171" t="str">
        <f t="shared" si="50"/>
        <v/>
      </c>
      <c r="O400" s="171" t="str">
        <f t="shared" si="51"/>
        <v/>
      </c>
    </row>
    <row r="401" spans="11:15">
      <c r="K401" s="170" t="str">
        <f t="shared" si="48"/>
        <v/>
      </c>
      <c r="L401" s="170" t="str">
        <f>IF(E401="","",IF(COUNTIFS(Table2[[#All],[De (Lote)]],'Input_APM (Zenith)'!F401)&gt;0,INDEX(Table2[[#All],[Para (Ticker Daniel)]],MATCH('Input_APM (Zenith)'!F401,Table2[[#All],[De (Lote)]],0)),'Input_APM (Zenith)'!F401))</f>
        <v/>
      </c>
      <c r="M401" s="170" t="str">
        <f t="shared" si="49"/>
        <v/>
      </c>
      <c r="N401" s="171" t="str">
        <f t="shared" si="50"/>
        <v/>
      </c>
      <c r="O401" s="171" t="str">
        <f t="shared" si="51"/>
        <v/>
      </c>
    </row>
    <row r="402" spans="11:15">
      <c r="K402" s="170" t="str">
        <f t="shared" si="48"/>
        <v/>
      </c>
      <c r="L402" s="170" t="str">
        <f>IF(E402="","",IF(COUNTIFS(Table2[[#All],[De (Lote)]],'Input_APM (Zenith)'!F402)&gt;0,INDEX(Table2[[#All],[Para (Ticker Daniel)]],MATCH('Input_APM (Zenith)'!F402,Table2[[#All],[De (Lote)]],0)),'Input_APM (Zenith)'!F402))</f>
        <v/>
      </c>
      <c r="M402" s="170" t="str">
        <f t="shared" si="49"/>
        <v/>
      </c>
      <c r="N402" s="171" t="str">
        <f t="shared" si="50"/>
        <v/>
      </c>
      <c r="O402" s="171" t="str">
        <f t="shared" si="51"/>
        <v/>
      </c>
    </row>
    <row r="403" spans="11:15">
      <c r="K403" s="170" t="str">
        <f t="shared" si="48"/>
        <v/>
      </c>
      <c r="L403" s="170" t="str">
        <f>IF(E403="","",IF(COUNTIFS(Table2[[#All],[De (Lote)]],'Input_APM (Zenith)'!F403)&gt;0,INDEX(Table2[[#All],[Para (Ticker Daniel)]],MATCH('Input_APM (Zenith)'!F403,Table2[[#All],[De (Lote)]],0)),'Input_APM (Zenith)'!F403))</f>
        <v/>
      </c>
      <c r="M403" s="170" t="str">
        <f t="shared" si="49"/>
        <v/>
      </c>
      <c r="N403" s="171" t="str">
        <f t="shared" si="50"/>
        <v/>
      </c>
      <c r="O403" s="171" t="str">
        <f t="shared" si="51"/>
        <v/>
      </c>
    </row>
    <row r="404" spans="11:15">
      <c r="K404" s="170" t="str">
        <f t="shared" si="48"/>
        <v/>
      </c>
      <c r="L404" s="170" t="str">
        <f>IF(E404="","",IF(COUNTIFS(Table2[[#All],[De (Lote)]],'Input_APM (Zenith)'!F404)&gt;0,INDEX(Table2[[#All],[Para (Ticker Daniel)]],MATCH('Input_APM (Zenith)'!F404,Table2[[#All],[De (Lote)]],0)),'Input_APM (Zenith)'!F404))</f>
        <v/>
      </c>
      <c r="M404" s="170" t="str">
        <f t="shared" si="49"/>
        <v/>
      </c>
      <c r="N404" s="171" t="str">
        <f t="shared" si="50"/>
        <v/>
      </c>
      <c r="O404" s="171" t="str">
        <f t="shared" si="51"/>
        <v/>
      </c>
    </row>
    <row r="405" spans="11:15">
      <c r="K405" s="170" t="str">
        <f t="shared" si="48"/>
        <v/>
      </c>
      <c r="L405" s="170" t="str">
        <f>IF(E405="","",IF(COUNTIFS(Table2[[#All],[De (Lote)]],'Input_APM (Zenith)'!F405)&gt;0,INDEX(Table2[[#All],[Para (Ticker Daniel)]],MATCH('Input_APM (Zenith)'!F405,Table2[[#All],[De (Lote)]],0)),'Input_APM (Zenith)'!F405))</f>
        <v/>
      </c>
      <c r="M405" s="170" t="str">
        <f t="shared" si="49"/>
        <v/>
      </c>
      <c r="N405" s="171" t="str">
        <f t="shared" si="50"/>
        <v/>
      </c>
      <c r="O405" s="171" t="str">
        <f t="shared" si="51"/>
        <v/>
      </c>
    </row>
    <row r="406" spans="11:15">
      <c r="K406" s="170" t="str">
        <f t="shared" si="48"/>
        <v/>
      </c>
      <c r="L406" s="170" t="str">
        <f>IF(E406="","",IF(COUNTIFS(Table2[[#All],[De (Lote)]],'Input_APM (Zenith)'!F406)&gt;0,INDEX(Table2[[#All],[Para (Ticker Daniel)]],MATCH('Input_APM (Zenith)'!F406,Table2[[#All],[De (Lote)]],0)),'Input_APM (Zenith)'!F406))</f>
        <v/>
      </c>
      <c r="M406" s="170" t="str">
        <f t="shared" si="49"/>
        <v/>
      </c>
      <c r="N406" s="171" t="str">
        <f t="shared" si="50"/>
        <v/>
      </c>
      <c r="O406" s="171" t="str">
        <f t="shared" si="51"/>
        <v/>
      </c>
    </row>
    <row r="407" spans="11:15">
      <c r="K407" s="170" t="str">
        <f t="shared" si="48"/>
        <v/>
      </c>
      <c r="L407" s="170" t="str">
        <f>IF(E407="","",IF(COUNTIFS(Table2[[#All],[De (Lote)]],'Input_APM (Zenith)'!F407)&gt;0,INDEX(Table2[[#All],[Para (Ticker Daniel)]],MATCH('Input_APM (Zenith)'!F407,Table2[[#All],[De (Lote)]],0)),'Input_APM (Zenith)'!F407))</f>
        <v/>
      </c>
      <c r="M407" s="170" t="str">
        <f t="shared" si="49"/>
        <v/>
      </c>
      <c r="N407" s="171" t="str">
        <f t="shared" si="50"/>
        <v/>
      </c>
      <c r="O407" s="171" t="str">
        <f t="shared" si="51"/>
        <v/>
      </c>
    </row>
    <row r="408" spans="11:15">
      <c r="K408" s="170" t="str">
        <f t="shared" si="48"/>
        <v/>
      </c>
      <c r="L408" s="170" t="str">
        <f>IF(E408="","",IF(COUNTIFS(Table2[[#All],[De (Lote)]],'Input_APM (Zenith)'!F408)&gt;0,INDEX(Table2[[#All],[Para (Ticker Daniel)]],MATCH('Input_APM (Zenith)'!F408,Table2[[#All],[De (Lote)]],0)),'Input_APM (Zenith)'!F408))</f>
        <v/>
      </c>
      <c r="M408" s="170" t="str">
        <f t="shared" si="49"/>
        <v/>
      </c>
      <c r="N408" s="171" t="str">
        <f t="shared" si="50"/>
        <v/>
      </c>
      <c r="O408" s="171" t="str">
        <f t="shared" si="51"/>
        <v/>
      </c>
    </row>
    <row r="409" spans="11:15">
      <c r="K409" s="170" t="str">
        <f t="shared" si="48"/>
        <v/>
      </c>
      <c r="L409" s="170" t="str">
        <f>IF(E409="","",IF(COUNTIFS(Table2[[#All],[De (Lote)]],'Input_APM (Zenith)'!F409)&gt;0,INDEX(Table2[[#All],[Para (Ticker Daniel)]],MATCH('Input_APM (Zenith)'!F409,Table2[[#All],[De (Lote)]],0)),'Input_APM (Zenith)'!F409))</f>
        <v/>
      </c>
      <c r="M409" s="170" t="str">
        <f t="shared" si="49"/>
        <v/>
      </c>
      <c r="N409" s="171" t="str">
        <f t="shared" si="50"/>
        <v/>
      </c>
      <c r="O409" s="171" t="str">
        <f t="shared" si="51"/>
        <v/>
      </c>
    </row>
    <row r="410" spans="11:15">
      <c r="K410" s="170" t="str">
        <f t="shared" si="48"/>
        <v/>
      </c>
      <c r="L410" s="170" t="str">
        <f>IF(E410="","",IF(COUNTIFS(Table2[[#All],[De (Lote)]],'Input_APM (Zenith)'!F410)&gt;0,INDEX(Table2[[#All],[Para (Ticker Daniel)]],MATCH('Input_APM (Zenith)'!F410,Table2[[#All],[De (Lote)]],0)),'Input_APM (Zenith)'!F410))</f>
        <v/>
      </c>
      <c r="M410" s="170" t="str">
        <f t="shared" si="49"/>
        <v/>
      </c>
      <c r="N410" s="171" t="str">
        <f t="shared" si="50"/>
        <v/>
      </c>
      <c r="O410" s="171" t="str">
        <f t="shared" si="51"/>
        <v/>
      </c>
    </row>
    <row r="411" spans="11:15">
      <c r="K411" s="170" t="str">
        <f t="shared" si="48"/>
        <v/>
      </c>
      <c r="L411" s="170" t="str">
        <f>IF(E411="","",IF(COUNTIFS(Table2[[#All],[De (Lote)]],'Input_APM (Zenith)'!F411)&gt;0,INDEX(Table2[[#All],[Para (Ticker Daniel)]],MATCH('Input_APM (Zenith)'!F411,Table2[[#All],[De (Lote)]],0)),'Input_APM (Zenith)'!F411))</f>
        <v/>
      </c>
      <c r="M411" s="170" t="str">
        <f t="shared" si="49"/>
        <v/>
      </c>
      <c r="N411" s="171" t="str">
        <f t="shared" si="50"/>
        <v/>
      </c>
      <c r="O411" s="171" t="str">
        <f t="shared" si="51"/>
        <v/>
      </c>
    </row>
    <row r="412" spans="11:15">
      <c r="K412" s="170" t="str">
        <f t="shared" si="48"/>
        <v/>
      </c>
      <c r="L412" s="170" t="str">
        <f>IF(E412="","",IF(COUNTIFS(Table2[[#All],[De (Lote)]],'Input_APM (Zenith)'!F412)&gt;0,INDEX(Table2[[#All],[Para (Ticker Daniel)]],MATCH('Input_APM (Zenith)'!F412,Table2[[#All],[De (Lote)]],0)),'Input_APM (Zenith)'!F412))</f>
        <v/>
      </c>
      <c r="M412" s="170" t="str">
        <f t="shared" si="49"/>
        <v/>
      </c>
      <c r="N412" s="171" t="str">
        <f t="shared" si="50"/>
        <v/>
      </c>
      <c r="O412" s="171" t="str">
        <f t="shared" si="51"/>
        <v/>
      </c>
    </row>
    <row r="413" spans="11:15">
      <c r="K413" s="170" t="str">
        <f t="shared" si="48"/>
        <v/>
      </c>
      <c r="L413" s="170" t="str">
        <f>IF(E413="","",IF(COUNTIFS(Table2[[#All],[De (Lote)]],'Input_APM (Zenith)'!F413)&gt;0,INDEX(Table2[[#All],[Para (Ticker Daniel)]],MATCH('Input_APM (Zenith)'!F413,Table2[[#All],[De (Lote)]],0)),'Input_APM (Zenith)'!F413))</f>
        <v/>
      </c>
      <c r="M413" s="170" t="str">
        <f t="shared" si="49"/>
        <v/>
      </c>
      <c r="N413" s="171" t="str">
        <f t="shared" si="50"/>
        <v/>
      </c>
      <c r="O413" s="171" t="str">
        <f t="shared" si="51"/>
        <v/>
      </c>
    </row>
    <row r="414" spans="11:15">
      <c r="K414" s="170" t="str">
        <f t="shared" si="48"/>
        <v/>
      </c>
      <c r="L414" s="170" t="str">
        <f>IF(E414="","",IF(COUNTIFS(Table2[[#All],[De (Lote)]],'Input_APM (Zenith)'!F414)&gt;0,INDEX(Table2[[#All],[Para (Ticker Daniel)]],MATCH('Input_APM (Zenith)'!F414,Table2[[#All],[De (Lote)]],0)),'Input_APM (Zenith)'!F414))</f>
        <v/>
      </c>
      <c r="M414" s="170" t="str">
        <f t="shared" si="49"/>
        <v/>
      </c>
      <c r="N414" s="171" t="str">
        <f t="shared" si="50"/>
        <v/>
      </c>
      <c r="O414" s="171" t="str">
        <f t="shared" si="51"/>
        <v/>
      </c>
    </row>
    <row r="415" spans="11:15">
      <c r="K415" s="170" t="str">
        <f t="shared" si="48"/>
        <v/>
      </c>
      <c r="L415" s="170" t="str">
        <f>IF(E415="","",IF(COUNTIFS(Table2[[#All],[De (Lote)]],'Input_APM (Zenith)'!F415)&gt;0,INDEX(Table2[[#All],[Para (Ticker Daniel)]],MATCH('Input_APM (Zenith)'!F415,Table2[[#All],[De (Lote)]],0)),'Input_APM (Zenith)'!F415))</f>
        <v/>
      </c>
      <c r="M415" s="170" t="str">
        <f t="shared" si="49"/>
        <v/>
      </c>
      <c r="N415" s="171" t="str">
        <f t="shared" si="50"/>
        <v/>
      </c>
      <c r="O415" s="171" t="str">
        <f t="shared" si="51"/>
        <v/>
      </c>
    </row>
    <row r="416" spans="11:15">
      <c r="K416" s="170" t="str">
        <f t="shared" si="48"/>
        <v/>
      </c>
      <c r="L416" s="170" t="str">
        <f>IF(E416="","",IF(COUNTIFS(Table2[[#All],[De (Lote)]],'Input_APM (Zenith)'!F416)&gt;0,INDEX(Table2[[#All],[Para (Ticker Daniel)]],MATCH('Input_APM (Zenith)'!F416,Table2[[#All],[De (Lote)]],0)),'Input_APM (Zenith)'!F416))</f>
        <v/>
      </c>
      <c r="M416" s="170" t="str">
        <f t="shared" si="49"/>
        <v/>
      </c>
      <c r="N416" s="171" t="str">
        <f t="shared" si="50"/>
        <v/>
      </c>
      <c r="O416" s="171" t="str">
        <f t="shared" si="51"/>
        <v/>
      </c>
    </row>
    <row r="417" spans="11:15">
      <c r="K417" s="170" t="str">
        <f t="shared" si="48"/>
        <v/>
      </c>
      <c r="L417" s="170" t="str">
        <f>IF(E417="","",IF(COUNTIFS(Table2[[#All],[De (Lote)]],'Input_APM (Zenith)'!F417)&gt;0,INDEX(Table2[[#All],[Para (Ticker Daniel)]],MATCH('Input_APM (Zenith)'!F417,Table2[[#All],[De (Lote)]],0)),'Input_APM (Zenith)'!F417))</f>
        <v/>
      </c>
      <c r="M417" s="170" t="str">
        <f t="shared" si="49"/>
        <v/>
      </c>
      <c r="N417" s="171" t="str">
        <f t="shared" si="50"/>
        <v/>
      </c>
      <c r="O417" s="171" t="str">
        <f t="shared" si="51"/>
        <v/>
      </c>
    </row>
    <row r="418" spans="11:15">
      <c r="K418" s="170" t="str">
        <f t="shared" si="48"/>
        <v/>
      </c>
      <c r="L418" s="170" t="str">
        <f>IF(E418="","",IF(COUNTIFS(Table2[[#All],[De (Lote)]],'Input_APM (Zenith)'!F418)&gt;0,INDEX(Table2[[#All],[Para (Ticker Daniel)]],MATCH('Input_APM (Zenith)'!F418,Table2[[#All],[De (Lote)]],0)),'Input_APM (Zenith)'!F418))</f>
        <v/>
      </c>
      <c r="M418" s="170" t="str">
        <f t="shared" si="49"/>
        <v/>
      </c>
      <c r="N418" s="171" t="str">
        <f t="shared" si="50"/>
        <v/>
      </c>
      <c r="O418" s="171" t="str">
        <f t="shared" si="51"/>
        <v/>
      </c>
    </row>
    <row r="419" spans="11:15">
      <c r="K419" s="170" t="str">
        <f t="shared" si="48"/>
        <v/>
      </c>
      <c r="L419" s="170" t="str">
        <f>IF(E419="","",IF(COUNTIFS(Table2[[#All],[De (Lote)]],'Input_APM (Zenith)'!F419)&gt;0,INDEX(Table2[[#All],[Para (Ticker Daniel)]],MATCH('Input_APM (Zenith)'!F419,Table2[[#All],[De (Lote)]],0)),'Input_APM (Zenith)'!F419))</f>
        <v/>
      </c>
      <c r="M419" s="170" t="str">
        <f t="shared" si="49"/>
        <v/>
      </c>
      <c r="N419" s="171" t="str">
        <f t="shared" si="50"/>
        <v/>
      </c>
      <c r="O419" s="171" t="str">
        <f t="shared" si="51"/>
        <v/>
      </c>
    </row>
    <row r="420" spans="11:15">
      <c r="K420" s="170" t="str">
        <f t="shared" si="48"/>
        <v/>
      </c>
      <c r="L420" s="170" t="str">
        <f>IF(E420="","",IF(COUNTIFS(Table2[[#All],[De (Lote)]],'Input_APM (Zenith)'!F420)&gt;0,INDEX(Table2[[#All],[Para (Ticker Daniel)]],MATCH('Input_APM (Zenith)'!F420,Table2[[#All],[De (Lote)]],0)),'Input_APM (Zenith)'!F420))</f>
        <v/>
      </c>
      <c r="M420" s="170" t="str">
        <f t="shared" si="49"/>
        <v/>
      </c>
      <c r="N420" s="171" t="str">
        <f t="shared" si="50"/>
        <v/>
      </c>
      <c r="O420" s="171" t="str">
        <f t="shared" si="51"/>
        <v/>
      </c>
    </row>
    <row r="421" spans="11:15">
      <c r="K421" s="170" t="str">
        <f t="shared" si="48"/>
        <v/>
      </c>
      <c r="L421" s="170" t="str">
        <f>IF(E421="","",IF(COUNTIFS(Table2[[#All],[De (Lote)]],'Input_APM (Zenith)'!F421)&gt;0,INDEX(Table2[[#All],[Para (Ticker Daniel)]],MATCH('Input_APM (Zenith)'!F421,Table2[[#All],[De (Lote)]],0)),'Input_APM (Zenith)'!F421))</f>
        <v/>
      </c>
      <c r="M421" s="170" t="str">
        <f t="shared" si="49"/>
        <v/>
      </c>
      <c r="N421" s="171" t="str">
        <f t="shared" si="50"/>
        <v/>
      </c>
      <c r="O421" s="171" t="str">
        <f t="shared" si="51"/>
        <v/>
      </c>
    </row>
    <row r="422" spans="11:15">
      <c r="K422" s="170" t="str">
        <f t="shared" ref="K422:K485" si="52">IF(E422="","",E422)</f>
        <v/>
      </c>
      <c r="L422" s="170" t="str">
        <f>IF(E422="","",IF(COUNTIFS(Table2[[#All],[De (Lote)]],'Input_APM (Zenith)'!F422)&gt;0,INDEX(Table2[[#All],[Para (Ticker Daniel)]],MATCH('Input_APM (Zenith)'!F422,Table2[[#All],[De (Lote)]],0)),'Input_APM (Zenith)'!F422))</f>
        <v/>
      </c>
      <c r="M422" s="170" t="str">
        <f t="shared" ref="M422:M485" si="53">IF(E422="","",G422)</f>
        <v/>
      </c>
      <c r="N422" s="171" t="str">
        <f t="shared" ref="N422:N485" si="54">IF(E422="","",H422)</f>
        <v/>
      </c>
      <c r="O422" s="171" t="str">
        <f t="shared" ref="O422:O485" si="55">IF(E422="","",I422)</f>
        <v/>
      </c>
    </row>
    <row r="423" spans="11:15">
      <c r="K423" s="170" t="str">
        <f t="shared" si="52"/>
        <v/>
      </c>
      <c r="L423" s="170" t="str">
        <f>IF(E423="","",IF(COUNTIFS(Table2[[#All],[De (Lote)]],'Input_APM (Zenith)'!F423)&gt;0,INDEX(Table2[[#All],[Para (Ticker Daniel)]],MATCH('Input_APM (Zenith)'!F423,Table2[[#All],[De (Lote)]],0)),'Input_APM (Zenith)'!F423))</f>
        <v/>
      </c>
      <c r="M423" s="170" t="str">
        <f t="shared" si="53"/>
        <v/>
      </c>
      <c r="N423" s="171" t="str">
        <f t="shared" si="54"/>
        <v/>
      </c>
      <c r="O423" s="171" t="str">
        <f t="shared" si="55"/>
        <v/>
      </c>
    </row>
    <row r="424" spans="11:15">
      <c r="K424" s="170" t="str">
        <f t="shared" si="52"/>
        <v/>
      </c>
      <c r="L424" s="170" t="str">
        <f>IF(E424="","",IF(COUNTIFS(Table2[[#All],[De (Lote)]],'Input_APM (Zenith)'!F424)&gt;0,INDEX(Table2[[#All],[Para (Ticker Daniel)]],MATCH('Input_APM (Zenith)'!F424,Table2[[#All],[De (Lote)]],0)),'Input_APM (Zenith)'!F424))</f>
        <v/>
      </c>
      <c r="M424" s="170" t="str">
        <f t="shared" si="53"/>
        <v/>
      </c>
      <c r="N424" s="171" t="str">
        <f t="shared" si="54"/>
        <v/>
      </c>
      <c r="O424" s="171" t="str">
        <f t="shared" si="55"/>
        <v/>
      </c>
    </row>
    <row r="425" spans="11:15">
      <c r="K425" s="170" t="str">
        <f t="shared" si="52"/>
        <v/>
      </c>
      <c r="L425" s="170" t="str">
        <f>IF(E425="","",IF(COUNTIFS(Table2[[#All],[De (Lote)]],'Input_APM (Zenith)'!F425)&gt;0,INDEX(Table2[[#All],[Para (Ticker Daniel)]],MATCH('Input_APM (Zenith)'!F425,Table2[[#All],[De (Lote)]],0)),'Input_APM (Zenith)'!F425))</f>
        <v/>
      </c>
      <c r="M425" s="170" t="str">
        <f t="shared" si="53"/>
        <v/>
      </c>
      <c r="N425" s="171" t="str">
        <f t="shared" si="54"/>
        <v/>
      </c>
      <c r="O425" s="171" t="str">
        <f t="shared" si="55"/>
        <v/>
      </c>
    </row>
    <row r="426" spans="11:15">
      <c r="K426" s="170" t="str">
        <f t="shared" si="52"/>
        <v/>
      </c>
      <c r="L426" s="170" t="str">
        <f>IF(E426="","",IF(COUNTIFS(Table2[[#All],[De (Lote)]],'Input_APM (Zenith)'!F426)&gt;0,INDEX(Table2[[#All],[Para (Ticker Daniel)]],MATCH('Input_APM (Zenith)'!F426,Table2[[#All],[De (Lote)]],0)),'Input_APM (Zenith)'!F426))</f>
        <v/>
      </c>
      <c r="M426" s="170" t="str">
        <f t="shared" si="53"/>
        <v/>
      </c>
      <c r="N426" s="171" t="str">
        <f t="shared" si="54"/>
        <v/>
      </c>
      <c r="O426" s="171" t="str">
        <f t="shared" si="55"/>
        <v/>
      </c>
    </row>
    <row r="427" spans="11:15">
      <c r="K427" s="170" t="str">
        <f t="shared" si="52"/>
        <v/>
      </c>
      <c r="L427" s="170" t="str">
        <f>IF(E427="","",IF(COUNTIFS(Table2[[#All],[De (Lote)]],'Input_APM (Zenith)'!F427)&gt;0,INDEX(Table2[[#All],[Para (Ticker Daniel)]],MATCH('Input_APM (Zenith)'!F427,Table2[[#All],[De (Lote)]],0)),'Input_APM (Zenith)'!F427))</f>
        <v/>
      </c>
      <c r="M427" s="170" t="str">
        <f t="shared" si="53"/>
        <v/>
      </c>
      <c r="N427" s="171" t="str">
        <f t="shared" si="54"/>
        <v/>
      </c>
      <c r="O427" s="171" t="str">
        <f t="shared" si="55"/>
        <v/>
      </c>
    </row>
    <row r="428" spans="11:15">
      <c r="K428" s="170" t="str">
        <f t="shared" si="52"/>
        <v/>
      </c>
      <c r="L428" s="170" t="str">
        <f>IF(E428="","",IF(COUNTIFS(Table2[[#All],[De (Lote)]],'Input_APM (Zenith)'!F428)&gt;0,INDEX(Table2[[#All],[Para (Ticker Daniel)]],MATCH('Input_APM (Zenith)'!F428,Table2[[#All],[De (Lote)]],0)),'Input_APM (Zenith)'!F428))</f>
        <v/>
      </c>
      <c r="M428" s="170" t="str">
        <f t="shared" si="53"/>
        <v/>
      </c>
      <c r="N428" s="171" t="str">
        <f t="shared" si="54"/>
        <v/>
      </c>
      <c r="O428" s="171" t="str">
        <f t="shared" si="55"/>
        <v/>
      </c>
    </row>
    <row r="429" spans="11:15">
      <c r="K429" s="170" t="str">
        <f t="shared" si="52"/>
        <v/>
      </c>
      <c r="L429" s="170" t="str">
        <f>IF(E429="","",IF(COUNTIFS(Table2[[#All],[De (Lote)]],'Input_APM (Zenith)'!F429)&gt;0,INDEX(Table2[[#All],[Para (Ticker Daniel)]],MATCH('Input_APM (Zenith)'!F429,Table2[[#All],[De (Lote)]],0)),'Input_APM (Zenith)'!F429))</f>
        <v/>
      </c>
      <c r="M429" s="170" t="str">
        <f t="shared" si="53"/>
        <v/>
      </c>
      <c r="N429" s="171" t="str">
        <f t="shared" si="54"/>
        <v/>
      </c>
      <c r="O429" s="171" t="str">
        <f t="shared" si="55"/>
        <v/>
      </c>
    </row>
    <row r="430" spans="11:15">
      <c r="K430" s="170" t="str">
        <f t="shared" si="52"/>
        <v/>
      </c>
      <c r="L430" s="170" t="str">
        <f>IF(E430="","",IF(COUNTIFS(Table2[[#All],[De (Lote)]],'Input_APM (Zenith)'!F430)&gt;0,INDEX(Table2[[#All],[Para (Ticker Daniel)]],MATCH('Input_APM (Zenith)'!F430,Table2[[#All],[De (Lote)]],0)),'Input_APM (Zenith)'!F430))</f>
        <v/>
      </c>
      <c r="M430" s="170" t="str">
        <f t="shared" si="53"/>
        <v/>
      </c>
      <c r="N430" s="171" t="str">
        <f t="shared" si="54"/>
        <v/>
      </c>
      <c r="O430" s="171" t="str">
        <f t="shared" si="55"/>
        <v/>
      </c>
    </row>
    <row r="431" spans="11:15">
      <c r="K431" s="170" t="str">
        <f t="shared" si="52"/>
        <v/>
      </c>
      <c r="L431" s="170" t="str">
        <f>IF(E431="","",IF(COUNTIFS(Table2[[#All],[De (Lote)]],'Input_APM (Zenith)'!F431)&gt;0,INDEX(Table2[[#All],[Para (Ticker Daniel)]],MATCH('Input_APM (Zenith)'!F431,Table2[[#All],[De (Lote)]],0)),'Input_APM (Zenith)'!F431))</f>
        <v/>
      </c>
      <c r="M431" s="170" t="str">
        <f t="shared" si="53"/>
        <v/>
      </c>
      <c r="N431" s="171" t="str">
        <f t="shared" si="54"/>
        <v/>
      </c>
      <c r="O431" s="171" t="str">
        <f t="shared" si="55"/>
        <v/>
      </c>
    </row>
    <row r="432" spans="11:15">
      <c r="K432" s="170" t="str">
        <f t="shared" si="52"/>
        <v/>
      </c>
      <c r="L432" s="170" t="str">
        <f>IF(E432="","",IF(COUNTIFS(Table2[[#All],[De (Lote)]],'Input_APM (Zenith)'!F432)&gt;0,INDEX(Table2[[#All],[Para (Ticker Daniel)]],MATCH('Input_APM (Zenith)'!F432,Table2[[#All],[De (Lote)]],0)),'Input_APM (Zenith)'!F432))</f>
        <v/>
      </c>
      <c r="M432" s="170" t="str">
        <f t="shared" si="53"/>
        <v/>
      </c>
      <c r="N432" s="171" t="str">
        <f t="shared" si="54"/>
        <v/>
      </c>
      <c r="O432" s="171" t="str">
        <f t="shared" si="55"/>
        <v/>
      </c>
    </row>
    <row r="433" spans="11:15">
      <c r="K433" s="170" t="str">
        <f t="shared" si="52"/>
        <v/>
      </c>
      <c r="L433" s="170" t="str">
        <f>IF(E433="","",IF(COUNTIFS(Table2[[#All],[De (Lote)]],'Input_APM (Zenith)'!F433)&gt;0,INDEX(Table2[[#All],[Para (Ticker Daniel)]],MATCH('Input_APM (Zenith)'!F433,Table2[[#All],[De (Lote)]],0)),'Input_APM (Zenith)'!F433))</f>
        <v/>
      </c>
      <c r="M433" s="170" t="str">
        <f t="shared" si="53"/>
        <v/>
      </c>
      <c r="N433" s="171" t="str">
        <f t="shared" si="54"/>
        <v/>
      </c>
      <c r="O433" s="171" t="str">
        <f t="shared" si="55"/>
        <v/>
      </c>
    </row>
    <row r="434" spans="11:15">
      <c r="K434" s="170" t="str">
        <f t="shared" si="52"/>
        <v/>
      </c>
      <c r="L434" s="170" t="str">
        <f>IF(E434="","",IF(COUNTIFS(Table2[[#All],[De (Lote)]],'Input_APM (Zenith)'!F434)&gt;0,INDEX(Table2[[#All],[Para (Ticker Daniel)]],MATCH('Input_APM (Zenith)'!F434,Table2[[#All],[De (Lote)]],0)),'Input_APM (Zenith)'!F434))</f>
        <v/>
      </c>
      <c r="M434" s="170" t="str">
        <f t="shared" si="53"/>
        <v/>
      </c>
      <c r="N434" s="171" t="str">
        <f t="shared" si="54"/>
        <v/>
      </c>
      <c r="O434" s="171" t="str">
        <f t="shared" si="55"/>
        <v/>
      </c>
    </row>
    <row r="435" spans="11:15">
      <c r="K435" s="170" t="str">
        <f t="shared" si="52"/>
        <v/>
      </c>
      <c r="L435" s="170" t="str">
        <f>IF(E435="","",IF(COUNTIFS(Table2[[#All],[De (Lote)]],'Input_APM (Zenith)'!F435)&gt;0,INDEX(Table2[[#All],[Para (Ticker Daniel)]],MATCH('Input_APM (Zenith)'!F435,Table2[[#All],[De (Lote)]],0)),'Input_APM (Zenith)'!F435))</f>
        <v/>
      </c>
      <c r="M435" s="170" t="str">
        <f t="shared" si="53"/>
        <v/>
      </c>
      <c r="N435" s="171" t="str">
        <f t="shared" si="54"/>
        <v/>
      </c>
      <c r="O435" s="171" t="str">
        <f t="shared" si="55"/>
        <v/>
      </c>
    </row>
    <row r="436" spans="11:15">
      <c r="K436" s="170" t="str">
        <f t="shared" si="52"/>
        <v/>
      </c>
      <c r="L436" s="170" t="str">
        <f>IF(E436="","",IF(COUNTIFS(Table2[[#All],[De (Lote)]],'Input_APM (Zenith)'!F436)&gt;0,INDEX(Table2[[#All],[Para (Ticker Daniel)]],MATCH('Input_APM (Zenith)'!F436,Table2[[#All],[De (Lote)]],0)),'Input_APM (Zenith)'!F436))</f>
        <v/>
      </c>
      <c r="M436" s="170" t="str">
        <f t="shared" si="53"/>
        <v/>
      </c>
      <c r="N436" s="171" t="str">
        <f t="shared" si="54"/>
        <v/>
      </c>
      <c r="O436" s="171" t="str">
        <f t="shared" si="55"/>
        <v/>
      </c>
    </row>
    <row r="437" spans="11:15">
      <c r="K437" s="170" t="str">
        <f t="shared" si="52"/>
        <v/>
      </c>
      <c r="L437" s="170" t="str">
        <f>IF(E437="","",IF(COUNTIFS(Table2[[#All],[De (Lote)]],'Input_APM (Zenith)'!F437)&gt;0,INDEX(Table2[[#All],[Para (Ticker Daniel)]],MATCH('Input_APM (Zenith)'!F437,Table2[[#All],[De (Lote)]],0)),'Input_APM (Zenith)'!F437))</f>
        <v/>
      </c>
      <c r="M437" s="170" t="str">
        <f t="shared" si="53"/>
        <v/>
      </c>
      <c r="N437" s="171" t="str">
        <f t="shared" si="54"/>
        <v/>
      </c>
      <c r="O437" s="171" t="str">
        <f t="shared" si="55"/>
        <v/>
      </c>
    </row>
    <row r="438" spans="11:15">
      <c r="K438" s="170" t="str">
        <f t="shared" si="52"/>
        <v/>
      </c>
      <c r="L438" s="170" t="str">
        <f>IF(E438="","",IF(COUNTIFS(Table2[[#All],[De (Lote)]],'Input_APM (Zenith)'!F438)&gt;0,INDEX(Table2[[#All],[Para (Ticker Daniel)]],MATCH('Input_APM (Zenith)'!F438,Table2[[#All],[De (Lote)]],0)),'Input_APM (Zenith)'!F438))</f>
        <v/>
      </c>
      <c r="M438" s="170" t="str">
        <f t="shared" si="53"/>
        <v/>
      </c>
      <c r="N438" s="171" t="str">
        <f t="shared" si="54"/>
        <v/>
      </c>
      <c r="O438" s="171" t="str">
        <f t="shared" si="55"/>
        <v/>
      </c>
    </row>
    <row r="439" spans="11:15">
      <c r="K439" s="170" t="str">
        <f t="shared" si="52"/>
        <v/>
      </c>
      <c r="L439" s="170" t="str">
        <f>IF(E439="","",IF(COUNTIFS(Table2[[#All],[De (Lote)]],'Input_APM (Zenith)'!F439)&gt;0,INDEX(Table2[[#All],[Para (Ticker Daniel)]],MATCH('Input_APM (Zenith)'!F439,Table2[[#All],[De (Lote)]],0)),'Input_APM (Zenith)'!F439))</f>
        <v/>
      </c>
      <c r="M439" s="170" t="str">
        <f t="shared" si="53"/>
        <v/>
      </c>
      <c r="N439" s="171" t="str">
        <f t="shared" si="54"/>
        <v/>
      </c>
      <c r="O439" s="171" t="str">
        <f t="shared" si="55"/>
        <v/>
      </c>
    </row>
    <row r="440" spans="11:15">
      <c r="K440" s="170" t="str">
        <f t="shared" si="52"/>
        <v/>
      </c>
      <c r="L440" s="170" t="str">
        <f>IF(E440="","",IF(COUNTIFS(Table2[[#All],[De (Lote)]],'Input_APM (Zenith)'!F440)&gt;0,INDEX(Table2[[#All],[Para (Ticker Daniel)]],MATCH('Input_APM (Zenith)'!F440,Table2[[#All],[De (Lote)]],0)),'Input_APM (Zenith)'!F440))</f>
        <v/>
      </c>
      <c r="M440" s="170" t="str">
        <f t="shared" si="53"/>
        <v/>
      </c>
      <c r="N440" s="171" t="str">
        <f t="shared" si="54"/>
        <v/>
      </c>
      <c r="O440" s="171" t="str">
        <f t="shared" si="55"/>
        <v/>
      </c>
    </row>
    <row r="441" spans="11:15">
      <c r="K441" s="170" t="str">
        <f t="shared" si="52"/>
        <v/>
      </c>
      <c r="L441" s="170" t="str">
        <f>IF(E441="","",IF(COUNTIFS(Table2[[#All],[De (Lote)]],'Input_APM (Zenith)'!F441)&gt;0,INDEX(Table2[[#All],[Para (Ticker Daniel)]],MATCH('Input_APM (Zenith)'!F441,Table2[[#All],[De (Lote)]],0)),'Input_APM (Zenith)'!F441))</f>
        <v/>
      </c>
      <c r="M441" s="170" t="str">
        <f t="shared" si="53"/>
        <v/>
      </c>
      <c r="N441" s="171" t="str">
        <f t="shared" si="54"/>
        <v/>
      </c>
      <c r="O441" s="171" t="str">
        <f t="shared" si="55"/>
        <v/>
      </c>
    </row>
    <row r="442" spans="11:15">
      <c r="K442" s="170" t="str">
        <f t="shared" si="52"/>
        <v/>
      </c>
      <c r="L442" s="170" t="str">
        <f>IF(E442="","",IF(COUNTIFS(Table2[[#All],[De (Lote)]],'Input_APM (Zenith)'!F442)&gt;0,INDEX(Table2[[#All],[Para (Ticker Daniel)]],MATCH('Input_APM (Zenith)'!F442,Table2[[#All],[De (Lote)]],0)),'Input_APM (Zenith)'!F442))</f>
        <v/>
      </c>
      <c r="M442" s="170" t="str">
        <f t="shared" si="53"/>
        <v/>
      </c>
      <c r="N442" s="171" t="str">
        <f t="shared" si="54"/>
        <v/>
      </c>
      <c r="O442" s="171" t="str">
        <f t="shared" si="55"/>
        <v/>
      </c>
    </row>
    <row r="443" spans="11:15">
      <c r="K443" s="170" t="str">
        <f t="shared" si="52"/>
        <v/>
      </c>
      <c r="L443" s="170" t="str">
        <f>IF(E443="","",IF(COUNTIFS(Table2[[#All],[De (Lote)]],'Input_APM (Zenith)'!F443)&gt;0,INDEX(Table2[[#All],[Para (Ticker Daniel)]],MATCH('Input_APM (Zenith)'!F443,Table2[[#All],[De (Lote)]],0)),'Input_APM (Zenith)'!F443))</f>
        <v/>
      </c>
      <c r="M443" s="170" t="str">
        <f t="shared" si="53"/>
        <v/>
      </c>
      <c r="N443" s="171" t="str">
        <f t="shared" si="54"/>
        <v/>
      </c>
      <c r="O443" s="171" t="str">
        <f t="shared" si="55"/>
        <v/>
      </c>
    </row>
    <row r="444" spans="11:15">
      <c r="K444" s="170" t="str">
        <f t="shared" si="52"/>
        <v/>
      </c>
      <c r="L444" s="170" t="str">
        <f>IF(E444="","",IF(COUNTIFS(Table2[[#All],[De (Lote)]],'Input_APM (Zenith)'!F444)&gt;0,INDEX(Table2[[#All],[Para (Ticker Daniel)]],MATCH('Input_APM (Zenith)'!F444,Table2[[#All],[De (Lote)]],0)),'Input_APM (Zenith)'!F444))</f>
        <v/>
      </c>
      <c r="M444" s="170" t="str">
        <f t="shared" si="53"/>
        <v/>
      </c>
      <c r="N444" s="171" t="str">
        <f t="shared" si="54"/>
        <v/>
      </c>
      <c r="O444" s="171" t="str">
        <f t="shared" si="55"/>
        <v/>
      </c>
    </row>
    <row r="445" spans="11:15">
      <c r="K445" s="170" t="str">
        <f t="shared" si="52"/>
        <v/>
      </c>
      <c r="L445" s="170" t="str">
        <f>IF(E445="","",IF(COUNTIFS(Table2[[#All],[De (Lote)]],'Input_APM (Zenith)'!F445)&gt;0,INDEX(Table2[[#All],[Para (Ticker Daniel)]],MATCH('Input_APM (Zenith)'!F445,Table2[[#All],[De (Lote)]],0)),'Input_APM (Zenith)'!F445))</f>
        <v/>
      </c>
      <c r="M445" s="170" t="str">
        <f t="shared" si="53"/>
        <v/>
      </c>
      <c r="N445" s="171" t="str">
        <f t="shared" si="54"/>
        <v/>
      </c>
      <c r="O445" s="171" t="str">
        <f t="shared" si="55"/>
        <v/>
      </c>
    </row>
    <row r="446" spans="11:15">
      <c r="K446" s="170" t="str">
        <f t="shared" si="52"/>
        <v/>
      </c>
      <c r="L446" s="170" t="str">
        <f>IF(E446="","",IF(COUNTIFS(Table2[[#All],[De (Lote)]],'Input_APM (Zenith)'!F446)&gt;0,INDEX(Table2[[#All],[Para (Ticker Daniel)]],MATCH('Input_APM (Zenith)'!F446,Table2[[#All],[De (Lote)]],0)),'Input_APM (Zenith)'!F446))</f>
        <v/>
      </c>
      <c r="M446" s="170" t="str">
        <f t="shared" si="53"/>
        <v/>
      </c>
      <c r="N446" s="171" t="str">
        <f t="shared" si="54"/>
        <v/>
      </c>
      <c r="O446" s="171" t="str">
        <f t="shared" si="55"/>
        <v/>
      </c>
    </row>
    <row r="447" spans="11:15">
      <c r="K447" s="170" t="str">
        <f t="shared" si="52"/>
        <v/>
      </c>
      <c r="L447" s="170" t="str">
        <f>IF(E447="","",IF(COUNTIFS(Table2[[#All],[De (Lote)]],'Input_APM (Zenith)'!F447)&gt;0,INDEX(Table2[[#All],[Para (Ticker Daniel)]],MATCH('Input_APM (Zenith)'!F447,Table2[[#All],[De (Lote)]],0)),'Input_APM (Zenith)'!F447))</f>
        <v/>
      </c>
      <c r="M447" s="170" t="str">
        <f t="shared" si="53"/>
        <v/>
      </c>
      <c r="N447" s="171" t="str">
        <f t="shared" si="54"/>
        <v/>
      </c>
      <c r="O447" s="171" t="str">
        <f t="shared" si="55"/>
        <v/>
      </c>
    </row>
    <row r="448" spans="11:15">
      <c r="K448" s="170" t="str">
        <f t="shared" si="52"/>
        <v/>
      </c>
      <c r="L448" s="170" t="str">
        <f>IF(E448="","",IF(COUNTIFS(Table2[[#All],[De (Lote)]],'Input_APM (Zenith)'!F448)&gt;0,INDEX(Table2[[#All],[Para (Ticker Daniel)]],MATCH('Input_APM (Zenith)'!F448,Table2[[#All],[De (Lote)]],0)),'Input_APM (Zenith)'!F448))</f>
        <v/>
      </c>
      <c r="M448" s="170" t="str">
        <f t="shared" si="53"/>
        <v/>
      </c>
      <c r="N448" s="171" t="str">
        <f t="shared" si="54"/>
        <v/>
      </c>
      <c r="O448" s="171" t="str">
        <f t="shared" si="55"/>
        <v/>
      </c>
    </row>
    <row r="449" spans="11:15">
      <c r="K449" s="170" t="str">
        <f t="shared" si="52"/>
        <v/>
      </c>
      <c r="L449" s="170" t="str">
        <f>IF(E449="","",IF(COUNTIFS(Table2[[#All],[De (Lote)]],'Input_APM (Zenith)'!F449)&gt;0,INDEX(Table2[[#All],[Para (Ticker Daniel)]],MATCH('Input_APM (Zenith)'!F449,Table2[[#All],[De (Lote)]],0)),'Input_APM (Zenith)'!F449))</f>
        <v/>
      </c>
      <c r="M449" s="170" t="str">
        <f t="shared" si="53"/>
        <v/>
      </c>
      <c r="N449" s="171" t="str">
        <f t="shared" si="54"/>
        <v/>
      </c>
      <c r="O449" s="171" t="str">
        <f t="shared" si="55"/>
        <v/>
      </c>
    </row>
    <row r="450" spans="11:15">
      <c r="K450" s="170" t="str">
        <f t="shared" si="52"/>
        <v/>
      </c>
      <c r="L450" s="170" t="str">
        <f>IF(E450="","",IF(COUNTIFS(Table2[[#All],[De (Lote)]],'Input_APM (Zenith)'!F450)&gt;0,INDEX(Table2[[#All],[Para (Ticker Daniel)]],MATCH('Input_APM (Zenith)'!F450,Table2[[#All],[De (Lote)]],0)),'Input_APM (Zenith)'!F450))</f>
        <v/>
      </c>
      <c r="M450" s="170" t="str">
        <f t="shared" si="53"/>
        <v/>
      </c>
      <c r="N450" s="171" t="str">
        <f t="shared" si="54"/>
        <v/>
      </c>
      <c r="O450" s="171" t="str">
        <f t="shared" si="55"/>
        <v/>
      </c>
    </row>
    <row r="451" spans="11:15">
      <c r="K451" s="170" t="str">
        <f t="shared" si="52"/>
        <v/>
      </c>
      <c r="L451" s="170" t="str">
        <f>IF(E451="","",IF(COUNTIFS(Table2[[#All],[De (Lote)]],'Input_APM (Zenith)'!F451)&gt;0,INDEX(Table2[[#All],[Para (Ticker Daniel)]],MATCH('Input_APM (Zenith)'!F451,Table2[[#All],[De (Lote)]],0)),'Input_APM (Zenith)'!F451))</f>
        <v/>
      </c>
      <c r="M451" s="170" t="str">
        <f t="shared" si="53"/>
        <v/>
      </c>
      <c r="N451" s="171" t="str">
        <f t="shared" si="54"/>
        <v/>
      </c>
      <c r="O451" s="171" t="str">
        <f t="shared" si="55"/>
        <v/>
      </c>
    </row>
    <row r="452" spans="11:15">
      <c r="K452" s="170" t="str">
        <f t="shared" si="52"/>
        <v/>
      </c>
      <c r="L452" s="170" t="str">
        <f>IF(E452="","",IF(COUNTIFS(Table2[[#All],[De (Lote)]],'Input_APM (Zenith)'!F452)&gt;0,INDEX(Table2[[#All],[Para (Ticker Daniel)]],MATCH('Input_APM (Zenith)'!F452,Table2[[#All],[De (Lote)]],0)),'Input_APM (Zenith)'!F452))</f>
        <v/>
      </c>
      <c r="M452" s="170" t="str">
        <f t="shared" si="53"/>
        <v/>
      </c>
      <c r="N452" s="171" t="str">
        <f t="shared" si="54"/>
        <v/>
      </c>
      <c r="O452" s="171" t="str">
        <f t="shared" si="55"/>
        <v/>
      </c>
    </row>
    <row r="453" spans="11:15">
      <c r="K453" s="170" t="str">
        <f t="shared" si="52"/>
        <v/>
      </c>
      <c r="L453" s="170" t="str">
        <f>IF(E453="","",IF(COUNTIFS(Table2[[#All],[De (Lote)]],'Input_APM (Zenith)'!F453)&gt;0,INDEX(Table2[[#All],[Para (Ticker Daniel)]],MATCH('Input_APM (Zenith)'!F453,Table2[[#All],[De (Lote)]],0)),'Input_APM (Zenith)'!F453))</f>
        <v/>
      </c>
      <c r="M453" s="170" t="str">
        <f t="shared" si="53"/>
        <v/>
      </c>
      <c r="N453" s="171" t="str">
        <f t="shared" si="54"/>
        <v/>
      </c>
      <c r="O453" s="171" t="str">
        <f t="shared" si="55"/>
        <v/>
      </c>
    </row>
    <row r="454" spans="11:15">
      <c r="K454" s="170" t="str">
        <f t="shared" si="52"/>
        <v/>
      </c>
      <c r="L454" s="170" t="str">
        <f>IF(E454="","",IF(COUNTIFS(Table2[[#All],[De (Lote)]],'Input_APM (Zenith)'!F454)&gt;0,INDEX(Table2[[#All],[Para (Ticker Daniel)]],MATCH('Input_APM (Zenith)'!F454,Table2[[#All],[De (Lote)]],0)),'Input_APM (Zenith)'!F454))</f>
        <v/>
      </c>
      <c r="M454" s="170" t="str">
        <f t="shared" si="53"/>
        <v/>
      </c>
      <c r="N454" s="171" t="str">
        <f t="shared" si="54"/>
        <v/>
      </c>
      <c r="O454" s="171" t="str">
        <f t="shared" si="55"/>
        <v/>
      </c>
    </row>
    <row r="455" spans="11:15">
      <c r="K455" s="170" t="str">
        <f t="shared" si="52"/>
        <v/>
      </c>
      <c r="L455" s="170" t="str">
        <f>IF(E455="","",IF(COUNTIFS(Table2[[#All],[De (Lote)]],'Input_APM (Zenith)'!F455)&gt;0,INDEX(Table2[[#All],[Para (Ticker Daniel)]],MATCH('Input_APM (Zenith)'!F455,Table2[[#All],[De (Lote)]],0)),'Input_APM (Zenith)'!F455))</f>
        <v/>
      </c>
      <c r="M455" s="170" t="str">
        <f t="shared" si="53"/>
        <v/>
      </c>
      <c r="N455" s="171" t="str">
        <f t="shared" si="54"/>
        <v/>
      </c>
      <c r="O455" s="171" t="str">
        <f t="shared" si="55"/>
        <v/>
      </c>
    </row>
    <row r="456" spans="11:15">
      <c r="K456" s="170" t="str">
        <f t="shared" si="52"/>
        <v/>
      </c>
      <c r="L456" s="170" t="str">
        <f>IF(E456="","",IF(COUNTIFS(Table2[[#All],[De (Lote)]],'Input_APM (Zenith)'!F456)&gt;0,INDEX(Table2[[#All],[Para (Ticker Daniel)]],MATCH('Input_APM (Zenith)'!F456,Table2[[#All],[De (Lote)]],0)),'Input_APM (Zenith)'!F456))</f>
        <v/>
      </c>
      <c r="M456" s="170" t="str">
        <f t="shared" si="53"/>
        <v/>
      </c>
      <c r="N456" s="171" t="str">
        <f t="shared" si="54"/>
        <v/>
      </c>
      <c r="O456" s="171" t="str">
        <f t="shared" si="55"/>
        <v/>
      </c>
    </row>
    <row r="457" spans="11:15">
      <c r="K457" s="170" t="str">
        <f t="shared" si="52"/>
        <v/>
      </c>
      <c r="L457" s="170" t="str">
        <f>IF(E457="","",IF(COUNTIFS(Table2[[#All],[De (Lote)]],'Input_APM (Zenith)'!F457)&gt;0,INDEX(Table2[[#All],[Para (Ticker Daniel)]],MATCH('Input_APM (Zenith)'!F457,Table2[[#All],[De (Lote)]],0)),'Input_APM (Zenith)'!F457))</f>
        <v/>
      </c>
      <c r="M457" s="170" t="str">
        <f t="shared" si="53"/>
        <v/>
      </c>
      <c r="N457" s="171" t="str">
        <f t="shared" si="54"/>
        <v/>
      </c>
      <c r="O457" s="171" t="str">
        <f t="shared" si="55"/>
        <v/>
      </c>
    </row>
    <row r="458" spans="11:15">
      <c r="K458" s="170" t="str">
        <f t="shared" si="52"/>
        <v/>
      </c>
      <c r="L458" s="170" t="str">
        <f>IF(E458="","",IF(COUNTIFS(Table2[[#All],[De (Lote)]],'Input_APM (Zenith)'!F458)&gt;0,INDEX(Table2[[#All],[Para (Ticker Daniel)]],MATCH('Input_APM (Zenith)'!F458,Table2[[#All],[De (Lote)]],0)),'Input_APM (Zenith)'!F458))</f>
        <v/>
      </c>
      <c r="M458" s="170" t="str">
        <f t="shared" si="53"/>
        <v/>
      </c>
      <c r="N458" s="171" t="str">
        <f t="shared" si="54"/>
        <v/>
      </c>
      <c r="O458" s="171" t="str">
        <f t="shared" si="55"/>
        <v/>
      </c>
    </row>
    <row r="459" spans="11:15">
      <c r="K459" s="170" t="str">
        <f t="shared" si="52"/>
        <v/>
      </c>
      <c r="L459" s="170" t="str">
        <f>IF(E459="","",IF(COUNTIFS(Table2[[#All],[De (Lote)]],'Input_APM (Zenith)'!F459)&gt;0,INDEX(Table2[[#All],[Para (Ticker Daniel)]],MATCH('Input_APM (Zenith)'!F459,Table2[[#All],[De (Lote)]],0)),'Input_APM (Zenith)'!F459))</f>
        <v/>
      </c>
      <c r="M459" s="170" t="str">
        <f t="shared" si="53"/>
        <v/>
      </c>
      <c r="N459" s="171" t="str">
        <f t="shared" si="54"/>
        <v/>
      </c>
      <c r="O459" s="171" t="str">
        <f t="shared" si="55"/>
        <v/>
      </c>
    </row>
    <row r="460" spans="11:15">
      <c r="K460" s="170" t="str">
        <f t="shared" si="52"/>
        <v/>
      </c>
      <c r="L460" s="170" t="str">
        <f>IF(E460="","",IF(COUNTIFS(Table2[[#All],[De (Lote)]],'Input_APM (Zenith)'!F460)&gt;0,INDEX(Table2[[#All],[Para (Ticker Daniel)]],MATCH('Input_APM (Zenith)'!F460,Table2[[#All],[De (Lote)]],0)),'Input_APM (Zenith)'!F460))</f>
        <v/>
      </c>
      <c r="M460" s="170" t="str">
        <f t="shared" si="53"/>
        <v/>
      </c>
      <c r="N460" s="171" t="str">
        <f t="shared" si="54"/>
        <v/>
      </c>
      <c r="O460" s="171" t="str">
        <f t="shared" si="55"/>
        <v/>
      </c>
    </row>
    <row r="461" spans="11:15">
      <c r="K461" s="170" t="str">
        <f t="shared" si="52"/>
        <v/>
      </c>
      <c r="L461" s="170" t="str">
        <f>IF(E461="","",IF(COUNTIFS(Table2[[#All],[De (Lote)]],'Input_APM (Zenith)'!F461)&gt;0,INDEX(Table2[[#All],[Para (Ticker Daniel)]],MATCH('Input_APM (Zenith)'!F461,Table2[[#All],[De (Lote)]],0)),'Input_APM (Zenith)'!F461))</f>
        <v/>
      </c>
      <c r="M461" s="170" t="str">
        <f t="shared" si="53"/>
        <v/>
      </c>
      <c r="N461" s="171" t="str">
        <f t="shared" si="54"/>
        <v/>
      </c>
      <c r="O461" s="171" t="str">
        <f t="shared" si="55"/>
        <v/>
      </c>
    </row>
    <row r="462" spans="11:15">
      <c r="K462" s="170" t="str">
        <f t="shared" si="52"/>
        <v/>
      </c>
      <c r="L462" s="170" t="str">
        <f>IF(E462="","",IF(COUNTIFS(Table2[[#All],[De (Lote)]],'Input_APM (Zenith)'!F462)&gt;0,INDEX(Table2[[#All],[Para (Ticker Daniel)]],MATCH('Input_APM (Zenith)'!F462,Table2[[#All],[De (Lote)]],0)),'Input_APM (Zenith)'!F462))</f>
        <v/>
      </c>
      <c r="M462" s="170" t="str">
        <f t="shared" si="53"/>
        <v/>
      </c>
      <c r="N462" s="171" t="str">
        <f t="shared" si="54"/>
        <v/>
      </c>
      <c r="O462" s="171" t="str">
        <f t="shared" si="55"/>
        <v/>
      </c>
    </row>
    <row r="463" spans="11:15">
      <c r="K463" s="170" t="str">
        <f t="shared" si="52"/>
        <v/>
      </c>
      <c r="L463" s="170" t="str">
        <f>IF(E463="","",IF(COUNTIFS(Table2[[#All],[De (Lote)]],'Input_APM (Zenith)'!F463)&gt;0,INDEX(Table2[[#All],[Para (Ticker Daniel)]],MATCH('Input_APM (Zenith)'!F463,Table2[[#All],[De (Lote)]],0)),'Input_APM (Zenith)'!F463))</f>
        <v/>
      </c>
      <c r="M463" s="170" t="str">
        <f t="shared" si="53"/>
        <v/>
      </c>
      <c r="N463" s="171" t="str">
        <f t="shared" si="54"/>
        <v/>
      </c>
      <c r="O463" s="171" t="str">
        <f t="shared" si="55"/>
        <v/>
      </c>
    </row>
    <row r="464" spans="11:15">
      <c r="K464" s="170" t="str">
        <f t="shared" si="52"/>
        <v/>
      </c>
      <c r="L464" s="170" t="str">
        <f>IF(E464="","",IF(COUNTIFS(Table2[[#All],[De (Lote)]],'Input_APM (Zenith)'!F464)&gt;0,INDEX(Table2[[#All],[Para (Ticker Daniel)]],MATCH('Input_APM (Zenith)'!F464,Table2[[#All],[De (Lote)]],0)),'Input_APM (Zenith)'!F464))</f>
        <v/>
      </c>
      <c r="M464" s="170" t="str">
        <f t="shared" si="53"/>
        <v/>
      </c>
      <c r="N464" s="171" t="str">
        <f t="shared" si="54"/>
        <v/>
      </c>
      <c r="O464" s="171" t="str">
        <f t="shared" si="55"/>
        <v/>
      </c>
    </row>
    <row r="465" spans="11:15">
      <c r="K465" s="170" t="str">
        <f t="shared" si="52"/>
        <v/>
      </c>
      <c r="L465" s="170" t="str">
        <f>IF(E465="","",IF(COUNTIFS(Table2[[#All],[De (Lote)]],'Input_APM (Zenith)'!F465)&gt;0,INDEX(Table2[[#All],[Para (Ticker Daniel)]],MATCH('Input_APM (Zenith)'!F465,Table2[[#All],[De (Lote)]],0)),'Input_APM (Zenith)'!F465))</f>
        <v/>
      </c>
      <c r="M465" s="170" t="str">
        <f t="shared" si="53"/>
        <v/>
      </c>
      <c r="N465" s="171" t="str">
        <f t="shared" si="54"/>
        <v/>
      </c>
      <c r="O465" s="171" t="str">
        <f t="shared" si="55"/>
        <v/>
      </c>
    </row>
    <row r="466" spans="11:15">
      <c r="K466" s="170" t="str">
        <f t="shared" si="52"/>
        <v/>
      </c>
      <c r="L466" s="170" t="str">
        <f>IF(E466="","",IF(COUNTIFS(Table2[[#All],[De (Lote)]],'Input_APM (Zenith)'!F466)&gt;0,INDEX(Table2[[#All],[Para (Ticker Daniel)]],MATCH('Input_APM (Zenith)'!F466,Table2[[#All],[De (Lote)]],0)),'Input_APM (Zenith)'!F466))</f>
        <v/>
      </c>
      <c r="M466" s="170" t="str">
        <f t="shared" si="53"/>
        <v/>
      </c>
      <c r="N466" s="171" t="str">
        <f t="shared" si="54"/>
        <v/>
      </c>
      <c r="O466" s="171" t="str">
        <f t="shared" si="55"/>
        <v/>
      </c>
    </row>
    <row r="467" spans="11:15">
      <c r="K467" s="170" t="str">
        <f t="shared" si="52"/>
        <v/>
      </c>
      <c r="L467" s="170" t="str">
        <f>IF(E467="","",IF(COUNTIFS(Table2[[#All],[De (Lote)]],'Input_APM (Zenith)'!F467)&gt;0,INDEX(Table2[[#All],[Para (Ticker Daniel)]],MATCH('Input_APM (Zenith)'!F467,Table2[[#All],[De (Lote)]],0)),'Input_APM (Zenith)'!F467))</f>
        <v/>
      </c>
      <c r="M467" s="170" t="str">
        <f t="shared" si="53"/>
        <v/>
      </c>
      <c r="N467" s="171" t="str">
        <f t="shared" si="54"/>
        <v/>
      </c>
      <c r="O467" s="171" t="str">
        <f t="shared" si="55"/>
        <v/>
      </c>
    </row>
    <row r="468" spans="11:15">
      <c r="K468" s="170" t="str">
        <f t="shared" si="52"/>
        <v/>
      </c>
      <c r="L468" s="170" t="str">
        <f>IF(E468="","",IF(COUNTIFS(Table2[[#All],[De (Lote)]],'Input_APM (Zenith)'!F468)&gt;0,INDEX(Table2[[#All],[Para (Ticker Daniel)]],MATCH('Input_APM (Zenith)'!F468,Table2[[#All],[De (Lote)]],0)),'Input_APM (Zenith)'!F468))</f>
        <v/>
      </c>
      <c r="M468" s="170" t="str">
        <f t="shared" si="53"/>
        <v/>
      </c>
      <c r="N468" s="171" t="str">
        <f t="shared" si="54"/>
        <v/>
      </c>
      <c r="O468" s="171" t="str">
        <f t="shared" si="55"/>
        <v/>
      </c>
    </row>
    <row r="469" spans="11:15">
      <c r="K469" s="170" t="str">
        <f t="shared" si="52"/>
        <v/>
      </c>
      <c r="L469" s="170" t="str">
        <f>IF(E469="","",IF(COUNTIFS(Table2[[#All],[De (Lote)]],'Input_APM (Zenith)'!F469)&gt;0,INDEX(Table2[[#All],[Para (Ticker Daniel)]],MATCH('Input_APM (Zenith)'!F469,Table2[[#All],[De (Lote)]],0)),'Input_APM (Zenith)'!F469))</f>
        <v/>
      </c>
      <c r="M469" s="170" t="str">
        <f t="shared" si="53"/>
        <v/>
      </c>
      <c r="N469" s="171" t="str">
        <f t="shared" si="54"/>
        <v/>
      </c>
      <c r="O469" s="171" t="str">
        <f t="shared" si="55"/>
        <v/>
      </c>
    </row>
    <row r="470" spans="11:15">
      <c r="K470" s="170" t="str">
        <f t="shared" si="52"/>
        <v/>
      </c>
      <c r="L470" s="170" t="str">
        <f>IF(E470="","",IF(COUNTIFS(Table2[[#All],[De (Lote)]],'Input_APM (Zenith)'!F470)&gt;0,INDEX(Table2[[#All],[Para (Ticker Daniel)]],MATCH('Input_APM (Zenith)'!F470,Table2[[#All],[De (Lote)]],0)),'Input_APM (Zenith)'!F470))</f>
        <v/>
      </c>
      <c r="M470" s="170" t="str">
        <f t="shared" si="53"/>
        <v/>
      </c>
      <c r="N470" s="171" t="str">
        <f t="shared" si="54"/>
        <v/>
      </c>
      <c r="O470" s="171" t="str">
        <f t="shared" si="55"/>
        <v/>
      </c>
    </row>
    <row r="471" spans="11:15">
      <c r="K471" s="170" t="str">
        <f t="shared" si="52"/>
        <v/>
      </c>
      <c r="L471" s="170" t="str">
        <f>IF(E471="","",IF(COUNTIFS(Table2[[#All],[De (Lote)]],'Input_APM (Zenith)'!F471)&gt;0,INDEX(Table2[[#All],[Para (Ticker Daniel)]],MATCH('Input_APM (Zenith)'!F471,Table2[[#All],[De (Lote)]],0)),'Input_APM (Zenith)'!F471))</f>
        <v/>
      </c>
      <c r="M471" s="170" t="str">
        <f t="shared" si="53"/>
        <v/>
      </c>
      <c r="N471" s="171" t="str">
        <f t="shared" si="54"/>
        <v/>
      </c>
      <c r="O471" s="171" t="str">
        <f t="shared" si="55"/>
        <v/>
      </c>
    </row>
    <row r="472" spans="11:15">
      <c r="K472" s="170" t="str">
        <f t="shared" si="52"/>
        <v/>
      </c>
      <c r="L472" s="170" t="str">
        <f>IF(E472="","",IF(COUNTIFS(Table2[[#All],[De (Lote)]],'Input_APM (Zenith)'!F472)&gt;0,INDEX(Table2[[#All],[Para (Ticker Daniel)]],MATCH('Input_APM (Zenith)'!F472,Table2[[#All],[De (Lote)]],0)),'Input_APM (Zenith)'!F472))</f>
        <v/>
      </c>
      <c r="M472" s="170" t="str">
        <f t="shared" si="53"/>
        <v/>
      </c>
      <c r="N472" s="171" t="str">
        <f t="shared" si="54"/>
        <v/>
      </c>
      <c r="O472" s="171" t="str">
        <f t="shared" si="55"/>
        <v/>
      </c>
    </row>
    <row r="473" spans="11:15">
      <c r="K473" s="170" t="str">
        <f t="shared" si="52"/>
        <v/>
      </c>
      <c r="L473" s="170" t="str">
        <f>IF(E473="","",IF(COUNTIFS(Table2[[#All],[De (Lote)]],'Input_APM (Zenith)'!F473)&gt;0,INDEX(Table2[[#All],[Para (Ticker Daniel)]],MATCH('Input_APM (Zenith)'!F473,Table2[[#All],[De (Lote)]],0)),'Input_APM (Zenith)'!F473))</f>
        <v/>
      </c>
      <c r="M473" s="170" t="str">
        <f t="shared" si="53"/>
        <v/>
      </c>
      <c r="N473" s="171" t="str">
        <f t="shared" si="54"/>
        <v/>
      </c>
      <c r="O473" s="171" t="str">
        <f t="shared" si="55"/>
        <v/>
      </c>
    </row>
    <row r="474" spans="11:15">
      <c r="K474" s="170" t="str">
        <f t="shared" si="52"/>
        <v/>
      </c>
      <c r="L474" s="170" t="str">
        <f>IF(E474="","",IF(COUNTIFS(Table2[[#All],[De (Lote)]],'Input_APM (Zenith)'!F474)&gt;0,INDEX(Table2[[#All],[Para (Ticker Daniel)]],MATCH('Input_APM (Zenith)'!F474,Table2[[#All],[De (Lote)]],0)),'Input_APM (Zenith)'!F474))</f>
        <v/>
      </c>
      <c r="M474" s="170" t="str">
        <f t="shared" si="53"/>
        <v/>
      </c>
      <c r="N474" s="171" t="str">
        <f t="shared" si="54"/>
        <v/>
      </c>
      <c r="O474" s="171" t="str">
        <f t="shared" si="55"/>
        <v/>
      </c>
    </row>
    <row r="475" spans="11:15">
      <c r="K475" s="170" t="str">
        <f t="shared" si="52"/>
        <v/>
      </c>
      <c r="L475" s="170" t="str">
        <f>IF(E475="","",IF(COUNTIFS(Table2[[#All],[De (Lote)]],'Input_APM (Zenith)'!F475)&gt;0,INDEX(Table2[[#All],[Para (Ticker Daniel)]],MATCH('Input_APM (Zenith)'!F475,Table2[[#All],[De (Lote)]],0)),'Input_APM (Zenith)'!F475))</f>
        <v/>
      </c>
      <c r="M475" s="170" t="str">
        <f t="shared" si="53"/>
        <v/>
      </c>
      <c r="N475" s="171" t="str">
        <f t="shared" si="54"/>
        <v/>
      </c>
      <c r="O475" s="171" t="str">
        <f t="shared" si="55"/>
        <v/>
      </c>
    </row>
    <row r="476" spans="11:15">
      <c r="K476" s="170" t="str">
        <f t="shared" si="52"/>
        <v/>
      </c>
      <c r="L476" s="170" t="str">
        <f>IF(E476="","",IF(COUNTIFS(Table2[[#All],[De (Lote)]],'Input_APM (Zenith)'!F476)&gt;0,INDEX(Table2[[#All],[Para (Ticker Daniel)]],MATCH('Input_APM (Zenith)'!F476,Table2[[#All],[De (Lote)]],0)),'Input_APM (Zenith)'!F476))</f>
        <v/>
      </c>
      <c r="M476" s="170" t="str">
        <f t="shared" si="53"/>
        <v/>
      </c>
      <c r="N476" s="171" t="str">
        <f t="shared" si="54"/>
        <v/>
      </c>
      <c r="O476" s="171" t="str">
        <f t="shared" si="55"/>
        <v/>
      </c>
    </row>
    <row r="477" spans="11:15">
      <c r="K477" s="170" t="str">
        <f t="shared" si="52"/>
        <v/>
      </c>
      <c r="L477" s="170" t="str">
        <f>IF(E477="","",IF(COUNTIFS(Table2[[#All],[De (Lote)]],'Input_APM (Zenith)'!F477)&gt;0,INDEX(Table2[[#All],[Para (Ticker Daniel)]],MATCH('Input_APM (Zenith)'!F477,Table2[[#All],[De (Lote)]],0)),'Input_APM (Zenith)'!F477))</f>
        <v/>
      </c>
      <c r="M477" s="170" t="str">
        <f t="shared" si="53"/>
        <v/>
      </c>
      <c r="N477" s="171" t="str">
        <f t="shared" si="54"/>
        <v/>
      </c>
      <c r="O477" s="171" t="str">
        <f t="shared" si="55"/>
        <v/>
      </c>
    </row>
    <row r="478" spans="11:15">
      <c r="K478" s="170" t="str">
        <f t="shared" si="52"/>
        <v/>
      </c>
      <c r="L478" s="170" t="str">
        <f>IF(E478="","",IF(COUNTIFS(Table2[[#All],[De (Lote)]],'Input_APM (Zenith)'!F478)&gt;0,INDEX(Table2[[#All],[Para (Ticker Daniel)]],MATCH('Input_APM (Zenith)'!F478,Table2[[#All],[De (Lote)]],0)),'Input_APM (Zenith)'!F478))</f>
        <v/>
      </c>
      <c r="M478" s="170" t="str">
        <f t="shared" si="53"/>
        <v/>
      </c>
      <c r="N478" s="171" t="str">
        <f t="shared" si="54"/>
        <v/>
      </c>
      <c r="O478" s="171" t="str">
        <f t="shared" si="55"/>
        <v/>
      </c>
    </row>
    <row r="479" spans="11:15">
      <c r="K479" s="170" t="str">
        <f t="shared" si="52"/>
        <v/>
      </c>
      <c r="L479" s="170" t="str">
        <f>IF(E479="","",IF(COUNTIFS(Table2[[#All],[De (Lote)]],'Input_APM (Zenith)'!F479)&gt;0,INDEX(Table2[[#All],[Para (Ticker Daniel)]],MATCH('Input_APM (Zenith)'!F479,Table2[[#All],[De (Lote)]],0)),'Input_APM (Zenith)'!F479))</f>
        <v/>
      </c>
      <c r="M479" s="170" t="str">
        <f t="shared" si="53"/>
        <v/>
      </c>
      <c r="N479" s="171" t="str">
        <f t="shared" si="54"/>
        <v/>
      </c>
      <c r="O479" s="171" t="str">
        <f t="shared" si="55"/>
        <v/>
      </c>
    </row>
    <row r="480" spans="11:15">
      <c r="K480" s="170" t="str">
        <f t="shared" si="52"/>
        <v/>
      </c>
      <c r="L480" s="170" t="str">
        <f>IF(E480="","",IF(COUNTIFS(Table2[[#All],[De (Lote)]],'Input_APM (Zenith)'!F480)&gt;0,INDEX(Table2[[#All],[Para (Ticker Daniel)]],MATCH('Input_APM (Zenith)'!F480,Table2[[#All],[De (Lote)]],0)),'Input_APM (Zenith)'!F480))</f>
        <v/>
      </c>
      <c r="M480" s="170" t="str">
        <f t="shared" si="53"/>
        <v/>
      </c>
      <c r="N480" s="171" t="str">
        <f t="shared" si="54"/>
        <v/>
      </c>
      <c r="O480" s="171" t="str">
        <f t="shared" si="55"/>
        <v/>
      </c>
    </row>
    <row r="481" spans="11:15">
      <c r="K481" s="170" t="str">
        <f t="shared" si="52"/>
        <v/>
      </c>
      <c r="L481" s="170" t="str">
        <f>IF(E481="","",IF(COUNTIFS(Table2[[#All],[De (Lote)]],'Input_APM (Zenith)'!F481)&gt;0,INDEX(Table2[[#All],[Para (Ticker Daniel)]],MATCH('Input_APM (Zenith)'!F481,Table2[[#All],[De (Lote)]],0)),'Input_APM (Zenith)'!F481))</f>
        <v/>
      </c>
      <c r="M481" s="170" t="str">
        <f t="shared" si="53"/>
        <v/>
      </c>
      <c r="N481" s="171" t="str">
        <f t="shared" si="54"/>
        <v/>
      </c>
      <c r="O481" s="171" t="str">
        <f t="shared" si="55"/>
        <v/>
      </c>
    </row>
    <row r="482" spans="11:15">
      <c r="K482" s="170" t="str">
        <f t="shared" si="52"/>
        <v/>
      </c>
      <c r="L482" s="170" t="str">
        <f>IF(E482="","",IF(COUNTIFS(Table2[[#All],[De (Lote)]],'Input_APM (Zenith)'!F482)&gt;0,INDEX(Table2[[#All],[Para (Ticker Daniel)]],MATCH('Input_APM (Zenith)'!F482,Table2[[#All],[De (Lote)]],0)),'Input_APM (Zenith)'!F482))</f>
        <v/>
      </c>
      <c r="M482" s="170" t="str">
        <f t="shared" si="53"/>
        <v/>
      </c>
      <c r="N482" s="171" t="str">
        <f t="shared" si="54"/>
        <v/>
      </c>
      <c r="O482" s="171" t="str">
        <f t="shared" si="55"/>
        <v/>
      </c>
    </row>
    <row r="483" spans="11:15">
      <c r="K483" s="170" t="str">
        <f t="shared" si="52"/>
        <v/>
      </c>
      <c r="L483" s="170" t="str">
        <f>IF(E483="","",IF(COUNTIFS(Table2[[#All],[De (Lote)]],'Input_APM (Zenith)'!F483)&gt;0,INDEX(Table2[[#All],[Para (Ticker Daniel)]],MATCH('Input_APM (Zenith)'!F483,Table2[[#All],[De (Lote)]],0)),'Input_APM (Zenith)'!F483))</f>
        <v/>
      </c>
      <c r="M483" s="170" t="str">
        <f t="shared" si="53"/>
        <v/>
      </c>
      <c r="N483" s="171" t="str">
        <f t="shared" si="54"/>
        <v/>
      </c>
      <c r="O483" s="171" t="str">
        <f t="shared" si="55"/>
        <v/>
      </c>
    </row>
    <row r="484" spans="11:15">
      <c r="K484" s="170" t="str">
        <f t="shared" si="52"/>
        <v/>
      </c>
      <c r="L484" s="170" t="str">
        <f>IF(E484="","",IF(COUNTIFS(Table2[[#All],[De (Lote)]],'Input_APM (Zenith)'!F484)&gt;0,INDEX(Table2[[#All],[Para (Ticker Daniel)]],MATCH('Input_APM (Zenith)'!F484,Table2[[#All],[De (Lote)]],0)),'Input_APM (Zenith)'!F484))</f>
        <v/>
      </c>
      <c r="M484" s="170" t="str">
        <f t="shared" si="53"/>
        <v/>
      </c>
      <c r="N484" s="171" t="str">
        <f t="shared" si="54"/>
        <v/>
      </c>
      <c r="O484" s="171" t="str">
        <f t="shared" si="55"/>
        <v/>
      </c>
    </row>
    <row r="485" spans="11:15">
      <c r="K485" s="170" t="str">
        <f t="shared" si="52"/>
        <v/>
      </c>
      <c r="L485" s="170" t="str">
        <f>IF(E485="","",IF(COUNTIFS(Table2[[#All],[De (Lote)]],'Input_APM (Zenith)'!F485)&gt;0,INDEX(Table2[[#All],[Para (Ticker Daniel)]],MATCH('Input_APM (Zenith)'!F485,Table2[[#All],[De (Lote)]],0)),'Input_APM (Zenith)'!F485))</f>
        <v/>
      </c>
      <c r="M485" s="170" t="str">
        <f t="shared" si="53"/>
        <v/>
      </c>
      <c r="N485" s="171" t="str">
        <f t="shared" si="54"/>
        <v/>
      </c>
      <c r="O485" s="171" t="str">
        <f t="shared" si="55"/>
        <v/>
      </c>
    </row>
    <row r="486" spans="11:15">
      <c r="K486" s="170" t="str">
        <f t="shared" ref="K486:K512" si="56">IF(E486="","",E486)</f>
        <v/>
      </c>
      <c r="L486" s="170" t="str">
        <f>IF(E486="","",IF(COUNTIFS(Table2[[#All],[De (Lote)]],'Input_APM (Zenith)'!F486)&gt;0,INDEX(Table2[[#All],[Para (Ticker Daniel)]],MATCH('Input_APM (Zenith)'!F486,Table2[[#All],[De (Lote)]],0)),'Input_APM (Zenith)'!F486))</f>
        <v/>
      </c>
      <c r="M486" s="170" t="str">
        <f t="shared" ref="M486:M512" si="57">IF(E486="","",G486)</f>
        <v/>
      </c>
      <c r="N486" s="171" t="str">
        <f t="shared" ref="N486:N512" si="58">IF(E486="","",H486)</f>
        <v/>
      </c>
      <c r="O486" s="171" t="str">
        <f t="shared" ref="O486:O512" si="59">IF(E486="","",I486)</f>
        <v/>
      </c>
    </row>
    <row r="487" spans="11:15">
      <c r="K487" s="170" t="str">
        <f t="shared" si="56"/>
        <v/>
      </c>
      <c r="L487" s="170" t="str">
        <f>IF(E487="","",IF(COUNTIFS(Table2[[#All],[De (Lote)]],'Input_APM (Zenith)'!F487)&gt;0,INDEX(Table2[[#All],[Para (Ticker Daniel)]],MATCH('Input_APM (Zenith)'!F487,Table2[[#All],[De (Lote)]],0)),'Input_APM (Zenith)'!F487))</f>
        <v/>
      </c>
      <c r="M487" s="170" t="str">
        <f t="shared" si="57"/>
        <v/>
      </c>
      <c r="N487" s="171" t="str">
        <f t="shared" si="58"/>
        <v/>
      </c>
      <c r="O487" s="171" t="str">
        <f t="shared" si="59"/>
        <v/>
      </c>
    </row>
    <row r="488" spans="11:15">
      <c r="K488" s="170" t="str">
        <f t="shared" si="56"/>
        <v/>
      </c>
      <c r="L488" s="170" t="str">
        <f>IF(E488="","",IF(COUNTIFS(Table2[[#All],[De (Lote)]],'Input_APM (Zenith)'!F488)&gt;0,INDEX(Table2[[#All],[Para (Ticker Daniel)]],MATCH('Input_APM (Zenith)'!F488,Table2[[#All],[De (Lote)]],0)),'Input_APM (Zenith)'!F488))</f>
        <v/>
      </c>
      <c r="M488" s="170" t="str">
        <f t="shared" si="57"/>
        <v/>
      </c>
      <c r="N488" s="171" t="str">
        <f t="shared" si="58"/>
        <v/>
      </c>
      <c r="O488" s="171" t="str">
        <f t="shared" si="59"/>
        <v/>
      </c>
    </row>
    <row r="489" spans="11:15">
      <c r="K489" s="170" t="str">
        <f t="shared" si="56"/>
        <v/>
      </c>
      <c r="L489" s="170" t="str">
        <f>IF(E489="","",IF(COUNTIFS(Table2[[#All],[De (Lote)]],'Input_APM (Zenith)'!F489)&gt;0,INDEX(Table2[[#All],[Para (Ticker Daniel)]],MATCH('Input_APM (Zenith)'!F489,Table2[[#All],[De (Lote)]],0)),'Input_APM (Zenith)'!F489))</f>
        <v/>
      </c>
      <c r="M489" s="170" t="str">
        <f t="shared" si="57"/>
        <v/>
      </c>
      <c r="N489" s="171" t="str">
        <f t="shared" si="58"/>
        <v/>
      </c>
      <c r="O489" s="171" t="str">
        <f t="shared" si="59"/>
        <v/>
      </c>
    </row>
    <row r="490" spans="11:15">
      <c r="K490" s="170" t="str">
        <f t="shared" si="56"/>
        <v/>
      </c>
      <c r="L490" s="170" t="str">
        <f>IF(E490="","",IF(COUNTIFS(Table2[[#All],[De (Lote)]],'Input_APM (Zenith)'!F490)&gt;0,INDEX(Table2[[#All],[Para (Ticker Daniel)]],MATCH('Input_APM (Zenith)'!F490,Table2[[#All],[De (Lote)]],0)),'Input_APM (Zenith)'!F490))</f>
        <v/>
      </c>
      <c r="M490" s="170" t="str">
        <f t="shared" si="57"/>
        <v/>
      </c>
      <c r="N490" s="171" t="str">
        <f t="shared" si="58"/>
        <v/>
      </c>
      <c r="O490" s="171" t="str">
        <f t="shared" si="59"/>
        <v/>
      </c>
    </row>
    <row r="491" spans="11:15">
      <c r="K491" s="170" t="str">
        <f t="shared" si="56"/>
        <v/>
      </c>
      <c r="L491" s="170" t="str">
        <f>IF(E491="","",IF(COUNTIFS(Table2[[#All],[De (Lote)]],'Input_APM (Zenith)'!F491)&gt;0,INDEX(Table2[[#All],[Para (Ticker Daniel)]],MATCH('Input_APM (Zenith)'!F491,Table2[[#All],[De (Lote)]],0)),'Input_APM (Zenith)'!F491))</f>
        <v/>
      </c>
      <c r="M491" s="170" t="str">
        <f t="shared" si="57"/>
        <v/>
      </c>
      <c r="N491" s="171" t="str">
        <f t="shared" si="58"/>
        <v/>
      </c>
      <c r="O491" s="171" t="str">
        <f t="shared" si="59"/>
        <v/>
      </c>
    </row>
    <row r="492" spans="11:15">
      <c r="K492" s="170" t="str">
        <f t="shared" si="56"/>
        <v/>
      </c>
      <c r="L492" s="170" t="str">
        <f>IF(E492="","",IF(COUNTIFS(Table2[[#All],[De (Lote)]],'Input_APM (Zenith)'!F492)&gt;0,INDEX(Table2[[#All],[Para (Ticker Daniel)]],MATCH('Input_APM (Zenith)'!F492,Table2[[#All],[De (Lote)]],0)),'Input_APM (Zenith)'!F492))</f>
        <v/>
      </c>
      <c r="M492" s="170" t="str">
        <f t="shared" si="57"/>
        <v/>
      </c>
      <c r="N492" s="171" t="str">
        <f t="shared" si="58"/>
        <v/>
      </c>
      <c r="O492" s="171" t="str">
        <f t="shared" si="59"/>
        <v/>
      </c>
    </row>
    <row r="493" spans="11:15">
      <c r="K493" s="170" t="str">
        <f t="shared" si="56"/>
        <v/>
      </c>
      <c r="L493" s="170" t="str">
        <f>IF(E493="","",IF(COUNTIFS(Table2[[#All],[De (Lote)]],'Input_APM (Zenith)'!F493)&gt;0,INDEX(Table2[[#All],[Para (Ticker Daniel)]],MATCH('Input_APM (Zenith)'!F493,Table2[[#All],[De (Lote)]],0)),'Input_APM (Zenith)'!F493))</f>
        <v/>
      </c>
      <c r="M493" s="170" t="str">
        <f t="shared" si="57"/>
        <v/>
      </c>
      <c r="N493" s="171" t="str">
        <f t="shared" si="58"/>
        <v/>
      </c>
      <c r="O493" s="171" t="str">
        <f t="shared" si="59"/>
        <v/>
      </c>
    </row>
    <row r="494" spans="11:15">
      <c r="K494" s="170" t="str">
        <f t="shared" si="56"/>
        <v/>
      </c>
      <c r="L494" s="170" t="str">
        <f>IF(E494="","",IF(COUNTIFS(Table2[[#All],[De (Lote)]],'Input_APM (Zenith)'!F494)&gt;0,INDEX(Table2[[#All],[Para (Ticker Daniel)]],MATCH('Input_APM (Zenith)'!F494,Table2[[#All],[De (Lote)]],0)),'Input_APM (Zenith)'!F494))</f>
        <v/>
      </c>
      <c r="M494" s="170" t="str">
        <f t="shared" si="57"/>
        <v/>
      </c>
      <c r="N494" s="171" t="str">
        <f t="shared" si="58"/>
        <v/>
      </c>
      <c r="O494" s="171" t="str">
        <f t="shared" si="59"/>
        <v/>
      </c>
    </row>
    <row r="495" spans="11:15">
      <c r="K495" s="170" t="str">
        <f t="shared" si="56"/>
        <v/>
      </c>
      <c r="L495" s="170" t="str">
        <f>IF(E495="","",IF(COUNTIFS(Table2[[#All],[De (Lote)]],'Input_APM (Zenith)'!F495)&gt;0,INDEX(Table2[[#All],[Para (Ticker Daniel)]],MATCH('Input_APM (Zenith)'!F495,Table2[[#All],[De (Lote)]],0)),'Input_APM (Zenith)'!F495))</f>
        <v/>
      </c>
      <c r="M495" s="170" t="str">
        <f t="shared" si="57"/>
        <v/>
      </c>
      <c r="N495" s="171" t="str">
        <f t="shared" si="58"/>
        <v/>
      </c>
      <c r="O495" s="171" t="str">
        <f t="shared" si="59"/>
        <v/>
      </c>
    </row>
    <row r="496" spans="11:15">
      <c r="K496" s="170" t="str">
        <f t="shared" si="56"/>
        <v/>
      </c>
      <c r="L496" s="170" t="str">
        <f>IF(E496="","",IF(COUNTIFS(Table2[[#All],[De (Lote)]],'Input_APM (Zenith)'!F496)&gt;0,INDEX(Table2[[#All],[Para (Ticker Daniel)]],MATCH('Input_APM (Zenith)'!F496,Table2[[#All],[De (Lote)]],0)),'Input_APM (Zenith)'!F496))</f>
        <v/>
      </c>
      <c r="M496" s="170" t="str">
        <f t="shared" si="57"/>
        <v/>
      </c>
      <c r="N496" s="171" t="str">
        <f t="shared" si="58"/>
        <v/>
      </c>
      <c r="O496" s="171" t="str">
        <f t="shared" si="59"/>
        <v/>
      </c>
    </row>
    <row r="497" spans="11:15">
      <c r="K497" s="170" t="str">
        <f t="shared" si="56"/>
        <v/>
      </c>
      <c r="L497" s="170" t="str">
        <f>IF(E497="","",IF(COUNTIFS(Table2[[#All],[De (Lote)]],'Input_APM (Zenith)'!F497)&gt;0,INDEX(Table2[[#All],[Para (Ticker Daniel)]],MATCH('Input_APM (Zenith)'!F497,Table2[[#All],[De (Lote)]],0)),'Input_APM (Zenith)'!F497))</f>
        <v/>
      </c>
      <c r="M497" s="170" t="str">
        <f t="shared" si="57"/>
        <v/>
      </c>
      <c r="N497" s="171" t="str">
        <f t="shared" si="58"/>
        <v/>
      </c>
      <c r="O497" s="171" t="str">
        <f t="shared" si="59"/>
        <v/>
      </c>
    </row>
    <row r="498" spans="11:15">
      <c r="K498" s="170" t="str">
        <f t="shared" si="56"/>
        <v/>
      </c>
      <c r="L498" s="170" t="str">
        <f>IF(E498="","",IF(COUNTIFS(Table2[[#All],[De (Lote)]],'Input_APM (Zenith)'!F498)&gt;0,INDEX(Table2[[#All],[Para (Ticker Daniel)]],MATCH('Input_APM (Zenith)'!F498,Table2[[#All],[De (Lote)]],0)),'Input_APM (Zenith)'!F498))</f>
        <v/>
      </c>
      <c r="M498" s="170" t="str">
        <f t="shared" si="57"/>
        <v/>
      </c>
      <c r="N498" s="171" t="str">
        <f t="shared" si="58"/>
        <v/>
      </c>
      <c r="O498" s="171" t="str">
        <f t="shared" si="59"/>
        <v/>
      </c>
    </row>
    <row r="499" spans="11:15">
      <c r="K499" s="170" t="str">
        <f t="shared" si="56"/>
        <v/>
      </c>
      <c r="L499" s="170" t="str">
        <f>IF(E499="","",IF(COUNTIFS(Table2[[#All],[De (Lote)]],'Input_APM (Zenith)'!F499)&gt;0,INDEX(Table2[[#All],[Para (Ticker Daniel)]],MATCH('Input_APM (Zenith)'!F499,Table2[[#All],[De (Lote)]],0)),'Input_APM (Zenith)'!F499))</f>
        <v/>
      </c>
      <c r="M499" s="170" t="str">
        <f t="shared" si="57"/>
        <v/>
      </c>
      <c r="N499" s="171" t="str">
        <f t="shared" si="58"/>
        <v/>
      </c>
      <c r="O499" s="171" t="str">
        <f t="shared" si="59"/>
        <v/>
      </c>
    </row>
    <row r="500" spans="11:15">
      <c r="K500" s="170" t="str">
        <f t="shared" si="56"/>
        <v/>
      </c>
      <c r="L500" s="170" t="str">
        <f>IF(E500="","",IF(COUNTIFS(Table2[[#All],[De (Lote)]],'Input_APM (Zenith)'!F500)&gt;0,INDEX(Table2[[#All],[Para (Ticker Daniel)]],MATCH('Input_APM (Zenith)'!F500,Table2[[#All],[De (Lote)]],0)),'Input_APM (Zenith)'!F500))</f>
        <v/>
      </c>
      <c r="M500" s="170" t="str">
        <f t="shared" si="57"/>
        <v/>
      </c>
      <c r="N500" s="171" t="str">
        <f t="shared" si="58"/>
        <v/>
      </c>
      <c r="O500" s="171" t="str">
        <f t="shared" si="59"/>
        <v/>
      </c>
    </row>
    <row r="501" spans="11:15">
      <c r="K501" s="170" t="str">
        <f t="shared" si="56"/>
        <v/>
      </c>
      <c r="L501" s="170" t="str">
        <f>IF(E501="","",IF(COUNTIFS(Table2[[#All],[De (Lote)]],'Input_APM (Zenith)'!F501)&gt;0,INDEX(Table2[[#All],[Para (Ticker Daniel)]],MATCH('Input_APM (Zenith)'!F501,Table2[[#All],[De (Lote)]],0)),'Input_APM (Zenith)'!F501))</f>
        <v/>
      </c>
      <c r="M501" s="170" t="str">
        <f t="shared" si="57"/>
        <v/>
      </c>
      <c r="N501" s="171" t="str">
        <f t="shared" si="58"/>
        <v/>
      </c>
      <c r="O501" s="171" t="str">
        <f t="shared" si="59"/>
        <v/>
      </c>
    </row>
    <row r="502" spans="11:15">
      <c r="K502" s="170" t="str">
        <f t="shared" si="56"/>
        <v/>
      </c>
      <c r="L502" s="170" t="str">
        <f>IF(E502="","",IF(COUNTIFS(Table2[[#All],[De (Lote)]],'Input_APM (Zenith)'!F502)&gt;0,INDEX(Table2[[#All],[Para (Ticker Daniel)]],MATCH('Input_APM (Zenith)'!F502,Table2[[#All],[De (Lote)]],0)),'Input_APM (Zenith)'!F502))</f>
        <v/>
      </c>
      <c r="M502" s="170" t="str">
        <f t="shared" si="57"/>
        <v/>
      </c>
      <c r="N502" s="171" t="str">
        <f t="shared" si="58"/>
        <v/>
      </c>
      <c r="O502" s="171" t="str">
        <f t="shared" si="59"/>
        <v/>
      </c>
    </row>
    <row r="503" spans="11:15">
      <c r="K503" s="170" t="str">
        <f t="shared" si="56"/>
        <v/>
      </c>
      <c r="L503" s="170" t="str">
        <f>IF(E503="","",IF(COUNTIFS(Table2[[#All],[De (Lote)]],'Input_APM (Zenith)'!F503)&gt;0,INDEX(Table2[[#All],[Para (Ticker Daniel)]],MATCH('Input_APM (Zenith)'!F503,Table2[[#All],[De (Lote)]],0)),'Input_APM (Zenith)'!F503))</f>
        <v/>
      </c>
      <c r="M503" s="170" t="str">
        <f t="shared" si="57"/>
        <v/>
      </c>
      <c r="N503" s="171" t="str">
        <f t="shared" si="58"/>
        <v/>
      </c>
      <c r="O503" s="171" t="str">
        <f t="shared" si="59"/>
        <v/>
      </c>
    </row>
    <row r="504" spans="11:15">
      <c r="K504" s="170" t="str">
        <f t="shared" si="56"/>
        <v/>
      </c>
      <c r="L504" s="170" t="str">
        <f>IF(E504="","",IF(COUNTIFS(Table2[[#All],[De (Lote)]],'Input_APM (Zenith)'!F504)&gt;0,INDEX(Table2[[#All],[Para (Ticker Daniel)]],MATCH('Input_APM (Zenith)'!F504,Table2[[#All],[De (Lote)]],0)),'Input_APM (Zenith)'!F504))</f>
        <v/>
      </c>
      <c r="M504" s="170" t="str">
        <f t="shared" si="57"/>
        <v/>
      </c>
      <c r="N504" s="171" t="str">
        <f t="shared" si="58"/>
        <v/>
      </c>
      <c r="O504" s="171" t="str">
        <f t="shared" si="59"/>
        <v/>
      </c>
    </row>
    <row r="505" spans="11:15">
      <c r="K505" s="170" t="str">
        <f t="shared" si="56"/>
        <v/>
      </c>
      <c r="L505" s="170" t="str">
        <f>IF(E505="","",IF(COUNTIFS(Table2[[#All],[De (Lote)]],'Input_APM (Zenith)'!F505)&gt;0,INDEX(Table2[[#All],[Para (Ticker Daniel)]],MATCH('Input_APM (Zenith)'!F505,Table2[[#All],[De (Lote)]],0)),'Input_APM (Zenith)'!F505))</f>
        <v/>
      </c>
      <c r="M505" s="170" t="str">
        <f t="shared" si="57"/>
        <v/>
      </c>
      <c r="N505" s="171" t="str">
        <f t="shared" si="58"/>
        <v/>
      </c>
      <c r="O505" s="171" t="str">
        <f t="shared" si="59"/>
        <v/>
      </c>
    </row>
    <row r="506" spans="11:15">
      <c r="K506" s="170" t="str">
        <f t="shared" si="56"/>
        <v/>
      </c>
      <c r="L506" s="170" t="str">
        <f>IF(E506="","",IF(COUNTIFS(Table2[[#All],[De (Lote)]],'Input_APM (Zenith)'!F506)&gt;0,INDEX(Table2[[#All],[Para (Ticker Daniel)]],MATCH('Input_APM (Zenith)'!F506,Table2[[#All],[De (Lote)]],0)),'Input_APM (Zenith)'!F506))</f>
        <v/>
      </c>
      <c r="M506" s="170" t="str">
        <f t="shared" si="57"/>
        <v/>
      </c>
      <c r="N506" s="171" t="str">
        <f t="shared" si="58"/>
        <v/>
      </c>
      <c r="O506" s="171" t="str">
        <f t="shared" si="59"/>
        <v/>
      </c>
    </row>
    <row r="507" spans="11:15">
      <c r="K507" s="170" t="str">
        <f t="shared" si="56"/>
        <v/>
      </c>
      <c r="L507" s="170" t="str">
        <f>IF(E507="","",IF(COUNTIFS(Table2[[#All],[De (Lote)]],'Input_APM (Zenith)'!F507)&gt;0,INDEX(Table2[[#All],[Para (Ticker Daniel)]],MATCH('Input_APM (Zenith)'!F507,Table2[[#All],[De (Lote)]],0)),'Input_APM (Zenith)'!F507))</f>
        <v/>
      </c>
      <c r="M507" s="170" t="str">
        <f t="shared" si="57"/>
        <v/>
      </c>
      <c r="N507" s="171" t="str">
        <f t="shared" si="58"/>
        <v/>
      </c>
      <c r="O507" s="171" t="str">
        <f t="shared" si="59"/>
        <v/>
      </c>
    </row>
    <row r="508" spans="11:15">
      <c r="K508" s="170" t="str">
        <f t="shared" si="56"/>
        <v/>
      </c>
      <c r="L508" s="170" t="str">
        <f>IF(E508="","",IF(COUNTIFS(Table2[[#All],[De (Lote)]],'Input_APM (Zenith)'!F508)&gt;0,INDEX(Table2[[#All],[Para (Ticker Daniel)]],MATCH('Input_APM (Zenith)'!F508,Table2[[#All],[De (Lote)]],0)),'Input_APM (Zenith)'!F508))</f>
        <v/>
      </c>
      <c r="M508" s="170" t="str">
        <f t="shared" si="57"/>
        <v/>
      </c>
      <c r="N508" s="171" t="str">
        <f t="shared" si="58"/>
        <v/>
      </c>
      <c r="O508" s="171" t="str">
        <f t="shared" si="59"/>
        <v/>
      </c>
    </row>
    <row r="509" spans="11:15">
      <c r="K509" s="170" t="str">
        <f t="shared" si="56"/>
        <v/>
      </c>
      <c r="L509" s="170" t="str">
        <f>IF(E509="","",IF(COUNTIFS(Table2[[#All],[De (Lote)]],'Input_APM (Zenith)'!F509)&gt;0,INDEX(Table2[[#All],[Para (Ticker Daniel)]],MATCH('Input_APM (Zenith)'!F509,Table2[[#All],[De (Lote)]],0)),'Input_APM (Zenith)'!F509))</f>
        <v/>
      </c>
      <c r="M509" s="170" t="str">
        <f t="shared" si="57"/>
        <v/>
      </c>
      <c r="N509" s="171" t="str">
        <f t="shared" si="58"/>
        <v/>
      </c>
      <c r="O509" s="171" t="str">
        <f t="shared" si="59"/>
        <v/>
      </c>
    </row>
    <row r="510" spans="11:15">
      <c r="K510" s="170" t="str">
        <f t="shared" si="56"/>
        <v/>
      </c>
      <c r="L510" s="170" t="str">
        <f>IF(E510="","",IF(COUNTIFS(Table2[[#All],[De (Lote)]],'Input_APM (Zenith)'!F510)&gt;0,INDEX(Table2[[#All],[Para (Ticker Daniel)]],MATCH('Input_APM (Zenith)'!F510,Table2[[#All],[De (Lote)]],0)),'Input_APM (Zenith)'!F510))</f>
        <v/>
      </c>
      <c r="M510" s="170" t="str">
        <f t="shared" si="57"/>
        <v/>
      </c>
      <c r="N510" s="171" t="str">
        <f t="shared" si="58"/>
        <v/>
      </c>
      <c r="O510" s="171" t="str">
        <f t="shared" si="59"/>
        <v/>
      </c>
    </row>
    <row r="511" spans="11:15">
      <c r="K511" s="170" t="str">
        <f t="shared" si="56"/>
        <v/>
      </c>
      <c r="L511" s="170" t="str">
        <f>IF(E511="","",IF(COUNTIFS(Table2[[#All],[De (Lote)]],'Input_APM (Zenith)'!F511)&gt;0,INDEX(Table2[[#All],[Para (Ticker Daniel)]],MATCH('Input_APM (Zenith)'!F511,Table2[[#All],[De (Lote)]],0)),'Input_APM (Zenith)'!F511))</f>
        <v/>
      </c>
      <c r="M511" s="170" t="str">
        <f t="shared" si="57"/>
        <v/>
      </c>
      <c r="N511" s="171" t="str">
        <f t="shared" si="58"/>
        <v/>
      </c>
      <c r="O511" s="171" t="str">
        <f t="shared" si="59"/>
        <v/>
      </c>
    </row>
    <row r="512" spans="11:15">
      <c r="K512" s="170" t="str">
        <f t="shared" si="56"/>
        <v/>
      </c>
      <c r="L512" s="170" t="str">
        <f>IF(E512="","",IF(COUNTIFS(Table2[[#All],[De (Lote)]],'Input_APM (Zenith)'!F512)&gt;0,INDEX(Table2[[#All],[Para (Ticker Daniel)]],MATCH('Input_APM (Zenith)'!F512,Table2[[#All],[De (Lote)]],0)),'Input_APM (Zenith)'!F512))</f>
        <v/>
      </c>
      <c r="M512" s="170" t="str">
        <f t="shared" si="57"/>
        <v/>
      </c>
      <c r="N512" s="171" t="str">
        <f t="shared" si="58"/>
        <v/>
      </c>
      <c r="O512" s="171" t="str">
        <f t="shared" si="59"/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importar_zenith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209550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F1D26-094B-44C9-B22D-3C955B582AF3}">
  <sheetPr codeName="Sheet22">
    <tabColor theme="9" tint="0.79998168889431442"/>
  </sheetPr>
  <dimension ref="B1:E151"/>
  <sheetViews>
    <sheetView showGridLines="0" zoomScale="85" zoomScaleNormal="85" workbookViewId="0">
      <selection activeCell="B5" sqref="B5:B159"/>
    </sheetView>
  </sheetViews>
  <sheetFormatPr defaultRowHeight="15"/>
  <cols>
    <col min="2" max="2" width="22.140625" bestFit="1" customWidth="1"/>
    <col min="3" max="3" width="15.85546875" style="174" bestFit="1" customWidth="1"/>
    <col min="4" max="4" width="24.42578125" style="174" bestFit="1" customWidth="1"/>
    <col min="5" max="5" width="24.42578125" style="174" customWidth="1"/>
    <col min="6" max="6" width="13.85546875" bestFit="1" customWidth="1"/>
    <col min="7" max="7" width="9.42578125" bestFit="1" customWidth="1"/>
    <col min="10" max="10" width="30.7109375" bestFit="1" customWidth="1"/>
    <col min="11" max="11" width="13.85546875" bestFit="1" customWidth="1"/>
    <col min="12" max="12" width="8" bestFit="1" customWidth="1"/>
    <col min="13" max="13" width="12.85546875" bestFit="1" customWidth="1"/>
  </cols>
  <sheetData>
    <row r="1" spans="2:5">
      <c r="C1" s="7" t="s">
        <v>208</v>
      </c>
      <c r="D1" s="7" t="s">
        <v>209</v>
      </c>
      <c r="E1" s="7"/>
    </row>
    <row r="2" spans="2:5">
      <c r="C2"/>
      <c r="D2"/>
      <c r="E2"/>
    </row>
    <row r="3" spans="2:5">
      <c r="C3"/>
      <c r="D3"/>
      <c r="E3"/>
    </row>
    <row r="4" spans="2:5">
      <c r="B4" s="172" t="s">
        <v>218</v>
      </c>
      <c r="C4" s="172" t="s">
        <v>214</v>
      </c>
      <c r="D4" s="172" t="s">
        <v>215</v>
      </c>
      <c r="E4" s="172" t="s">
        <v>216</v>
      </c>
    </row>
    <row r="5" spans="2:5">
      <c r="B5" s="21" t="s">
        <v>252</v>
      </c>
      <c r="C5" s="173">
        <f>IF(B5="","",IF(OR(LEFT(B5,4)="Cash",LEFT(B5,4)="Prov"),0,SUMIFS('Input_APM (Zenith)'!N:N,'Input_APM (Zenith)'!L:L,'Check (Zenith)'!B5,'Input_APM (Zenith)'!M:M,'Check (Zenith)'!$C$1)))</f>
        <v>0</v>
      </c>
      <c r="D5" s="173">
        <f>IF(B5="","",IF(OR(LEFT(B5,4)="Cash",LEFT(B5,4)="Prov"),0,SUMIFS('Input_APM (Zenith)'!N:N,'Input_APM (Zenith)'!L:L,'Check (Zenith)'!B5,'Input_APM (Zenith)'!M:M,'Check (Zenith)'!$D$1)))</f>
        <v>0</v>
      </c>
      <c r="E5" s="173">
        <f>IF(B5="","",C5-D5)</f>
        <v>0</v>
      </c>
    </row>
    <row r="6" spans="2:5">
      <c r="B6" s="21" t="s">
        <v>253</v>
      </c>
      <c r="C6" s="173">
        <f>IF(B6="","",IF(OR(LEFT(B6,4)="Cash",LEFT(B6,4)="Prov"),0,SUMIFS('Input_APM (Zenith)'!N:N,'Input_APM (Zenith)'!L:L,'Check (Zenith)'!B6,'Input_APM (Zenith)'!M:M,'Check (Zenith)'!$C$1)))</f>
        <v>0</v>
      </c>
      <c r="D6" s="173">
        <f>IF(B6="","",IF(OR(LEFT(B6,4)="Cash",LEFT(B6,4)="Prov"),0,SUMIFS('Input_APM (Zenith)'!N:N,'Input_APM (Zenith)'!L:L,'Check (Zenith)'!B6,'Input_APM (Zenith)'!M:M,'Check (Zenith)'!$D$1)))</f>
        <v>0</v>
      </c>
      <c r="E6" s="173">
        <f t="shared" ref="E6:E69" si="0">IF(B6="","",C6-D6)</f>
        <v>0</v>
      </c>
    </row>
    <row r="7" spans="2:5">
      <c r="B7" s="21" t="s">
        <v>254</v>
      </c>
      <c r="C7" s="173">
        <f>IF(B7="","",IF(OR(LEFT(B7,4)="Cash",LEFT(B7,4)="Prov"),0,SUMIFS('Input_APM (Zenith)'!N:N,'Input_APM (Zenith)'!L:L,'Check (Zenith)'!B7,'Input_APM (Zenith)'!M:M,'Check (Zenith)'!$C$1)))</f>
        <v>0</v>
      </c>
      <c r="D7" s="173">
        <f>IF(B7="","",IF(OR(LEFT(B7,4)="Cash",LEFT(B7,4)="Prov"),0,SUMIFS('Input_APM (Zenith)'!N:N,'Input_APM (Zenith)'!L:L,'Check (Zenith)'!B7,'Input_APM (Zenith)'!M:M,'Check (Zenith)'!$D$1)))</f>
        <v>0</v>
      </c>
      <c r="E7" s="173">
        <f t="shared" si="0"/>
        <v>0</v>
      </c>
    </row>
    <row r="8" spans="2:5">
      <c r="B8" s="21" t="s">
        <v>255</v>
      </c>
      <c r="C8" s="173">
        <f>IF(B8="","",IF(OR(LEFT(B8,4)="Cash",LEFT(B8,4)="Prov"),0,SUMIFS('Input_APM (Zenith)'!N:N,'Input_APM (Zenith)'!L:L,'Check (Zenith)'!B8,'Input_APM (Zenith)'!M:M,'Check (Zenith)'!$C$1)))</f>
        <v>0</v>
      </c>
      <c r="D8" s="173">
        <f>IF(B8="","",IF(OR(LEFT(B8,4)="Cash",LEFT(B8,4)="Prov"),0,SUMIFS('Input_APM (Zenith)'!N:N,'Input_APM (Zenith)'!L:L,'Check (Zenith)'!B8,'Input_APM (Zenith)'!M:M,'Check (Zenith)'!$D$1)))</f>
        <v>0</v>
      </c>
      <c r="E8" s="173">
        <f t="shared" si="0"/>
        <v>0</v>
      </c>
    </row>
    <row r="9" spans="2:5">
      <c r="B9" s="21" t="s">
        <v>256</v>
      </c>
      <c r="C9" s="173">
        <f>IF(B9="","",IF(OR(LEFT(B9,4)="Cash",LEFT(B9,4)="Prov"),0,SUMIFS('Input_APM (Zenith)'!N:N,'Input_APM (Zenith)'!L:L,'Check (Zenith)'!B9,'Input_APM (Zenith)'!M:M,'Check (Zenith)'!$C$1)))</f>
        <v>0</v>
      </c>
      <c r="D9" s="173">
        <f>IF(B9="","",IF(OR(LEFT(B9,4)="Cash",LEFT(B9,4)="Prov"),0,SUMIFS('Input_APM (Zenith)'!N:N,'Input_APM (Zenith)'!L:L,'Check (Zenith)'!B9,'Input_APM (Zenith)'!M:M,'Check (Zenith)'!$D$1)))</f>
        <v>0</v>
      </c>
      <c r="E9" s="173">
        <f t="shared" si="0"/>
        <v>0</v>
      </c>
    </row>
    <row r="10" spans="2:5">
      <c r="B10" s="21" t="s">
        <v>221</v>
      </c>
      <c r="C10" s="173">
        <f>IF(B10="","",IF(OR(LEFT(B10,4)="Cash",LEFT(B10,4)="Prov"),0,SUMIFS('Input_APM (Zenith)'!N:N,'Input_APM (Zenith)'!L:L,'Check (Zenith)'!B10,'Input_APM (Zenith)'!M:M,'Check (Zenith)'!$C$1)))</f>
        <v>0</v>
      </c>
      <c r="D10" s="173">
        <f>IF(B10="","",IF(OR(LEFT(B10,4)="Cash",LEFT(B10,4)="Prov"),0,SUMIFS('Input_APM (Zenith)'!N:N,'Input_APM (Zenith)'!L:L,'Check (Zenith)'!B10,'Input_APM (Zenith)'!M:M,'Check (Zenith)'!$D$1)))</f>
        <v>0</v>
      </c>
      <c r="E10" s="173">
        <f t="shared" si="0"/>
        <v>0</v>
      </c>
    </row>
    <row r="11" spans="2:5">
      <c r="B11" s="21" t="s">
        <v>222</v>
      </c>
      <c r="C11" s="173">
        <f>IF(B11="","",IF(OR(LEFT(B11,4)="Cash",LEFT(B11,4)="Prov"),0,SUMIFS('Input_APM (Zenith)'!N:N,'Input_APM (Zenith)'!L:L,'Check (Zenith)'!B11,'Input_APM (Zenith)'!M:M,'Check (Zenith)'!$C$1)))</f>
        <v>0</v>
      </c>
      <c r="D11" s="173">
        <f>IF(B11="","",IF(OR(LEFT(B11,4)="Cash",LEFT(B11,4)="Prov"),0,SUMIFS('Input_APM (Zenith)'!N:N,'Input_APM (Zenith)'!L:L,'Check (Zenith)'!B11,'Input_APM (Zenith)'!M:M,'Check (Zenith)'!$D$1)))</f>
        <v>0</v>
      </c>
      <c r="E11" s="173">
        <f t="shared" si="0"/>
        <v>0</v>
      </c>
    </row>
    <row r="12" spans="2:5">
      <c r="B12" s="21" t="s">
        <v>223</v>
      </c>
      <c r="C12" s="173">
        <f>IF(B12="","",IF(OR(LEFT(B12,4)="Cash",LEFT(B12,4)="Prov"),0,SUMIFS('Input_APM (Zenith)'!N:N,'Input_APM (Zenith)'!L:L,'Check (Zenith)'!B12,'Input_APM (Zenith)'!M:M,'Check (Zenith)'!$C$1)))</f>
        <v>0</v>
      </c>
      <c r="D12" s="173">
        <f>IF(B12="","",IF(OR(LEFT(B12,4)="Cash",LEFT(B12,4)="Prov"),0,SUMIFS('Input_APM (Zenith)'!N:N,'Input_APM (Zenith)'!L:L,'Check (Zenith)'!B12,'Input_APM (Zenith)'!M:M,'Check (Zenith)'!$D$1)))</f>
        <v>0</v>
      </c>
      <c r="E12" s="173">
        <f t="shared" si="0"/>
        <v>0</v>
      </c>
    </row>
    <row r="13" spans="2:5">
      <c r="B13" s="21" t="s">
        <v>224</v>
      </c>
      <c r="C13" s="173">
        <f>IF(B13="","",IF(OR(LEFT(B13,4)="Cash",LEFT(B13,4)="Prov"),0,SUMIFS('Input_APM (Zenith)'!N:N,'Input_APM (Zenith)'!L:L,'Check (Zenith)'!B13,'Input_APM (Zenith)'!M:M,'Check (Zenith)'!$C$1)))</f>
        <v>0</v>
      </c>
      <c r="D13" s="173">
        <f>IF(B13="","",IF(OR(LEFT(B13,4)="Cash",LEFT(B13,4)="Prov"),0,SUMIFS('Input_APM (Zenith)'!N:N,'Input_APM (Zenith)'!L:L,'Check (Zenith)'!B13,'Input_APM (Zenith)'!M:M,'Check (Zenith)'!$D$1)))</f>
        <v>0</v>
      </c>
      <c r="E13" s="173">
        <f t="shared" si="0"/>
        <v>0</v>
      </c>
    </row>
    <row r="14" spans="2:5">
      <c r="B14" s="21" t="s">
        <v>225</v>
      </c>
      <c r="C14" s="173">
        <f>IF(B14="","",IF(OR(LEFT(B14,4)="Cash",LEFT(B14,4)="Prov"),0,SUMIFS('Input_APM (Zenith)'!N:N,'Input_APM (Zenith)'!L:L,'Check (Zenith)'!B14,'Input_APM (Zenith)'!M:M,'Check (Zenith)'!$C$1)))</f>
        <v>0</v>
      </c>
      <c r="D14" s="173">
        <f>IF(B14="","",IF(OR(LEFT(B14,4)="Cash",LEFT(B14,4)="Prov"),0,SUMIFS('Input_APM (Zenith)'!N:N,'Input_APM (Zenith)'!L:L,'Check (Zenith)'!B14,'Input_APM (Zenith)'!M:M,'Check (Zenith)'!$D$1)))</f>
        <v>0</v>
      </c>
      <c r="E14" s="173">
        <f t="shared" si="0"/>
        <v>0</v>
      </c>
    </row>
    <row r="15" spans="2:5">
      <c r="B15" s="21" t="s">
        <v>226</v>
      </c>
      <c r="C15" s="173">
        <f>IF(B15="","",IF(OR(LEFT(B15,4)="Cash",LEFT(B15,4)="Prov"),0,SUMIFS('Input_APM (Zenith)'!N:N,'Input_APM (Zenith)'!L:L,'Check (Zenith)'!B15,'Input_APM (Zenith)'!M:M,'Check (Zenith)'!$C$1)))</f>
        <v>0</v>
      </c>
      <c r="D15" s="173">
        <f>IF(B15="","",IF(OR(LEFT(B15,4)="Cash",LEFT(B15,4)="Prov"),0,SUMIFS('Input_APM (Zenith)'!N:N,'Input_APM (Zenith)'!L:L,'Check (Zenith)'!B15,'Input_APM (Zenith)'!M:M,'Check (Zenith)'!$D$1)))</f>
        <v>0</v>
      </c>
      <c r="E15" s="173">
        <f t="shared" si="0"/>
        <v>0</v>
      </c>
    </row>
    <row r="16" spans="2:5">
      <c r="B16" s="21" t="s">
        <v>227</v>
      </c>
      <c r="C16" s="173">
        <f>IF(B16="","",IF(OR(LEFT(B16,4)="Cash",LEFT(B16,4)="Prov"),0,SUMIFS('Input_APM (Zenith)'!N:N,'Input_APM (Zenith)'!L:L,'Check (Zenith)'!B16,'Input_APM (Zenith)'!M:M,'Check (Zenith)'!$C$1)))</f>
        <v>0</v>
      </c>
      <c r="D16" s="173">
        <f>IF(B16="","",IF(OR(LEFT(B16,4)="Cash",LEFT(B16,4)="Prov"),0,SUMIFS('Input_APM (Zenith)'!N:N,'Input_APM (Zenith)'!L:L,'Check (Zenith)'!B16,'Input_APM (Zenith)'!M:M,'Check (Zenith)'!$D$1)))</f>
        <v>0</v>
      </c>
      <c r="E16" s="173">
        <f t="shared" si="0"/>
        <v>0</v>
      </c>
    </row>
    <row r="17" spans="2:5">
      <c r="B17" s="21" t="s">
        <v>228</v>
      </c>
      <c r="C17" s="173">
        <f>IF(B17="","",IF(OR(LEFT(B17,4)="Cash",LEFT(B17,4)="Prov"),0,SUMIFS('Input_APM (Zenith)'!N:N,'Input_APM (Zenith)'!L:L,'Check (Zenith)'!B17,'Input_APM (Zenith)'!M:M,'Check (Zenith)'!$C$1)))</f>
        <v>0</v>
      </c>
      <c r="D17" s="173">
        <f>IF(B17="","",IF(OR(LEFT(B17,4)="Cash",LEFT(B17,4)="Prov"),0,SUMIFS('Input_APM (Zenith)'!N:N,'Input_APM (Zenith)'!L:L,'Check (Zenith)'!B17,'Input_APM (Zenith)'!M:M,'Check (Zenith)'!$D$1)))</f>
        <v>0</v>
      </c>
      <c r="E17" s="173">
        <f t="shared" si="0"/>
        <v>0</v>
      </c>
    </row>
    <row r="18" spans="2:5">
      <c r="B18" t="s">
        <v>257</v>
      </c>
      <c r="C18" s="173">
        <f>IF(B18="","",IF(OR(LEFT(B18,4)="Cash",LEFT(B18,4)="Prov"),0,SUMIFS('Input_APM (Zenith)'!N:N,'Input_APM (Zenith)'!L:L,'Check (Zenith)'!B18,'Input_APM (Zenith)'!M:M,'Check (Zenith)'!$C$1)))</f>
        <v>0</v>
      </c>
      <c r="D18" s="173">
        <f>IF(B18="","",IF(OR(LEFT(B18,4)="Cash",LEFT(B18,4)="Prov"),0,SUMIFS('Input_APM (Zenith)'!N:N,'Input_APM (Zenith)'!L:L,'Check (Zenith)'!B18,'Input_APM (Zenith)'!M:M,'Check (Zenith)'!$D$1)))</f>
        <v>0</v>
      </c>
      <c r="E18" s="173">
        <f t="shared" si="0"/>
        <v>0</v>
      </c>
    </row>
    <row r="19" spans="2:5">
      <c r="B19" s="21" t="s">
        <v>258</v>
      </c>
      <c r="C19" s="173">
        <f>IF(B19="","",IF(OR(LEFT(B19,4)="Cash",LEFT(B19,4)="Prov"),0,SUMIFS('Input_APM (Zenith)'!N:N,'Input_APM (Zenith)'!L:L,'Check (Zenith)'!B19,'Input_APM (Zenith)'!M:M,'Check (Zenith)'!$C$1)))</f>
        <v>0</v>
      </c>
      <c r="D19" s="173">
        <f>IF(B19="","",IF(OR(LEFT(B19,4)="Cash",LEFT(B19,4)="Prov"),0,SUMIFS('Input_APM (Zenith)'!N:N,'Input_APM (Zenith)'!L:L,'Check (Zenith)'!B19,'Input_APM (Zenith)'!M:M,'Check (Zenith)'!$D$1)))</f>
        <v>0</v>
      </c>
      <c r="E19" s="173">
        <f t="shared" si="0"/>
        <v>0</v>
      </c>
    </row>
    <row r="20" spans="2:5">
      <c r="B20" s="21" t="s">
        <v>178</v>
      </c>
      <c r="C20" s="173">
        <f>IF(B20="","",IF(OR(LEFT(B20,4)="Cash",LEFT(B20,4)="Prov"),0,SUMIFS('Input_APM (Zenith)'!N:N,'Input_APM (Zenith)'!L:L,'Check (Zenith)'!B20,'Input_APM (Zenith)'!M:M,'Check (Zenith)'!$C$1)))</f>
        <v>0</v>
      </c>
      <c r="D20" s="173">
        <f>IF(B20="","",IF(OR(LEFT(B20,4)="Cash",LEFT(B20,4)="Prov"),0,SUMIFS('Input_APM (Zenith)'!N:N,'Input_APM (Zenith)'!L:L,'Check (Zenith)'!B20,'Input_APM (Zenith)'!M:M,'Check (Zenith)'!$D$1)))</f>
        <v>0</v>
      </c>
      <c r="E20" s="173">
        <f t="shared" si="0"/>
        <v>0</v>
      </c>
    </row>
    <row r="21" spans="2:5">
      <c r="B21" s="21" t="s">
        <v>179</v>
      </c>
      <c r="C21" s="173">
        <f>IF(B21="","",IF(OR(LEFT(B21,4)="Cash",LEFT(B21,4)="Prov"),0,SUMIFS('Input_APM (Zenith)'!N:N,'Input_APM (Zenith)'!L:L,'Check (Zenith)'!B21,'Input_APM (Zenith)'!M:M,'Check (Zenith)'!$C$1)))</f>
        <v>0</v>
      </c>
      <c r="D21" s="173">
        <f>IF(B21="","",IF(OR(LEFT(B21,4)="Cash",LEFT(B21,4)="Prov"),0,SUMIFS('Input_APM (Zenith)'!N:N,'Input_APM (Zenith)'!L:L,'Check (Zenith)'!B21,'Input_APM (Zenith)'!M:M,'Check (Zenith)'!$D$1)))</f>
        <v>0</v>
      </c>
      <c r="E21" s="173">
        <f t="shared" si="0"/>
        <v>0</v>
      </c>
    </row>
    <row r="22" spans="2:5">
      <c r="B22" t="s">
        <v>78</v>
      </c>
      <c r="C22" s="173">
        <f>IF(B22="","",IF(OR(LEFT(B22,4)="Cash",LEFT(B22,4)="Prov"),0,SUMIFS('Input_APM (Zenith)'!N:N,'Input_APM (Zenith)'!L:L,'Check (Zenith)'!B22,'Input_APM (Zenith)'!M:M,'Check (Zenith)'!$C$1)))</f>
        <v>0</v>
      </c>
      <c r="D22" s="173">
        <f>IF(B22="","",IF(OR(LEFT(B22,4)="Cash",LEFT(B22,4)="Prov"),0,SUMIFS('Input_APM (Zenith)'!N:N,'Input_APM (Zenith)'!L:L,'Check (Zenith)'!B22,'Input_APM (Zenith)'!M:M,'Check (Zenith)'!$D$1)))</f>
        <v>0</v>
      </c>
      <c r="E22" s="173">
        <f t="shared" si="0"/>
        <v>0</v>
      </c>
    </row>
    <row r="23" spans="2:5">
      <c r="B23" s="21" t="s">
        <v>182</v>
      </c>
      <c r="C23" s="173">
        <f>IF(B23="","",IF(OR(LEFT(B23,4)="Cash",LEFT(B23,4)="Prov"),0,SUMIFS('Input_APM (Zenith)'!N:N,'Input_APM (Zenith)'!L:L,'Check (Zenith)'!B23,'Input_APM (Zenith)'!M:M,'Check (Zenith)'!$C$1)))</f>
        <v>0</v>
      </c>
      <c r="D23" s="173">
        <f>IF(B23="","",IF(OR(LEFT(B23,4)="Cash",LEFT(B23,4)="Prov"),0,SUMIFS('Input_APM (Zenith)'!N:N,'Input_APM (Zenith)'!L:L,'Check (Zenith)'!B23,'Input_APM (Zenith)'!M:M,'Check (Zenith)'!$D$1)))</f>
        <v>0</v>
      </c>
      <c r="E23" s="173">
        <f t="shared" si="0"/>
        <v>0</v>
      </c>
    </row>
    <row r="24" spans="2:5">
      <c r="B24" s="21" t="s">
        <v>180</v>
      </c>
      <c r="C24" s="173">
        <f>IF(B24="","",IF(OR(LEFT(B24,4)="Cash",LEFT(B24,4)="Prov"),0,SUMIFS('Input_APM (Zenith)'!N:N,'Input_APM (Zenith)'!L:L,'Check (Zenith)'!B24,'Input_APM (Zenith)'!M:M,'Check (Zenith)'!$C$1)))</f>
        <v>0</v>
      </c>
      <c r="D24" s="173">
        <f>IF(B24="","",IF(OR(LEFT(B24,4)="Cash",LEFT(B24,4)="Prov"),0,SUMIFS('Input_APM (Zenith)'!N:N,'Input_APM (Zenith)'!L:L,'Check (Zenith)'!B24,'Input_APM (Zenith)'!M:M,'Check (Zenith)'!$D$1)))</f>
        <v>0</v>
      </c>
      <c r="E24" s="173">
        <f t="shared" si="0"/>
        <v>0</v>
      </c>
    </row>
    <row r="25" spans="2:5">
      <c r="B25" s="21" t="s">
        <v>183</v>
      </c>
      <c r="C25" s="173">
        <f>IF(B25="","",IF(OR(LEFT(B25,4)="Cash",LEFT(B25,4)="Prov"),0,SUMIFS('Input_APM (Zenith)'!N:N,'Input_APM (Zenith)'!L:L,'Check (Zenith)'!B25,'Input_APM (Zenith)'!M:M,'Check (Zenith)'!$C$1)))</f>
        <v>0</v>
      </c>
      <c r="D25" s="173">
        <f>IF(B25="","",IF(OR(LEFT(B25,4)="Cash",LEFT(B25,4)="Prov"),0,SUMIFS('Input_APM (Zenith)'!N:N,'Input_APM (Zenith)'!L:L,'Check (Zenith)'!B25,'Input_APM (Zenith)'!M:M,'Check (Zenith)'!$D$1)))</f>
        <v>0</v>
      </c>
      <c r="E25" s="173">
        <f t="shared" si="0"/>
        <v>0</v>
      </c>
    </row>
    <row r="26" spans="2:5">
      <c r="B26" t="s">
        <v>181</v>
      </c>
      <c r="C26" s="173">
        <f>IF(B26="","",IF(OR(LEFT(B26,4)="Cash",LEFT(B26,4)="Prov"),0,SUMIFS('Input_APM (Zenith)'!N:N,'Input_APM (Zenith)'!L:L,'Check (Zenith)'!B26,'Input_APM (Zenith)'!M:M,'Check (Zenith)'!$C$1)))</f>
        <v>0</v>
      </c>
      <c r="D26" s="173">
        <f>IF(B26="","",IF(OR(LEFT(B26,4)="Cash",LEFT(B26,4)="Prov"),0,SUMIFS('Input_APM (Zenith)'!N:N,'Input_APM (Zenith)'!L:L,'Check (Zenith)'!B26,'Input_APM (Zenith)'!M:M,'Check (Zenith)'!$D$1)))</f>
        <v>0</v>
      </c>
      <c r="E26" s="173">
        <f t="shared" si="0"/>
        <v>0</v>
      </c>
    </row>
    <row r="27" spans="2:5">
      <c r="B27" s="21" t="s">
        <v>184</v>
      </c>
      <c r="C27" s="173">
        <f>IF(B27="","",IF(OR(LEFT(B27,4)="Cash",LEFT(B27,4)="Prov"),0,SUMIFS('Input_APM (Zenith)'!N:N,'Input_APM (Zenith)'!L:L,'Check (Zenith)'!B27,'Input_APM (Zenith)'!M:M,'Check (Zenith)'!$C$1)))</f>
        <v>0</v>
      </c>
      <c r="D27" s="173">
        <f>IF(B27="","",IF(OR(LEFT(B27,4)="Cash",LEFT(B27,4)="Prov"),0,SUMIFS('Input_APM (Zenith)'!N:N,'Input_APM (Zenith)'!L:L,'Check (Zenith)'!B27,'Input_APM (Zenith)'!M:M,'Check (Zenith)'!$D$1)))</f>
        <v>0</v>
      </c>
      <c r="E27" s="173">
        <f t="shared" si="0"/>
        <v>0</v>
      </c>
    </row>
    <row r="28" spans="2:5">
      <c r="B28" s="21" t="s">
        <v>185</v>
      </c>
      <c r="C28" s="173">
        <f>IF(B28="","",IF(OR(LEFT(B28,4)="Cash",LEFT(B28,4)="Prov"),0,SUMIFS('Input_APM (Zenith)'!N:N,'Input_APM (Zenith)'!L:L,'Check (Zenith)'!B28,'Input_APM (Zenith)'!M:M,'Check (Zenith)'!$C$1)))</f>
        <v>0</v>
      </c>
      <c r="D28" s="173">
        <f>IF(B28="","",IF(OR(LEFT(B28,4)="Cash",LEFT(B28,4)="Prov"),0,SUMIFS('Input_APM (Zenith)'!N:N,'Input_APM (Zenith)'!L:L,'Check (Zenith)'!B28,'Input_APM (Zenith)'!M:M,'Check (Zenith)'!$D$1)))</f>
        <v>0</v>
      </c>
      <c r="E28" s="173">
        <f t="shared" si="0"/>
        <v>0</v>
      </c>
    </row>
    <row r="29" spans="2:5">
      <c r="B29" t="s">
        <v>230</v>
      </c>
      <c r="C29" s="173">
        <f>IF(B29="","",IF(OR(LEFT(B29,4)="Cash",LEFT(B29,4)="Prov"),0,SUMIFS('Input_APM (Zenith)'!N:N,'Input_APM (Zenith)'!L:L,'Check (Zenith)'!B29,'Input_APM (Zenith)'!M:M,'Check (Zenith)'!$C$1)))</f>
        <v>0</v>
      </c>
      <c r="D29" s="173">
        <f>IF(B29="","",IF(OR(LEFT(B29,4)="Cash",LEFT(B29,4)="Prov"),0,SUMIFS('Input_APM (Zenith)'!N:N,'Input_APM (Zenith)'!L:L,'Check (Zenith)'!B29,'Input_APM (Zenith)'!M:M,'Check (Zenith)'!$D$1)))</f>
        <v>0</v>
      </c>
      <c r="E29" s="173">
        <f t="shared" si="0"/>
        <v>0</v>
      </c>
    </row>
    <row r="30" spans="2:5">
      <c r="B30" t="s">
        <v>259</v>
      </c>
      <c r="C30" s="173">
        <f>IF(B30="","",IF(OR(LEFT(B30,4)="Cash",LEFT(B30,4)="Prov"),0,SUMIFS('Input_APM (Zenith)'!N:N,'Input_APM (Zenith)'!L:L,'Check (Zenith)'!B30,'Input_APM (Zenith)'!M:M,'Check (Zenith)'!$C$1)))</f>
        <v>0</v>
      </c>
      <c r="D30" s="173">
        <f>IF(B30="","",IF(OR(LEFT(B30,4)="Cash",LEFT(B30,4)="Prov"),0,SUMIFS('Input_APM (Zenith)'!N:N,'Input_APM (Zenith)'!L:L,'Check (Zenith)'!B30,'Input_APM (Zenith)'!M:M,'Check (Zenith)'!$D$1)))</f>
        <v>0</v>
      </c>
      <c r="E30" s="173">
        <f t="shared" si="0"/>
        <v>0</v>
      </c>
    </row>
    <row r="31" spans="2:5">
      <c r="B31" t="s">
        <v>138</v>
      </c>
      <c r="C31" s="173">
        <f>IF(B31="","",IF(OR(LEFT(B31,4)="Cash",LEFT(B31,4)="Prov"),0,SUMIFS('Input_APM (Zenith)'!N:N,'Input_APM (Zenith)'!L:L,'Check (Zenith)'!B31,'Input_APM (Zenith)'!M:M,'Check (Zenith)'!$C$1)))</f>
        <v>0</v>
      </c>
      <c r="D31" s="173">
        <f>IF(B31="","",IF(OR(LEFT(B31,4)="Cash",LEFT(B31,4)="Prov"),0,SUMIFS('Input_APM (Zenith)'!N:N,'Input_APM (Zenith)'!L:L,'Check (Zenith)'!B31,'Input_APM (Zenith)'!M:M,'Check (Zenith)'!$D$1)))</f>
        <v>0</v>
      </c>
      <c r="E31" s="173">
        <f t="shared" si="0"/>
        <v>0</v>
      </c>
    </row>
    <row r="32" spans="2:5">
      <c r="B32" t="s">
        <v>177</v>
      </c>
      <c r="C32" s="173">
        <f>IF(B32="","",IF(OR(LEFT(B32,4)="Cash",LEFT(B32,4)="Prov"),0,SUMIFS('Input_APM (Zenith)'!N:N,'Input_APM (Zenith)'!L:L,'Check (Zenith)'!B32,'Input_APM (Zenith)'!M:M,'Check (Zenith)'!$C$1)))</f>
        <v>0</v>
      </c>
      <c r="D32" s="173">
        <f>IF(B32="","",IF(OR(LEFT(B32,4)="Cash",LEFT(B32,4)="Prov"),0,SUMIFS('Input_APM (Zenith)'!N:N,'Input_APM (Zenith)'!L:L,'Check (Zenith)'!B32,'Input_APM (Zenith)'!M:M,'Check (Zenith)'!$D$1)))</f>
        <v>0</v>
      </c>
      <c r="E32" s="173">
        <f t="shared" si="0"/>
        <v>0</v>
      </c>
    </row>
    <row r="33" spans="2:5">
      <c r="B33" t="s">
        <v>34</v>
      </c>
      <c r="C33" s="173">
        <f>IF(B33="","",IF(OR(LEFT(B33,4)="Cash",LEFT(B33,4)="Prov"),0,SUMIFS('Input_APM (Zenith)'!N:N,'Input_APM (Zenith)'!L:L,'Check (Zenith)'!B33,'Input_APM (Zenith)'!M:M,'Check (Zenith)'!$C$1)))</f>
        <v>0</v>
      </c>
      <c r="D33" s="173">
        <f>IF(B33="","",IF(OR(LEFT(B33,4)="Cash",LEFT(B33,4)="Prov"),0,SUMIFS('Input_APM (Zenith)'!N:N,'Input_APM (Zenith)'!L:L,'Check (Zenith)'!B33,'Input_APM (Zenith)'!M:M,'Check (Zenith)'!$D$1)))</f>
        <v>0</v>
      </c>
      <c r="E33" s="173">
        <f t="shared" si="0"/>
        <v>0</v>
      </c>
    </row>
    <row r="34" spans="2:5">
      <c r="B34" t="s">
        <v>29</v>
      </c>
      <c r="C34" s="173">
        <f>IF(B34="","",IF(OR(LEFT(B34,4)="Cash",LEFT(B34,4)="Prov"),0,SUMIFS('Input_APM (Zenith)'!N:N,'Input_APM (Zenith)'!L:L,'Check (Zenith)'!B34,'Input_APM (Zenith)'!M:M,'Check (Zenith)'!$C$1)))</f>
        <v>490</v>
      </c>
      <c r="D34" s="173">
        <f>IF(B34="","",IF(OR(LEFT(B34,4)="Cash",LEFT(B34,4)="Prov"),0,SUMIFS('Input_APM (Zenith)'!N:N,'Input_APM (Zenith)'!L:L,'Check (Zenith)'!B34,'Input_APM (Zenith)'!M:M,'Check (Zenith)'!$D$1)))</f>
        <v>0</v>
      </c>
      <c r="E34" s="173">
        <f t="shared" si="0"/>
        <v>490</v>
      </c>
    </row>
    <row r="35" spans="2:5">
      <c r="B35" t="s">
        <v>204</v>
      </c>
      <c r="C35" s="173">
        <f>IF(B35="","",IF(OR(LEFT(B35,4)="Cash",LEFT(B35,4)="Prov"),0,SUMIFS('Input_APM (Zenith)'!N:N,'Input_APM (Zenith)'!L:L,'Check (Zenith)'!B35,'Input_APM (Zenith)'!M:M,'Check (Zenith)'!$C$1)))</f>
        <v>0</v>
      </c>
      <c r="D35" s="173">
        <f>IF(B35="","",IF(OR(LEFT(B35,4)="Cash",LEFT(B35,4)="Prov"),0,SUMIFS('Input_APM (Zenith)'!N:N,'Input_APM (Zenith)'!L:L,'Check (Zenith)'!B35,'Input_APM (Zenith)'!M:M,'Check (Zenith)'!$D$1)))</f>
        <v>0</v>
      </c>
      <c r="E35" s="173">
        <f t="shared" si="0"/>
        <v>0</v>
      </c>
    </row>
    <row r="36" spans="2:5">
      <c r="B36" t="s">
        <v>205</v>
      </c>
      <c r="C36" s="173">
        <f>IF(B36="","",IF(OR(LEFT(B36,4)="Cash",LEFT(B36,4)="Prov"),0,SUMIFS('Input_APM (Zenith)'!N:N,'Input_APM (Zenith)'!L:L,'Check (Zenith)'!B36,'Input_APM (Zenith)'!M:M,'Check (Zenith)'!$C$1)))</f>
        <v>0</v>
      </c>
      <c r="D36" s="173">
        <f>IF(B36="","",IF(OR(LEFT(B36,4)="Cash",LEFT(B36,4)="Prov"),0,SUMIFS('Input_APM (Zenith)'!N:N,'Input_APM (Zenith)'!L:L,'Check (Zenith)'!B36,'Input_APM (Zenith)'!M:M,'Check (Zenith)'!$D$1)))</f>
        <v>0</v>
      </c>
      <c r="E36" s="173">
        <f t="shared" si="0"/>
        <v>0</v>
      </c>
    </row>
    <row r="37" spans="2:5">
      <c r="B37" t="s">
        <v>206</v>
      </c>
      <c r="C37" s="173">
        <f>IF(B37="","",IF(OR(LEFT(B37,4)="Cash",LEFT(B37,4)="Prov"),0,SUMIFS('Input_APM (Zenith)'!N:N,'Input_APM (Zenith)'!L:L,'Check (Zenith)'!B37,'Input_APM (Zenith)'!M:M,'Check (Zenith)'!$C$1)))</f>
        <v>0</v>
      </c>
      <c r="D37" s="173">
        <f>IF(B37="","",IF(OR(LEFT(B37,4)="Cash",LEFT(B37,4)="Prov"),0,SUMIFS('Input_APM (Zenith)'!N:N,'Input_APM (Zenith)'!L:L,'Check (Zenith)'!B37,'Input_APM (Zenith)'!M:M,'Check (Zenith)'!$D$1)))</f>
        <v>0</v>
      </c>
      <c r="E37" s="173">
        <f t="shared" si="0"/>
        <v>0</v>
      </c>
    </row>
    <row r="38" spans="2:5">
      <c r="B38" t="s">
        <v>207</v>
      </c>
      <c r="C38" s="173">
        <f>IF(B38="","",IF(OR(LEFT(B38,4)="Cash",LEFT(B38,4)="Prov"),0,SUMIFS('Input_APM (Zenith)'!N:N,'Input_APM (Zenith)'!L:L,'Check (Zenith)'!B38,'Input_APM (Zenith)'!M:M,'Check (Zenith)'!$C$1)))</f>
        <v>0</v>
      </c>
      <c r="D38" s="173">
        <f>IF(B38="","",IF(OR(LEFT(B38,4)="Cash",LEFT(B38,4)="Prov"),0,SUMIFS('Input_APM (Zenith)'!N:N,'Input_APM (Zenith)'!L:L,'Check (Zenith)'!B38,'Input_APM (Zenith)'!M:M,'Check (Zenith)'!$D$1)))</f>
        <v>0</v>
      </c>
      <c r="E38" s="173">
        <f t="shared" si="0"/>
        <v>0</v>
      </c>
    </row>
    <row r="39" spans="2:5">
      <c r="B39" t="s">
        <v>38</v>
      </c>
      <c r="C39" s="173">
        <f>IF(B39="","",IF(OR(LEFT(B39,4)="Cash",LEFT(B39,4)="Prov"),0,SUMIFS('Input_APM (Zenith)'!N:N,'Input_APM (Zenith)'!L:L,'Check (Zenith)'!B39,'Input_APM (Zenith)'!M:M,'Check (Zenith)'!$C$1)))</f>
        <v>0</v>
      </c>
      <c r="D39" s="173">
        <f>IF(B39="","",IF(OR(LEFT(B39,4)="Cash",LEFT(B39,4)="Prov"),0,SUMIFS('Input_APM (Zenith)'!N:N,'Input_APM (Zenith)'!L:L,'Check (Zenith)'!B39,'Input_APM (Zenith)'!M:M,'Check (Zenith)'!$D$1)))</f>
        <v>0</v>
      </c>
      <c r="E39" s="173">
        <f t="shared" si="0"/>
        <v>0</v>
      </c>
    </row>
    <row r="40" spans="2:5">
      <c r="B40" t="s">
        <v>79</v>
      </c>
      <c r="C40" s="173">
        <f>IF(B40="","",IF(OR(LEFT(B40,4)="Cash",LEFT(B40,4)="Prov"),0,SUMIFS('Input_APM (Zenith)'!N:N,'Input_APM (Zenith)'!L:L,'Check (Zenith)'!B40,'Input_APM (Zenith)'!M:M,'Check (Zenith)'!$C$1)))</f>
        <v>0</v>
      </c>
      <c r="D40" s="173">
        <f>IF(B40="","",IF(OR(LEFT(B40,4)="Cash",LEFT(B40,4)="Prov"),0,SUMIFS('Input_APM (Zenith)'!N:N,'Input_APM (Zenith)'!L:L,'Check (Zenith)'!B40,'Input_APM (Zenith)'!M:M,'Check (Zenith)'!$D$1)))</f>
        <v>0</v>
      </c>
      <c r="E40" s="173">
        <f t="shared" si="0"/>
        <v>0</v>
      </c>
    </row>
    <row r="41" spans="2:5">
      <c r="B41" t="s">
        <v>231</v>
      </c>
      <c r="C41" s="173">
        <f>IF(B41="","",IF(OR(LEFT(B41,4)="Cash",LEFT(B41,4)="Prov"),0,SUMIFS('Input_APM (Zenith)'!N:N,'Input_APM (Zenith)'!L:L,'Check (Zenith)'!B41,'Input_APM (Zenith)'!M:M,'Check (Zenith)'!$C$1)))</f>
        <v>0</v>
      </c>
      <c r="D41" s="173">
        <f>IF(B41="","",IF(OR(LEFT(B41,4)="Cash",LEFT(B41,4)="Prov"),0,SUMIFS('Input_APM (Zenith)'!N:N,'Input_APM (Zenith)'!L:L,'Check (Zenith)'!B41,'Input_APM (Zenith)'!M:M,'Check (Zenith)'!$D$1)))</f>
        <v>0</v>
      </c>
      <c r="E41" s="173">
        <f t="shared" si="0"/>
        <v>0</v>
      </c>
    </row>
    <row r="42" spans="2:5">
      <c r="B42" t="s">
        <v>260</v>
      </c>
      <c r="C42" s="173">
        <f>IF(B42="","",IF(OR(LEFT(B42,4)="Cash",LEFT(B42,4)="Prov"),0,SUMIFS('Input_APM (Zenith)'!N:N,'Input_APM (Zenith)'!L:L,'Check (Zenith)'!B42,'Input_APM (Zenith)'!M:M,'Check (Zenith)'!$C$1)))</f>
        <v>0</v>
      </c>
      <c r="D42" s="173">
        <f>IF(B42="","",IF(OR(LEFT(B42,4)="Cash",LEFT(B42,4)="Prov"),0,SUMIFS('Input_APM (Zenith)'!N:N,'Input_APM (Zenith)'!L:L,'Check (Zenith)'!B42,'Input_APM (Zenith)'!M:M,'Check (Zenith)'!$D$1)))</f>
        <v>0</v>
      </c>
      <c r="E42" s="173">
        <f t="shared" si="0"/>
        <v>0</v>
      </c>
    </row>
    <row r="43" spans="2:5">
      <c r="B43" t="s">
        <v>232</v>
      </c>
      <c r="C43" s="173">
        <f>IF(B43="","",IF(OR(LEFT(B43,4)="Cash",LEFT(B43,4)="Prov"),0,SUMIFS('Input_APM (Zenith)'!N:N,'Input_APM (Zenith)'!L:L,'Check (Zenith)'!B43,'Input_APM (Zenith)'!M:M,'Check (Zenith)'!$C$1)))</f>
        <v>0</v>
      </c>
      <c r="D43" s="173">
        <f>IF(B43="","",IF(OR(LEFT(B43,4)="Cash",LEFT(B43,4)="Prov"),0,SUMIFS('Input_APM (Zenith)'!N:N,'Input_APM (Zenith)'!L:L,'Check (Zenith)'!B43,'Input_APM (Zenith)'!M:M,'Check (Zenith)'!$D$1)))</f>
        <v>0</v>
      </c>
      <c r="E43" s="173">
        <f t="shared" si="0"/>
        <v>0</v>
      </c>
    </row>
    <row r="44" spans="2:5">
      <c r="B44" t="s">
        <v>261</v>
      </c>
      <c r="C44" s="173">
        <f>IF(B44="","",IF(OR(LEFT(B44,4)="Cash",LEFT(B44,4)="Prov"),0,SUMIFS('Input_APM (Zenith)'!N:N,'Input_APM (Zenith)'!L:L,'Check (Zenith)'!B44,'Input_APM (Zenith)'!M:M,'Check (Zenith)'!$C$1)))</f>
        <v>0</v>
      </c>
      <c r="D44" s="173">
        <f>IF(B44="","",IF(OR(LEFT(B44,4)="Cash",LEFT(B44,4)="Prov"),0,SUMIFS('Input_APM (Zenith)'!N:N,'Input_APM (Zenith)'!L:L,'Check (Zenith)'!B44,'Input_APM (Zenith)'!M:M,'Check (Zenith)'!$D$1)))</f>
        <v>0</v>
      </c>
      <c r="E44" s="173">
        <f t="shared" si="0"/>
        <v>0</v>
      </c>
    </row>
    <row r="45" spans="2:5">
      <c r="B45" t="s">
        <v>233</v>
      </c>
      <c r="C45" s="173">
        <f>IF(B45="","",IF(OR(LEFT(B45,4)="Cash",LEFT(B45,4)="Prov"),0,SUMIFS('Input_APM (Zenith)'!N:N,'Input_APM (Zenith)'!L:L,'Check (Zenith)'!B45,'Input_APM (Zenith)'!M:M,'Check (Zenith)'!$C$1)))</f>
        <v>0</v>
      </c>
      <c r="D45" s="173">
        <f>IF(B45="","",IF(OR(LEFT(B45,4)="Cash",LEFT(B45,4)="Prov"),0,SUMIFS('Input_APM (Zenith)'!N:N,'Input_APM (Zenith)'!L:L,'Check (Zenith)'!B45,'Input_APM (Zenith)'!M:M,'Check (Zenith)'!$D$1)))</f>
        <v>0</v>
      </c>
      <c r="E45" s="173">
        <f t="shared" si="0"/>
        <v>0</v>
      </c>
    </row>
    <row r="46" spans="2:5">
      <c r="B46" t="s">
        <v>82</v>
      </c>
      <c r="C46" s="173">
        <f>IF(B46="","",IF(OR(LEFT(B46,4)="Cash",LEFT(B46,4)="Prov"),0,SUMIFS('Input_APM (Zenith)'!N:N,'Input_APM (Zenith)'!L:L,'Check (Zenith)'!B46,'Input_APM (Zenith)'!M:M,'Check (Zenith)'!$C$1)))</f>
        <v>0</v>
      </c>
      <c r="D46" s="173">
        <f>IF(B46="","",IF(OR(LEFT(B46,4)="Cash",LEFT(B46,4)="Prov"),0,SUMIFS('Input_APM (Zenith)'!N:N,'Input_APM (Zenith)'!L:L,'Check (Zenith)'!B46,'Input_APM (Zenith)'!M:M,'Check (Zenith)'!$D$1)))</f>
        <v>0</v>
      </c>
      <c r="E46" s="173">
        <f t="shared" si="0"/>
        <v>0</v>
      </c>
    </row>
    <row r="47" spans="2:5">
      <c r="B47" t="s">
        <v>262</v>
      </c>
      <c r="C47" s="173">
        <f>IF(B47="","",IF(OR(LEFT(B47,4)="Cash",LEFT(B47,4)="Prov"),0,SUMIFS('Input_APM (Zenith)'!N:N,'Input_APM (Zenith)'!L:L,'Check (Zenith)'!B47,'Input_APM (Zenith)'!M:M,'Check (Zenith)'!$C$1)))</f>
        <v>0</v>
      </c>
      <c r="D47" s="173">
        <f>IF(B47="","",IF(OR(LEFT(B47,4)="Cash",LEFT(B47,4)="Prov"),0,SUMIFS('Input_APM (Zenith)'!N:N,'Input_APM (Zenith)'!L:L,'Check (Zenith)'!B47,'Input_APM (Zenith)'!M:M,'Check (Zenith)'!$D$1)))</f>
        <v>0</v>
      </c>
      <c r="E47" s="173">
        <f t="shared" si="0"/>
        <v>0</v>
      </c>
    </row>
    <row r="48" spans="2:5">
      <c r="B48" t="s">
        <v>3</v>
      </c>
      <c r="C48" s="173">
        <f>IF(B48="","",IF(OR(LEFT(B48,4)="Cash",LEFT(B48,4)="Prov"),0,SUMIFS('Input_APM (Zenith)'!N:N,'Input_APM (Zenith)'!L:L,'Check (Zenith)'!B48,'Input_APM (Zenith)'!M:M,'Check (Zenith)'!$C$1)))</f>
        <v>0</v>
      </c>
      <c r="D48" s="173">
        <f>IF(B48="","",IF(OR(LEFT(B48,4)="Cash",LEFT(B48,4)="Prov"),0,SUMIFS('Input_APM (Zenith)'!N:N,'Input_APM (Zenith)'!L:L,'Check (Zenith)'!B48,'Input_APM (Zenith)'!M:M,'Check (Zenith)'!$D$1)))</f>
        <v>0</v>
      </c>
      <c r="E48" s="173">
        <f t="shared" si="0"/>
        <v>0</v>
      </c>
    </row>
    <row r="49" spans="2:5">
      <c r="B49" t="s">
        <v>234</v>
      </c>
      <c r="C49" s="173">
        <f>IF(B49="","",IF(OR(LEFT(B49,4)="Cash",LEFT(B49,4)="Prov"),0,SUMIFS('Input_APM (Zenith)'!N:N,'Input_APM (Zenith)'!L:L,'Check (Zenith)'!B49,'Input_APM (Zenith)'!M:M,'Check (Zenith)'!$C$1)))</f>
        <v>0</v>
      </c>
      <c r="D49" s="173">
        <f>IF(B49="","",IF(OR(LEFT(B49,4)="Cash",LEFT(B49,4)="Prov"),0,SUMIFS('Input_APM (Zenith)'!N:N,'Input_APM (Zenith)'!L:L,'Check (Zenith)'!B49,'Input_APM (Zenith)'!M:M,'Check (Zenith)'!$D$1)))</f>
        <v>0</v>
      </c>
      <c r="E49" s="173">
        <f t="shared" si="0"/>
        <v>0</v>
      </c>
    </row>
    <row r="50" spans="2:5">
      <c r="B50" t="s">
        <v>43</v>
      </c>
      <c r="C50" s="173">
        <f>IF(B50="","",IF(OR(LEFT(B50,4)="Cash",LEFT(B50,4)="Prov"),0,SUMIFS('Input_APM (Zenith)'!N:N,'Input_APM (Zenith)'!L:L,'Check (Zenith)'!B50,'Input_APM (Zenith)'!M:M,'Check (Zenith)'!$C$1)))</f>
        <v>0</v>
      </c>
      <c r="D50" s="173">
        <f>IF(B50="","",IF(OR(LEFT(B50,4)="Cash",LEFT(B50,4)="Prov"),0,SUMIFS('Input_APM (Zenith)'!N:N,'Input_APM (Zenith)'!L:L,'Check (Zenith)'!B50,'Input_APM (Zenith)'!M:M,'Check (Zenith)'!$D$1)))</f>
        <v>0</v>
      </c>
      <c r="E50" s="173">
        <f t="shared" si="0"/>
        <v>0</v>
      </c>
    </row>
    <row r="51" spans="2:5">
      <c r="B51" t="s">
        <v>235</v>
      </c>
      <c r="C51" s="173">
        <f>IF(B51="","",IF(OR(LEFT(B51,4)="Cash",LEFT(B51,4)="Prov"),0,SUMIFS('Input_APM (Zenith)'!N:N,'Input_APM (Zenith)'!L:L,'Check (Zenith)'!B51,'Input_APM (Zenith)'!M:M,'Check (Zenith)'!$C$1)))</f>
        <v>0</v>
      </c>
      <c r="D51" s="173">
        <f>IF(B51="","",IF(OR(LEFT(B51,4)="Cash",LEFT(B51,4)="Prov"),0,SUMIFS('Input_APM (Zenith)'!N:N,'Input_APM (Zenith)'!L:L,'Check (Zenith)'!B51,'Input_APM (Zenith)'!M:M,'Check (Zenith)'!$D$1)))</f>
        <v>0</v>
      </c>
      <c r="E51" s="173">
        <f t="shared" si="0"/>
        <v>0</v>
      </c>
    </row>
    <row r="52" spans="2:5">
      <c r="B52" t="s">
        <v>236</v>
      </c>
      <c r="C52" s="173">
        <f>IF(B52="","",IF(OR(LEFT(B52,4)="Cash",LEFT(B52,4)="Prov"),0,SUMIFS('Input_APM (Zenith)'!N:N,'Input_APM (Zenith)'!L:L,'Check (Zenith)'!B52,'Input_APM (Zenith)'!M:M,'Check (Zenith)'!$C$1)))</f>
        <v>0</v>
      </c>
      <c r="D52" s="173">
        <f>IF(B52="","",IF(OR(LEFT(B52,4)="Cash",LEFT(B52,4)="Prov"),0,SUMIFS('Input_APM (Zenith)'!N:N,'Input_APM (Zenith)'!L:L,'Check (Zenith)'!B52,'Input_APM (Zenith)'!M:M,'Check (Zenith)'!$D$1)))</f>
        <v>0</v>
      </c>
      <c r="E52" s="173">
        <f t="shared" si="0"/>
        <v>0</v>
      </c>
    </row>
    <row r="53" spans="2:5">
      <c r="B53" t="s">
        <v>44</v>
      </c>
      <c r="C53" s="173">
        <f>IF(B53="","",IF(OR(LEFT(B53,4)="Cash",LEFT(B53,4)="Prov"),0,SUMIFS('Input_APM (Zenith)'!N:N,'Input_APM (Zenith)'!L:L,'Check (Zenith)'!B53,'Input_APM (Zenith)'!M:M,'Check (Zenith)'!$C$1)))</f>
        <v>-303</v>
      </c>
      <c r="D53" s="173">
        <f>IF(B53="","",IF(OR(LEFT(B53,4)="Cash",LEFT(B53,4)="Prov"),0,SUMIFS('Input_APM (Zenith)'!N:N,'Input_APM (Zenith)'!L:L,'Check (Zenith)'!B53,'Input_APM (Zenith)'!M:M,'Check (Zenith)'!$D$1)))</f>
        <v>0</v>
      </c>
      <c r="E53" s="173">
        <f t="shared" si="0"/>
        <v>-303</v>
      </c>
    </row>
    <row r="54" spans="2:5">
      <c r="B54" t="s">
        <v>35</v>
      </c>
      <c r="C54" s="173">
        <f>IF(B54="","",IF(OR(LEFT(B54,4)="Cash",LEFT(B54,4)="Prov"),0,SUMIFS('Input_APM (Zenith)'!N:N,'Input_APM (Zenith)'!L:L,'Check (Zenith)'!B54,'Input_APM (Zenith)'!M:M,'Check (Zenith)'!$C$1)))</f>
        <v>0</v>
      </c>
      <c r="D54" s="173">
        <f>IF(B54="","",IF(OR(LEFT(B54,4)="Cash",LEFT(B54,4)="Prov"),0,SUMIFS('Input_APM (Zenith)'!N:N,'Input_APM (Zenith)'!L:L,'Check (Zenith)'!B54,'Input_APM (Zenith)'!M:M,'Check (Zenith)'!$D$1)))</f>
        <v>0</v>
      </c>
      <c r="E54" s="173">
        <f t="shared" si="0"/>
        <v>0</v>
      </c>
    </row>
    <row r="55" spans="2:5">
      <c r="B55" t="s">
        <v>237</v>
      </c>
      <c r="C55" s="173" t="str">
        <f>IF(B55="","",IF(OR(LEFT(B55,4)="Cash",LEFT(B55,4)="Prov"),0,SUMIFS('Input_APM (Zenith)'!N:N,'Input_APM (Zenith)'!L:L,'Check (Zenith)'!B55,'Input_APM (Zenith)'!M:M,'Check (Zenith)'!$C$1)))</f>
        <v/>
      </c>
      <c r="D55" s="173" t="str">
        <f>IF(B55="","",IF(OR(LEFT(B55,4)="Cash",LEFT(B55,4)="Prov"),0,SUMIFS('Input_APM (Zenith)'!N:N,'Input_APM (Zenith)'!L:L,'Check (Zenith)'!B55,'Input_APM (Zenith)'!M:M,'Check (Zenith)'!$D$1)))</f>
        <v/>
      </c>
      <c r="E55" s="173" t="str">
        <f t="shared" si="0"/>
        <v/>
      </c>
    </row>
    <row r="56" spans="2:5">
      <c r="C56" s="173" t="str">
        <f>IF(B56="","",IF(OR(LEFT(B56,4)="Cash",LEFT(B56,4)="Prov"),0,SUMIFS('Input_APM (Zenith)'!N:N,'Input_APM (Zenith)'!L:L,'Check (Zenith)'!B56,'Input_APM (Zenith)'!M:M,'Check (Zenith)'!$C$1)))</f>
        <v/>
      </c>
      <c r="D56" s="173" t="str">
        <f>IF(B56="","",IF(OR(LEFT(B56,4)="Cash",LEFT(B56,4)="Prov"),0,SUMIFS('Input_APM (Zenith)'!N:N,'Input_APM (Zenith)'!L:L,'Check (Zenith)'!B56,'Input_APM (Zenith)'!M:M,'Check (Zenith)'!$D$1)))</f>
        <v/>
      </c>
      <c r="E56" s="173" t="str">
        <f t="shared" si="0"/>
        <v/>
      </c>
    </row>
    <row r="57" spans="2:5">
      <c r="C57" s="173" t="str">
        <f>IF(B57="","",IF(OR(LEFT(B57,4)="Cash",LEFT(B57,4)="Prov"),0,SUMIFS('Input_APM (Zenith)'!N:N,'Input_APM (Zenith)'!L:L,'Check (Zenith)'!B57,'Input_APM (Zenith)'!M:M,'Check (Zenith)'!$C$1)))</f>
        <v/>
      </c>
      <c r="D57" s="173" t="str">
        <f>IF(B57="","",IF(OR(LEFT(B57,4)="Cash",LEFT(B57,4)="Prov"),0,SUMIFS('Input_APM (Zenith)'!N:N,'Input_APM (Zenith)'!L:L,'Check (Zenith)'!B57,'Input_APM (Zenith)'!M:M,'Check (Zenith)'!$D$1)))</f>
        <v/>
      </c>
      <c r="E57" s="173" t="str">
        <f t="shared" si="0"/>
        <v/>
      </c>
    </row>
    <row r="58" spans="2:5">
      <c r="C58" s="173" t="str">
        <f>IF(B58="","",IF(OR(LEFT(B58,4)="Cash",LEFT(B58,4)="Prov"),0,SUMIFS('Input_APM (Zenith)'!N:N,'Input_APM (Zenith)'!L:L,'Check (Zenith)'!B58,'Input_APM (Zenith)'!M:M,'Check (Zenith)'!$C$1)))</f>
        <v/>
      </c>
      <c r="D58" s="173" t="str">
        <f>IF(B58="","",IF(OR(LEFT(B58,4)="Cash",LEFT(B58,4)="Prov"),0,SUMIFS('Input_APM (Zenith)'!N:N,'Input_APM (Zenith)'!L:L,'Check (Zenith)'!B58,'Input_APM (Zenith)'!M:M,'Check (Zenith)'!$D$1)))</f>
        <v/>
      </c>
      <c r="E58" s="173" t="str">
        <f t="shared" si="0"/>
        <v/>
      </c>
    </row>
    <row r="59" spans="2:5">
      <c r="C59" s="173" t="str">
        <f>IF(B59="","",IF(OR(LEFT(B59,4)="Cash",LEFT(B59,4)="Prov"),0,SUMIFS('Input_APM (Zenith)'!N:N,'Input_APM (Zenith)'!L:L,'Check (Zenith)'!B59,'Input_APM (Zenith)'!M:M,'Check (Zenith)'!$C$1)))</f>
        <v/>
      </c>
      <c r="D59" s="173" t="str">
        <f>IF(B59="","",IF(OR(LEFT(B59,4)="Cash",LEFT(B59,4)="Prov"),0,SUMIFS('Input_APM (Zenith)'!N:N,'Input_APM (Zenith)'!L:L,'Check (Zenith)'!B59,'Input_APM (Zenith)'!M:M,'Check (Zenith)'!$D$1)))</f>
        <v/>
      </c>
      <c r="E59" s="173" t="str">
        <f t="shared" si="0"/>
        <v/>
      </c>
    </row>
    <row r="60" spans="2:5">
      <c r="C60" s="173" t="str">
        <f>IF(B60="","",IF(OR(LEFT(B60,4)="Cash",LEFT(B60,4)="Prov"),0,SUMIFS('Input_APM (Zenith)'!N:N,'Input_APM (Zenith)'!L:L,'Check (Zenith)'!B60,'Input_APM (Zenith)'!M:M,'Check (Zenith)'!$C$1)))</f>
        <v/>
      </c>
      <c r="D60" s="173" t="str">
        <f>IF(B60="","",IF(OR(LEFT(B60,4)="Cash",LEFT(B60,4)="Prov"),0,SUMIFS('Input_APM (Zenith)'!N:N,'Input_APM (Zenith)'!L:L,'Check (Zenith)'!B60,'Input_APM (Zenith)'!M:M,'Check (Zenith)'!$D$1)))</f>
        <v/>
      </c>
      <c r="E60" s="173" t="str">
        <f t="shared" si="0"/>
        <v/>
      </c>
    </row>
    <row r="61" spans="2:5">
      <c r="C61" s="173" t="str">
        <f>IF(B61="","",IF(OR(LEFT(B61,4)="Cash",LEFT(B61,4)="Prov"),0,SUMIFS('Input_APM (Zenith)'!N:N,'Input_APM (Zenith)'!L:L,'Check (Zenith)'!B61,'Input_APM (Zenith)'!M:M,'Check (Zenith)'!$C$1)))</f>
        <v/>
      </c>
      <c r="D61" s="173" t="str">
        <f>IF(B61="","",IF(OR(LEFT(B61,4)="Cash",LEFT(B61,4)="Prov"),0,SUMIFS('Input_APM (Zenith)'!N:N,'Input_APM (Zenith)'!L:L,'Check (Zenith)'!B61,'Input_APM (Zenith)'!M:M,'Check (Zenith)'!$D$1)))</f>
        <v/>
      </c>
      <c r="E61" s="173" t="str">
        <f t="shared" si="0"/>
        <v/>
      </c>
    </row>
    <row r="62" spans="2:5">
      <c r="C62" s="173" t="str">
        <f>IF(B62="","",IF(OR(LEFT(B62,4)="Cash",LEFT(B62,4)="Prov"),0,SUMIFS('Input_APM (Zenith)'!N:N,'Input_APM (Zenith)'!L:L,'Check (Zenith)'!B62,'Input_APM (Zenith)'!M:M,'Check (Zenith)'!$C$1)))</f>
        <v/>
      </c>
      <c r="D62" s="173" t="str">
        <f>IF(B62="","",IF(OR(LEFT(B62,4)="Cash",LEFT(B62,4)="Prov"),0,SUMIFS('Input_APM (Zenith)'!N:N,'Input_APM (Zenith)'!L:L,'Check (Zenith)'!B62,'Input_APM (Zenith)'!M:M,'Check (Zenith)'!$D$1)))</f>
        <v/>
      </c>
      <c r="E62" s="173" t="str">
        <f t="shared" si="0"/>
        <v/>
      </c>
    </row>
    <row r="63" spans="2:5">
      <c r="C63" s="173" t="str">
        <f>IF(B63="","",IF(OR(LEFT(B63,4)="Cash",LEFT(B63,4)="Prov"),0,SUMIFS('Input_APM (Zenith)'!N:N,'Input_APM (Zenith)'!L:L,'Check (Zenith)'!B63,'Input_APM (Zenith)'!M:M,'Check (Zenith)'!$C$1)))</f>
        <v/>
      </c>
      <c r="D63" s="173" t="str">
        <f>IF(B63="","",IF(OR(LEFT(B63,4)="Cash",LEFT(B63,4)="Prov"),0,SUMIFS('Input_APM (Zenith)'!N:N,'Input_APM (Zenith)'!L:L,'Check (Zenith)'!B63,'Input_APM (Zenith)'!M:M,'Check (Zenith)'!$D$1)))</f>
        <v/>
      </c>
      <c r="E63" s="173" t="str">
        <f t="shared" si="0"/>
        <v/>
      </c>
    </row>
    <row r="64" spans="2:5">
      <c r="C64" s="173" t="str">
        <f>IF(B64="","",IF(OR(LEFT(B64,4)="Cash",LEFT(B64,4)="Prov"),0,SUMIFS('Input_APM (Zenith)'!N:N,'Input_APM (Zenith)'!L:L,'Check (Zenith)'!B64,'Input_APM (Zenith)'!M:M,'Check (Zenith)'!$C$1)))</f>
        <v/>
      </c>
      <c r="D64" s="173" t="str">
        <f>IF(B64="","",IF(OR(LEFT(B64,4)="Cash",LEFT(B64,4)="Prov"),0,SUMIFS('Input_APM (Zenith)'!N:N,'Input_APM (Zenith)'!L:L,'Check (Zenith)'!B64,'Input_APM (Zenith)'!M:M,'Check (Zenith)'!$D$1)))</f>
        <v/>
      </c>
      <c r="E64" s="173" t="str">
        <f t="shared" si="0"/>
        <v/>
      </c>
    </row>
    <row r="65" spans="3:5">
      <c r="C65" s="173" t="str">
        <f>IF(B65="","",IF(OR(LEFT(B65,4)="Cash",LEFT(B65,4)="Prov"),0,SUMIFS('Input_APM (Zenith)'!N:N,'Input_APM (Zenith)'!L:L,'Check (Zenith)'!B65,'Input_APM (Zenith)'!M:M,'Check (Zenith)'!$C$1)))</f>
        <v/>
      </c>
      <c r="D65" s="173" t="str">
        <f>IF(B65="","",IF(OR(LEFT(B65,4)="Cash",LEFT(B65,4)="Prov"),0,SUMIFS('Input_APM (Zenith)'!N:N,'Input_APM (Zenith)'!L:L,'Check (Zenith)'!B65,'Input_APM (Zenith)'!M:M,'Check (Zenith)'!$D$1)))</f>
        <v/>
      </c>
      <c r="E65" s="173" t="str">
        <f t="shared" si="0"/>
        <v/>
      </c>
    </row>
    <row r="66" spans="3:5">
      <c r="C66" s="173" t="str">
        <f>IF(B66="","",IF(OR(LEFT(B66,4)="Cash",LEFT(B66,4)="Prov"),0,SUMIFS('Input_APM (Zenith)'!N:N,'Input_APM (Zenith)'!L:L,'Check (Zenith)'!B66,'Input_APM (Zenith)'!M:M,'Check (Zenith)'!$C$1)))</f>
        <v/>
      </c>
      <c r="D66" s="173" t="str">
        <f>IF(B66="","",IF(OR(LEFT(B66,4)="Cash",LEFT(B66,4)="Prov"),0,SUMIFS('Input_APM (Zenith)'!N:N,'Input_APM (Zenith)'!L:L,'Check (Zenith)'!B66,'Input_APM (Zenith)'!M:M,'Check (Zenith)'!$D$1)))</f>
        <v/>
      </c>
      <c r="E66" s="173" t="str">
        <f t="shared" si="0"/>
        <v/>
      </c>
    </row>
    <row r="67" spans="3:5">
      <c r="C67" s="173" t="str">
        <f>IF(B67="","",IF(OR(LEFT(B67,4)="Cash",LEFT(B67,4)="Prov"),0,SUMIFS('Input_APM (Zenith)'!N:N,'Input_APM (Zenith)'!L:L,'Check (Zenith)'!B67,'Input_APM (Zenith)'!M:M,'Check (Zenith)'!$C$1)))</f>
        <v/>
      </c>
      <c r="D67" s="173" t="str">
        <f>IF(B67="","",IF(OR(LEFT(B67,4)="Cash",LEFT(B67,4)="Prov"),0,SUMIFS('Input_APM (Zenith)'!N:N,'Input_APM (Zenith)'!L:L,'Check (Zenith)'!B67,'Input_APM (Zenith)'!M:M,'Check (Zenith)'!$D$1)))</f>
        <v/>
      </c>
      <c r="E67" s="173" t="str">
        <f t="shared" si="0"/>
        <v/>
      </c>
    </row>
    <row r="68" spans="3:5">
      <c r="C68" s="173" t="str">
        <f>IF(B68="","",IF(OR(LEFT(B68,4)="Cash",LEFT(B68,4)="Prov"),0,SUMIFS('Input_APM (Zenith)'!N:N,'Input_APM (Zenith)'!L:L,'Check (Zenith)'!B68,'Input_APM (Zenith)'!M:M,'Check (Zenith)'!$C$1)))</f>
        <v/>
      </c>
      <c r="D68" s="173" t="str">
        <f>IF(B68="","",IF(OR(LEFT(B68,4)="Cash",LEFT(B68,4)="Prov"),0,SUMIFS('Input_APM (Zenith)'!N:N,'Input_APM (Zenith)'!L:L,'Check (Zenith)'!B68,'Input_APM (Zenith)'!M:M,'Check (Zenith)'!$D$1)))</f>
        <v/>
      </c>
      <c r="E68" s="173" t="str">
        <f t="shared" si="0"/>
        <v/>
      </c>
    </row>
    <row r="69" spans="3:5">
      <c r="C69" s="173" t="str">
        <f>IF(B69="","",IF(OR(LEFT(B69,4)="Cash",LEFT(B69,4)="Prov"),0,SUMIFS('Input_APM (Zenith)'!N:N,'Input_APM (Zenith)'!L:L,'Check (Zenith)'!B69,'Input_APM (Zenith)'!M:M,'Check (Zenith)'!$C$1)))</f>
        <v/>
      </c>
      <c r="D69" s="173" t="str">
        <f>IF(B69="","",IF(OR(LEFT(B69,4)="Cash",LEFT(B69,4)="Prov"),0,SUMIFS('Input_APM (Zenith)'!N:N,'Input_APM (Zenith)'!L:L,'Check (Zenith)'!B69,'Input_APM (Zenith)'!M:M,'Check (Zenith)'!$D$1)))</f>
        <v/>
      </c>
      <c r="E69" s="173" t="str">
        <f t="shared" si="0"/>
        <v/>
      </c>
    </row>
    <row r="70" spans="3:5">
      <c r="C70" s="173" t="str">
        <f>IF(B70="","",IF(OR(LEFT(B70,4)="Cash",LEFT(B70,4)="Prov"),0,SUMIFS('Input_APM (Zenith)'!N:N,'Input_APM (Zenith)'!L:L,'Check (Zenith)'!B70,'Input_APM (Zenith)'!M:M,'Check (Zenith)'!$C$1)))</f>
        <v/>
      </c>
      <c r="D70" s="173" t="str">
        <f>IF(B70="","",IF(OR(LEFT(B70,4)="Cash",LEFT(B70,4)="Prov"),0,SUMIFS('Input_APM (Zenith)'!N:N,'Input_APM (Zenith)'!L:L,'Check (Zenith)'!B70,'Input_APM (Zenith)'!M:M,'Check (Zenith)'!$D$1)))</f>
        <v/>
      </c>
      <c r="E70" s="173" t="str">
        <f t="shared" ref="E70:E81" si="1">IF(B70="","",C70-D70)</f>
        <v/>
      </c>
    </row>
    <row r="71" spans="3:5">
      <c r="C71" s="173" t="str">
        <f>IF(B71="","",IF(OR(LEFT(B71,4)="Cash",LEFT(B71,4)="Prov"),0,SUMIFS('Input_APM (Zenith)'!N:N,'Input_APM (Zenith)'!L:L,'Check (Zenith)'!B71,'Input_APM (Zenith)'!M:M,'Check (Zenith)'!$C$1)))</f>
        <v/>
      </c>
      <c r="D71" s="173" t="str">
        <f>IF(B71="","",IF(OR(LEFT(B71,4)="Cash",LEFT(B71,4)="Prov"),0,SUMIFS('Input_APM (Zenith)'!N:N,'Input_APM (Zenith)'!L:L,'Check (Zenith)'!B71,'Input_APM (Zenith)'!M:M,'Check (Zenith)'!$D$1)))</f>
        <v/>
      </c>
      <c r="E71" s="173" t="str">
        <f t="shared" si="1"/>
        <v/>
      </c>
    </row>
    <row r="72" spans="3:5">
      <c r="C72" s="173" t="str">
        <f>IF(B72="","",IF(OR(LEFT(B72,4)="Cash",LEFT(B72,4)="Prov"),0,SUMIFS('Input_APM (Zenith)'!N:N,'Input_APM (Zenith)'!L:L,'Check (Zenith)'!B72,'Input_APM (Zenith)'!M:M,'Check (Zenith)'!$C$1)))</f>
        <v/>
      </c>
      <c r="D72" s="173" t="str">
        <f>IF(B72="","",IF(OR(LEFT(B72,4)="Cash",LEFT(B72,4)="Prov"),0,SUMIFS('Input_APM (Zenith)'!N:N,'Input_APM (Zenith)'!L:L,'Check (Zenith)'!B72,'Input_APM (Zenith)'!M:M,'Check (Zenith)'!$D$1)))</f>
        <v/>
      </c>
      <c r="E72" s="173" t="str">
        <f t="shared" si="1"/>
        <v/>
      </c>
    </row>
    <row r="73" spans="3:5">
      <c r="C73" s="173" t="str">
        <f>IF(B73="","",IF(OR(LEFT(B73,4)="Cash",LEFT(B73,4)="Prov"),0,SUMIFS('Input_APM (Zenith)'!N:N,'Input_APM (Zenith)'!L:L,'Check (Zenith)'!B73,'Input_APM (Zenith)'!M:M,'Check (Zenith)'!$C$1)))</f>
        <v/>
      </c>
      <c r="D73" s="173" t="str">
        <f>IF(B73="","",IF(OR(LEFT(B73,4)="Cash",LEFT(B73,4)="Prov"),0,SUMIFS('Input_APM (Zenith)'!N:N,'Input_APM (Zenith)'!L:L,'Check (Zenith)'!B73,'Input_APM (Zenith)'!M:M,'Check (Zenith)'!$D$1)))</f>
        <v/>
      </c>
      <c r="E73" s="173" t="str">
        <f t="shared" si="1"/>
        <v/>
      </c>
    </row>
    <row r="74" spans="3:5">
      <c r="C74" s="173" t="str">
        <f>IF(B74="","",IF(OR(LEFT(B74,4)="Cash",LEFT(B74,4)="Prov"),0,SUMIFS('Input_APM (Zenith)'!N:N,'Input_APM (Zenith)'!L:L,'Check (Zenith)'!B74,'Input_APM (Zenith)'!M:M,'Check (Zenith)'!$C$1)))</f>
        <v/>
      </c>
      <c r="D74" s="173" t="str">
        <f>IF(B74="","",IF(OR(LEFT(B74,4)="Cash",LEFT(B74,4)="Prov"),0,SUMIFS('Input_APM (Zenith)'!N:N,'Input_APM (Zenith)'!L:L,'Check (Zenith)'!B74,'Input_APM (Zenith)'!M:M,'Check (Zenith)'!$D$1)))</f>
        <v/>
      </c>
      <c r="E74" s="173" t="str">
        <f t="shared" si="1"/>
        <v/>
      </c>
    </row>
    <row r="75" spans="3:5">
      <c r="C75" s="173" t="str">
        <f>IF(B75="","",IF(OR(LEFT(B75,4)="Cash",LEFT(B75,4)="Prov"),0,SUMIFS('Input_APM (Zenith)'!N:N,'Input_APM (Zenith)'!L:L,'Check (Zenith)'!B75,'Input_APM (Zenith)'!M:M,'Check (Zenith)'!$C$1)))</f>
        <v/>
      </c>
      <c r="D75" s="173" t="str">
        <f>IF(B75="","",IF(OR(LEFT(B75,4)="Cash",LEFT(B75,4)="Prov"),0,SUMIFS('Input_APM (Zenith)'!N:N,'Input_APM (Zenith)'!L:L,'Check (Zenith)'!B75,'Input_APM (Zenith)'!M:M,'Check (Zenith)'!$D$1)))</f>
        <v/>
      </c>
      <c r="E75" s="173" t="str">
        <f t="shared" si="1"/>
        <v/>
      </c>
    </row>
    <row r="76" spans="3:5">
      <c r="C76" s="173" t="str">
        <f>IF(B76="","",IF(OR(LEFT(B76,4)="Cash",LEFT(B76,4)="Prov"),0,SUMIFS('Input_APM (Zenith)'!N:N,'Input_APM (Zenith)'!L:L,'Check (Zenith)'!B76,'Input_APM (Zenith)'!M:M,'Check (Zenith)'!$C$1)))</f>
        <v/>
      </c>
      <c r="D76" s="173" t="str">
        <f>IF(B76="","",IF(OR(LEFT(B76,4)="Cash",LEFT(B76,4)="Prov"),0,SUMIFS('Input_APM (Zenith)'!N:N,'Input_APM (Zenith)'!L:L,'Check (Zenith)'!B76,'Input_APM (Zenith)'!M:M,'Check (Zenith)'!$D$1)))</f>
        <v/>
      </c>
      <c r="E76" s="173" t="str">
        <f t="shared" si="1"/>
        <v/>
      </c>
    </row>
    <row r="77" spans="3:5">
      <c r="C77" s="173" t="str">
        <f>IF(B77="","",IF(OR(LEFT(B77,4)="Cash",LEFT(B77,4)="Prov"),0,SUMIFS('Input_APM (Zenith)'!N:N,'Input_APM (Zenith)'!L:L,'Check (Zenith)'!B77,'Input_APM (Zenith)'!M:M,'Check (Zenith)'!$C$1)))</f>
        <v/>
      </c>
      <c r="D77" s="173" t="str">
        <f>IF(B77="","",IF(OR(LEFT(B77,4)="Cash",LEFT(B77,4)="Prov"),0,SUMIFS('Input_APM (Zenith)'!N:N,'Input_APM (Zenith)'!L:L,'Check (Zenith)'!B77,'Input_APM (Zenith)'!M:M,'Check (Zenith)'!$D$1)))</f>
        <v/>
      </c>
      <c r="E77" s="173" t="str">
        <f t="shared" si="1"/>
        <v/>
      </c>
    </row>
    <row r="78" spans="3:5">
      <c r="C78" s="173" t="str">
        <f>IF(B78="","",IF(OR(LEFT(B78,4)="Cash",LEFT(B78,4)="Prov"),0,SUMIFS('Input_APM (Zenith)'!N:N,'Input_APM (Zenith)'!L:L,'Check (Zenith)'!B78,'Input_APM (Zenith)'!M:M,'Check (Zenith)'!$C$1)))</f>
        <v/>
      </c>
      <c r="D78" s="173" t="str">
        <f>IF(B78="","",IF(OR(LEFT(B78,4)="Cash",LEFT(B78,4)="Prov"),0,SUMIFS('Input_APM (Zenith)'!N:N,'Input_APM (Zenith)'!L:L,'Check (Zenith)'!B78,'Input_APM (Zenith)'!M:M,'Check (Zenith)'!$D$1)))</f>
        <v/>
      </c>
      <c r="E78" s="173" t="str">
        <f t="shared" si="1"/>
        <v/>
      </c>
    </row>
    <row r="79" spans="3:5">
      <c r="C79" s="173" t="str">
        <f>IF(B79="","",IF(OR(LEFT(B79,4)="Cash",LEFT(B79,4)="Prov"),0,SUMIFS('Input_APM (Zenith)'!N:N,'Input_APM (Zenith)'!L:L,'Check (Zenith)'!B79,'Input_APM (Zenith)'!M:M,'Check (Zenith)'!$C$1)))</f>
        <v/>
      </c>
      <c r="D79" s="173" t="str">
        <f>IF(B79="","",IF(OR(LEFT(B79,4)="Cash",LEFT(B79,4)="Prov"),0,SUMIFS('Input_APM (Zenith)'!N:N,'Input_APM (Zenith)'!L:L,'Check (Zenith)'!B79,'Input_APM (Zenith)'!M:M,'Check (Zenith)'!$D$1)))</f>
        <v/>
      </c>
      <c r="E79" s="173" t="str">
        <f t="shared" si="1"/>
        <v/>
      </c>
    </row>
    <row r="80" spans="3:5">
      <c r="C80" s="173" t="str">
        <f>IF(B80="","",IF(OR(LEFT(B80,4)="Cash",LEFT(B80,4)="Prov"),0,SUMIFS('Input_APM (Zenith)'!N:N,'Input_APM (Zenith)'!L:L,'Check (Zenith)'!B80,'Input_APM (Zenith)'!M:M,'Check (Zenith)'!$C$1)))</f>
        <v/>
      </c>
      <c r="D80" s="173" t="str">
        <f>IF(B80="","",IF(OR(LEFT(B80,4)="Cash",LEFT(B80,4)="Prov"),0,SUMIFS('Input_APM (Zenith)'!N:N,'Input_APM (Zenith)'!L:L,'Check (Zenith)'!B80,'Input_APM (Zenith)'!M:M,'Check (Zenith)'!$D$1)))</f>
        <v/>
      </c>
      <c r="E80" s="173" t="str">
        <f t="shared" si="1"/>
        <v/>
      </c>
    </row>
    <row r="81" spans="3:5">
      <c r="C81" s="173" t="str">
        <f>IF(B81="","",IF(OR(LEFT(B81,4)="Cash",LEFT(B81,4)="Prov"),0,SUMIFS('Input_APM (Zenith)'!N:N,'Input_APM (Zenith)'!L:L,'Check (Zenith)'!B81,'Input_APM (Zenith)'!M:M,'Check (Zenith)'!$C$1)))</f>
        <v/>
      </c>
      <c r="D81" s="173" t="str">
        <f>IF(B81="","",IF(OR(LEFT(B81,4)="Cash",LEFT(B81,4)="Prov"),0,SUMIFS('Input_APM (Zenith)'!N:N,'Input_APM (Zenith)'!L:L,'Check (Zenith)'!B81,'Input_APM (Zenith)'!M:M,'Check (Zenith)'!$D$1)))</f>
        <v/>
      </c>
      <c r="E81" s="173" t="str">
        <f t="shared" si="1"/>
        <v/>
      </c>
    </row>
    <row r="82" spans="3:5">
      <c r="C82" s="173" t="str">
        <f>IF(B82="","",IF(OR(LEFT(B82,4)="Cash",LEFT(B82,4)="Prov"),0,SUMIFS('Input_APM (Zenith)'!N:N,'Input_APM (Zenith)'!L:L,'Check (Zenith)'!B82,'Input_APM (Zenith)'!M:M,'Check (Zenith)'!$C$1)))</f>
        <v/>
      </c>
      <c r="D82" s="173" t="str">
        <f>IF(B82="","",IF(OR(LEFT(B82,4)="Cash",LEFT(B82,4)="Prov"),0,SUMIFS('Input_APM (Zenith)'!N:N,'Input_APM (Zenith)'!L:L,'Check (Zenith)'!B82,'Input_APM (Zenith)'!M:M,'Check (Zenith)'!$D$1)))</f>
        <v/>
      </c>
      <c r="E82" s="173" t="str">
        <f t="shared" ref="E82:E145" si="2">IF(B82="","",C82-D82)</f>
        <v/>
      </c>
    </row>
    <row r="83" spans="3:5">
      <c r="C83" s="173" t="str">
        <f>IF(B83="","",IF(OR(LEFT(B83,4)="Cash",LEFT(B83,4)="Prov"),0,SUMIFS('Input_APM (Zenith)'!N:N,'Input_APM (Zenith)'!L:L,'Check (Zenith)'!B83,'Input_APM (Zenith)'!M:M,'Check (Zenith)'!$C$1)))</f>
        <v/>
      </c>
      <c r="D83" s="173" t="str">
        <f>IF(B83="","",IF(OR(LEFT(B83,4)="Cash",LEFT(B83,4)="Prov"),0,SUMIFS('Input_APM (Zenith)'!N:N,'Input_APM (Zenith)'!L:L,'Check (Zenith)'!B83,'Input_APM (Zenith)'!M:M,'Check (Zenith)'!$D$1)))</f>
        <v/>
      </c>
      <c r="E83" s="173" t="str">
        <f t="shared" si="2"/>
        <v/>
      </c>
    </row>
    <row r="84" spans="3:5">
      <c r="C84" s="173" t="str">
        <f>IF(B84="","",IF(OR(LEFT(B84,4)="Cash",LEFT(B84,4)="Prov"),0,SUMIFS('Input_APM (Zenith)'!N:N,'Input_APM (Zenith)'!L:L,'Check (Zenith)'!B84,'Input_APM (Zenith)'!M:M,'Check (Zenith)'!$C$1)))</f>
        <v/>
      </c>
      <c r="D84" s="173" t="str">
        <f>IF(B84="","",IF(OR(LEFT(B84,4)="Cash",LEFT(B84,4)="Prov"),0,SUMIFS('Input_APM (Zenith)'!N:N,'Input_APM (Zenith)'!L:L,'Check (Zenith)'!B84,'Input_APM (Zenith)'!M:M,'Check (Zenith)'!$D$1)))</f>
        <v/>
      </c>
      <c r="E84" s="173" t="str">
        <f t="shared" si="2"/>
        <v/>
      </c>
    </row>
    <row r="85" spans="3:5">
      <c r="C85" s="173" t="str">
        <f>IF(B85="","",IF(OR(LEFT(B85,4)="Cash",LEFT(B85,4)="Prov"),0,SUMIFS('Input_APM (Zenith)'!N:N,'Input_APM (Zenith)'!L:L,'Check (Zenith)'!B85,'Input_APM (Zenith)'!M:M,'Check (Zenith)'!$C$1)))</f>
        <v/>
      </c>
      <c r="D85" s="173" t="str">
        <f>IF(B85="","",IF(OR(LEFT(B85,4)="Cash",LEFT(B85,4)="Prov"),0,SUMIFS('Input_APM (Zenith)'!N:N,'Input_APM (Zenith)'!L:L,'Check (Zenith)'!B85,'Input_APM (Zenith)'!M:M,'Check (Zenith)'!$D$1)))</f>
        <v/>
      </c>
      <c r="E85" s="173" t="str">
        <f t="shared" si="2"/>
        <v/>
      </c>
    </row>
    <row r="86" spans="3:5">
      <c r="C86" s="173" t="str">
        <f>IF(B86="","",IF(OR(LEFT(B86,4)="Cash",LEFT(B86,4)="Prov"),0,SUMIFS('Input_APM (Zenith)'!N:N,'Input_APM (Zenith)'!L:L,'Check (Zenith)'!B86,'Input_APM (Zenith)'!M:M,'Check (Zenith)'!$C$1)))</f>
        <v/>
      </c>
      <c r="D86" s="173" t="str">
        <f>IF(B86="","",IF(OR(LEFT(B86,4)="Cash",LEFT(B86,4)="Prov"),0,SUMIFS('Input_APM (Zenith)'!N:N,'Input_APM (Zenith)'!L:L,'Check (Zenith)'!B86,'Input_APM (Zenith)'!M:M,'Check (Zenith)'!$D$1)))</f>
        <v/>
      </c>
      <c r="E86" s="173" t="str">
        <f t="shared" si="2"/>
        <v/>
      </c>
    </row>
    <row r="87" spans="3:5">
      <c r="C87" s="173" t="str">
        <f>IF(B87="","",IF(OR(LEFT(B87,4)="Cash",LEFT(B87,4)="Prov"),0,SUMIFS('Input_APM (Zenith)'!N:N,'Input_APM (Zenith)'!L:L,'Check (Zenith)'!B87,'Input_APM (Zenith)'!M:M,'Check (Zenith)'!$C$1)))</f>
        <v/>
      </c>
      <c r="D87" s="173" t="str">
        <f>IF(B87="","",IF(OR(LEFT(B87,4)="Cash",LEFT(B87,4)="Prov"),0,SUMIFS('Input_APM (Zenith)'!N:N,'Input_APM (Zenith)'!L:L,'Check (Zenith)'!B87,'Input_APM (Zenith)'!M:M,'Check (Zenith)'!$D$1)))</f>
        <v/>
      </c>
      <c r="E87" s="173" t="str">
        <f t="shared" si="2"/>
        <v/>
      </c>
    </row>
    <row r="88" spans="3:5">
      <c r="C88" s="173" t="str">
        <f>IF(B88="","",IF(OR(LEFT(B88,4)="Cash",LEFT(B88,4)="Prov"),0,SUMIFS('Input_APM (Zenith)'!N:N,'Input_APM (Zenith)'!L:L,'Check (Zenith)'!B88,'Input_APM (Zenith)'!M:M,'Check (Zenith)'!$C$1)))</f>
        <v/>
      </c>
      <c r="D88" s="173" t="str">
        <f>IF(B88="","",IF(OR(LEFT(B88,4)="Cash",LEFT(B88,4)="Prov"),0,SUMIFS('Input_APM (Zenith)'!N:N,'Input_APM (Zenith)'!L:L,'Check (Zenith)'!B88,'Input_APM (Zenith)'!M:M,'Check (Zenith)'!$D$1)))</f>
        <v/>
      </c>
      <c r="E88" s="173" t="str">
        <f t="shared" si="2"/>
        <v/>
      </c>
    </row>
    <row r="89" spans="3:5">
      <c r="C89" s="173" t="str">
        <f>IF(B89="","",IF(OR(LEFT(B89,4)="Cash",LEFT(B89,4)="Prov"),0,SUMIFS('Input_APM (Zenith)'!N:N,'Input_APM (Zenith)'!L:L,'Check (Zenith)'!B89,'Input_APM (Zenith)'!M:M,'Check (Zenith)'!$C$1)))</f>
        <v/>
      </c>
      <c r="D89" s="173" t="str">
        <f>IF(B89="","",IF(OR(LEFT(B89,4)="Cash",LEFT(B89,4)="Prov"),0,SUMIFS('Input_APM (Zenith)'!N:N,'Input_APM (Zenith)'!L:L,'Check (Zenith)'!B89,'Input_APM (Zenith)'!M:M,'Check (Zenith)'!$D$1)))</f>
        <v/>
      </c>
      <c r="E89" s="173" t="str">
        <f t="shared" si="2"/>
        <v/>
      </c>
    </row>
    <row r="90" spans="3:5">
      <c r="C90" s="173" t="str">
        <f>IF(B90="","",IF(OR(LEFT(B90,4)="Cash",LEFT(B90,4)="Prov"),0,SUMIFS('Input_APM (Zenith)'!N:N,'Input_APM (Zenith)'!L:L,'Check (Zenith)'!B90,'Input_APM (Zenith)'!M:M,'Check (Zenith)'!$C$1)))</f>
        <v/>
      </c>
      <c r="D90" s="173" t="str">
        <f>IF(B90="","",IF(OR(LEFT(B90,4)="Cash",LEFT(B90,4)="Prov"),0,SUMIFS('Input_APM (Zenith)'!N:N,'Input_APM (Zenith)'!L:L,'Check (Zenith)'!B90,'Input_APM (Zenith)'!M:M,'Check (Zenith)'!$D$1)))</f>
        <v/>
      </c>
      <c r="E90" s="173" t="str">
        <f t="shared" si="2"/>
        <v/>
      </c>
    </row>
    <row r="91" spans="3:5">
      <c r="C91" s="173" t="str">
        <f>IF(B91="","",IF(OR(LEFT(B91,4)="Cash",LEFT(B91,4)="Prov"),0,SUMIFS('Input_APM (Zenith)'!N:N,'Input_APM (Zenith)'!L:L,'Check (Zenith)'!B91,'Input_APM (Zenith)'!M:M,'Check (Zenith)'!$C$1)))</f>
        <v/>
      </c>
      <c r="D91" s="173" t="str">
        <f>IF(B91="","",IF(OR(LEFT(B91,4)="Cash",LEFT(B91,4)="Prov"),0,SUMIFS('Input_APM (Zenith)'!N:N,'Input_APM (Zenith)'!L:L,'Check (Zenith)'!B91,'Input_APM (Zenith)'!M:M,'Check (Zenith)'!$D$1)))</f>
        <v/>
      </c>
      <c r="E91" s="173" t="str">
        <f t="shared" si="2"/>
        <v/>
      </c>
    </row>
    <row r="92" spans="3:5">
      <c r="C92" s="173" t="str">
        <f>IF(B92="","",IF(OR(LEFT(B92,4)="Cash",LEFT(B92,4)="Prov"),0,SUMIFS('Input_APM (Zenith)'!N:N,'Input_APM (Zenith)'!L:L,'Check (Zenith)'!B92,'Input_APM (Zenith)'!M:M,'Check (Zenith)'!$C$1)))</f>
        <v/>
      </c>
      <c r="D92" s="173" t="str">
        <f>IF(B92="","",IF(OR(LEFT(B92,4)="Cash",LEFT(B92,4)="Prov"),0,SUMIFS('Input_APM (Zenith)'!N:N,'Input_APM (Zenith)'!L:L,'Check (Zenith)'!B92,'Input_APM (Zenith)'!M:M,'Check (Zenith)'!$D$1)))</f>
        <v/>
      </c>
      <c r="E92" s="173" t="str">
        <f t="shared" si="2"/>
        <v/>
      </c>
    </row>
    <row r="93" spans="3:5">
      <c r="C93" s="173" t="str">
        <f>IF(B93="","",IF(OR(LEFT(B93,4)="Cash",LEFT(B93,4)="Prov"),0,SUMIFS('Input_APM (Zenith)'!N:N,'Input_APM (Zenith)'!L:L,'Check (Zenith)'!B93,'Input_APM (Zenith)'!M:M,'Check (Zenith)'!$C$1)))</f>
        <v/>
      </c>
      <c r="D93" s="173" t="str">
        <f>IF(B93="","",IF(OR(LEFT(B93,4)="Cash",LEFT(B93,4)="Prov"),0,SUMIFS('Input_APM (Zenith)'!N:N,'Input_APM (Zenith)'!L:L,'Check (Zenith)'!B93,'Input_APM (Zenith)'!M:M,'Check (Zenith)'!$D$1)))</f>
        <v/>
      </c>
      <c r="E93" s="173" t="str">
        <f t="shared" si="2"/>
        <v/>
      </c>
    </row>
    <row r="94" spans="3:5">
      <c r="C94" s="173" t="str">
        <f>IF(B94="","",IF(OR(LEFT(B94,4)="Cash",LEFT(B94,4)="Prov"),0,SUMIFS('Input_APM (Zenith)'!N:N,'Input_APM (Zenith)'!L:L,'Check (Zenith)'!B94,'Input_APM (Zenith)'!M:M,'Check (Zenith)'!$C$1)))</f>
        <v/>
      </c>
      <c r="D94" s="173" t="str">
        <f>IF(B94="","",IF(OR(LEFT(B94,4)="Cash",LEFT(B94,4)="Prov"),0,SUMIFS('Input_APM (Zenith)'!N:N,'Input_APM (Zenith)'!L:L,'Check (Zenith)'!B94,'Input_APM (Zenith)'!M:M,'Check (Zenith)'!$D$1)))</f>
        <v/>
      </c>
      <c r="E94" s="173" t="str">
        <f t="shared" si="2"/>
        <v/>
      </c>
    </row>
    <row r="95" spans="3:5">
      <c r="C95" s="173" t="str">
        <f>IF(B95="","",IF(OR(LEFT(B95,4)="Cash",LEFT(B95,4)="Prov"),0,SUMIFS('Input_APM (Zenith)'!N:N,'Input_APM (Zenith)'!L:L,'Check (Zenith)'!B95,'Input_APM (Zenith)'!M:M,'Check (Zenith)'!$C$1)))</f>
        <v/>
      </c>
      <c r="D95" s="173" t="str">
        <f>IF(B95="","",IF(OR(LEFT(B95,4)="Cash",LEFT(B95,4)="Prov"),0,SUMIFS('Input_APM (Zenith)'!N:N,'Input_APM (Zenith)'!L:L,'Check (Zenith)'!B95,'Input_APM (Zenith)'!M:M,'Check (Zenith)'!$D$1)))</f>
        <v/>
      </c>
      <c r="E95" s="173" t="str">
        <f t="shared" si="2"/>
        <v/>
      </c>
    </row>
    <row r="96" spans="3:5">
      <c r="C96" s="173" t="str">
        <f>IF(B96="","",IF(OR(LEFT(B96,4)="Cash",LEFT(B96,4)="Prov"),0,SUMIFS('Input_APM (Zenith)'!N:N,'Input_APM (Zenith)'!L:L,'Check (Zenith)'!B96,'Input_APM (Zenith)'!M:M,'Check (Zenith)'!$C$1)))</f>
        <v/>
      </c>
      <c r="D96" s="173" t="str">
        <f>IF(B96="","",IF(OR(LEFT(B96,4)="Cash",LEFT(B96,4)="Prov"),0,SUMIFS('Input_APM (Zenith)'!N:N,'Input_APM (Zenith)'!L:L,'Check (Zenith)'!B96,'Input_APM (Zenith)'!M:M,'Check (Zenith)'!$D$1)))</f>
        <v/>
      </c>
      <c r="E96" s="173" t="str">
        <f t="shared" si="2"/>
        <v/>
      </c>
    </row>
    <row r="97" spans="3:5">
      <c r="C97" s="173" t="str">
        <f>IF(B97="","",IF(OR(LEFT(B97,4)="Cash",LEFT(B97,4)="Prov"),0,SUMIFS('Input_APM (Zenith)'!N:N,'Input_APM (Zenith)'!L:L,'Check (Zenith)'!B97,'Input_APM (Zenith)'!M:M,'Check (Zenith)'!$C$1)))</f>
        <v/>
      </c>
      <c r="D97" s="173" t="str">
        <f>IF(B97="","",IF(OR(LEFT(B97,4)="Cash",LEFT(B97,4)="Prov"),0,SUMIFS('Input_APM (Zenith)'!N:N,'Input_APM (Zenith)'!L:L,'Check (Zenith)'!B97,'Input_APM (Zenith)'!M:M,'Check (Zenith)'!$D$1)))</f>
        <v/>
      </c>
      <c r="E97" s="173" t="str">
        <f t="shared" si="2"/>
        <v/>
      </c>
    </row>
    <row r="98" spans="3:5">
      <c r="C98" s="173" t="str">
        <f>IF(B98="","",IF(OR(LEFT(B98,4)="Cash",LEFT(B98,4)="Prov"),0,SUMIFS('Input_APM (Zenith)'!N:N,'Input_APM (Zenith)'!L:L,'Check (Zenith)'!B98,'Input_APM (Zenith)'!M:M,'Check (Zenith)'!$C$1)))</f>
        <v/>
      </c>
      <c r="D98" s="173" t="str">
        <f>IF(B98="","",IF(OR(LEFT(B98,4)="Cash",LEFT(B98,4)="Prov"),0,SUMIFS('Input_APM (Zenith)'!N:N,'Input_APM (Zenith)'!L:L,'Check (Zenith)'!B98,'Input_APM (Zenith)'!M:M,'Check (Zenith)'!$D$1)))</f>
        <v/>
      </c>
      <c r="E98" s="173" t="str">
        <f t="shared" si="2"/>
        <v/>
      </c>
    </row>
    <row r="99" spans="3:5">
      <c r="C99" s="173" t="str">
        <f>IF(B99="","",IF(OR(LEFT(B99,4)="Cash",LEFT(B99,4)="Prov"),0,SUMIFS('Input_APM (Zenith)'!N:N,'Input_APM (Zenith)'!L:L,'Check (Zenith)'!B99,'Input_APM (Zenith)'!M:M,'Check (Zenith)'!$C$1)))</f>
        <v/>
      </c>
      <c r="D99" s="173" t="str">
        <f>IF(B99="","",IF(OR(LEFT(B99,4)="Cash",LEFT(B99,4)="Prov"),0,SUMIFS('Input_APM (Zenith)'!N:N,'Input_APM (Zenith)'!L:L,'Check (Zenith)'!B99,'Input_APM (Zenith)'!M:M,'Check (Zenith)'!$D$1)))</f>
        <v/>
      </c>
      <c r="E99" s="173" t="str">
        <f t="shared" si="2"/>
        <v/>
      </c>
    </row>
    <row r="100" spans="3:5">
      <c r="C100" s="173" t="str">
        <f>IF(B100="","",IF(OR(LEFT(B100,4)="Cash",LEFT(B100,4)="Prov"),0,SUMIFS('Input_APM (Zenith)'!N:N,'Input_APM (Zenith)'!L:L,'Check (Zenith)'!B100,'Input_APM (Zenith)'!M:M,'Check (Zenith)'!$C$1)))</f>
        <v/>
      </c>
      <c r="D100" s="173" t="str">
        <f>IF(B100="","",IF(OR(LEFT(B100,4)="Cash",LEFT(B100,4)="Prov"),0,SUMIFS('Input_APM (Zenith)'!N:N,'Input_APM (Zenith)'!L:L,'Check (Zenith)'!B100,'Input_APM (Zenith)'!M:M,'Check (Zenith)'!$D$1)))</f>
        <v/>
      </c>
      <c r="E100" s="173" t="str">
        <f t="shared" si="2"/>
        <v/>
      </c>
    </row>
    <row r="101" spans="3:5">
      <c r="C101" s="173" t="str">
        <f>IF(B101="","",IF(OR(LEFT(B101,4)="Cash",LEFT(B101,4)="Prov"),0,SUMIFS('Input_APM (Zenith)'!N:N,'Input_APM (Zenith)'!L:L,'Check (Zenith)'!B101,'Input_APM (Zenith)'!M:M,'Check (Zenith)'!$C$1)))</f>
        <v/>
      </c>
      <c r="D101" s="173" t="str">
        <f>IF(B101="","",IF(OR(LEFT(B101,4)="Cash",LEFT(B101,4)="Prov"),0,SUMIFS('Input_APM (Zenith)'!N:N,'Input_APM (Zenith)'!L:L,'Check (Zenith)'!B101,'Input_APM (Zenith)'!M:M,'Check (Zenith)'!$D$1)))</f>
        <v/>
      </c>
      <c r="E101" s="173" t="str">
        <f t="shared" si="2"/>
        <v/>
      </c>
    </row>
    <row r="102" spans="3:5">
      <c r="C102" s="173" t="str">
        <f>IF(B102="","",IF(OR(LEFT(B102,4)="Cash",LEFT(B102,4)="Prov"),0,SUMIFS('Input_APM (Zenith)'!N:N,'Input_APM (Zenith)'!L:L,'Check (Zenith)'!B102,'Input_APM (Zenith)'!M:M,'Check (Zenith)'!$C$1)))</f>
        <v/>
      </c>
      <c r="D102" s="173" t="str">
        <f>IF(B102="","",IF(OR(LEFT(B102,4)="Cash",LEFT(B102,4)="Prov"),0,SUMIFS('Input_APM (Zenith)'!N:N,'Input_APM (Zenith)'!L:L,'Check (Zenith)'!B102,'Input_APM (Zenith)'!M:M,'Check (Zenith)'!$D$1)))</f>
        <v/>
      </c>
      <c r="E102" s="173" t="str">
        <f t="shared" si="2"/>
        <v/>
      </c>
    </row>
    <row r="103" spans="3:5">
      <c r="C103" s="173" t="str">
        <f>IF(B103="","",IF(OR(LEFT(B103,4)="Cash",LEFT(B103,4)="Prov"),0,SUMIFS('Input_APM (Zenith)'!N:N,'Input_APM (Zenith)'!L:L,'Check (Zenith)'!B103,'Input_APM (Zenith)'!M:M,'Check (Zenith)'!$C$1)))</f>
        <v/>
      </c>
      <c r="D103" s="173" t="str">
        <f>IF(B103="","",IF(OR(LEFT(B103,4)="Cash",LEFT(B103,4)="Prov"),0,SUMIFS('Input_APM (Zenith)'!N:N,'Input_APM (Zenith)'!L:L,'Check (Zenith)'!B103,'Input_APM (Zenith)'!M:M,'Check (Zenith)'!$D$1)))</f>
        <v/>
      </c>
      <c r="E103" s="173" t="str">
        <f t="shared" si="2"/>
        <v/>
      </c>
    </row>
    <row r="104" spans="3:5">
      <c r="C104" s="173" t="str">
        <f>IF(B104="","",IF(OR(LEFT(B104,4)="Cash",LEFT(B104,4)="Prov"),0,SUMIFS('Input_APM (Zenith)'!N:N,'Input_APM (Zenith)'!L:L,'Check (Zenith)'!B104,'Input_APM (Zenith)'!M:M,'Check (Zenith)'!$C$1)))</f>
        <v/>
      </c>
      <c r="D104" s="173" t="str">
        <f>IF(B104="","",IF(OR(LEFT(B104,4)="Cash",LEFT(B104,4)="Prov"),0,SUMIFS('Input_APM (Zenith)'!N:N,'Input_APM (Zenith)'!L:L,'Check (Zenith)'!B104,'Input_APM (Zenith)'!M:M,'Check (Zenith)'!$D$1)))</f>
        <v/>
      </c>
      <c r="E104" s="173" t="str">
        <f t="shared" si="2"/>
        <v/>
      </c>
    </row>
    <row r="105" spans="3:5">
      <c r="C105" s="173" t="str">
        <f>IF(B105="","",IF(OR(LEFT(B105,4)="Cash",LEFT(B105,4)="Prov"),0,SUMIFS('Input_APM (Zenith)'!N:N,'Input_APM (Zenith)'!L:L,'Check (Zenith)'!B105,'Input_APM (Zenith)'!M:M,'Check (Zenith)'!$C$1)))</f>
        <v/>
      </c>
      <c r="D105" s="173" t="str">
        <f>IF(B105="","",IF(OR(LEFT(B105,4)="Cash",LEFT(B105,4)="Prov"),0,SUMIFS('Input_APM (Zenith)'!N:N,'Input_APM (Zenith)'!L:L,'Check (Zenith)'!B105,'Input_APM (Zenith)'!M:M,'Check (Zenith)'!$D$1)))</f>
        <v/>
      </c>
      <c r="E105" s="173" t="str">
        <f t="shared" si="2"/>
        <v/>
      </c>
    </row>
    <row r="106" spans="3:5">
      <c r="C106" s="173" t="str">
        <f>IF(B106="","",IF(OR(LEFT(B106,4)="Cash",LEFT(B106,4)="Prov"),0,SUMIFS('Input_APM (Zenith)'!N:N,'Input_APM (Zenith)'!L:L,'Check (Zenith)'!B106,'Input_APM (Zenith)'!M:M,'Check (Zenith)'!$C$1)))</f>
        <v/>
      </c>
      <c r="D106" s="173" t="str">
        <f>IF(B106="","",IF(OR(LEFT(B106,4)="Cash",LEFT(B106,4)="Prov"),0,SUMIFS('Input_APM (Zenith)'!N:N,'Input_APM (Zenith)'!L:L,'Check (Zenith)'!B106,'Input_APM (Zenith)'!M:M,'Check (Zenith)'!$D$1)))</f>
        <v/>
      </c>
      <c r="E106" s="173" t="str">
        <f t="shared" si="2"/>
        <v/>
      </c>
    </row>
    <row r="107" spans="3:5">
      <c r="C107" s="173" t="str">
        <f>IF(B107="","",IF(OR(LEFT(B107,4)="Cash",LEFT(B107,4)="Prov"),0,SUMIFS('Input_APM (Zenith)'!N:N,'Input_APM (Zenith)'!L:L,'Check (Zenith)'!B107,'Input_APM (Zenith)'!M:M,'Check (Zenith)'!$C$1)))</f>
        <v/>
      </c>
      <c r="D107" s="173" t="str">
        <f>IF(B107="","",IF(OR(LEFT(B107,4)="Cash",LEFT(B107,4)="Prov"),0,SUMIFS('Input_APM (Zenith)'!N:N,'Input_APM (Zenith)'!L:L,'Check (Zenith)'!B107,'Input_APM (Zenith)'!M:M,'Check (Zenith)'!$D$1)))</f>
        <v/>
      </c>
      <c r="E107" s="173" t="str">
        <f t="shared" si="2"/>
        <v/>
      </c>
    </row>
    <row r="108" spans="3:5">
      <c r="C108" s="173" t="str">
        <f>IF(B108="","",IF(OR(LEFT(B108,4)="Cash",LEFT(B108,4)="Prov"),0,SUMIFS('Input_APM (Zenith)'!N:N,'Input_APM (Zenith)'!L:L,'Check (Zenith)'!B108,'Input_APM (Zenith)'!M:M,'Check (Zenith)'!$C$1)))</f>
        <v/>
      </c>
      <c r="D108" s="173" t="str">
        <f>IF(B108="","",IF(OR(LEFT(B108,4)="Cash",LEFT(B108,4)="Prov"),0,SUMIFS('Input_APM (Zenith)'!N:N,'Input_APM (Zenith)'!L:L,'Check (Zenith)'!B108,'Input_APM (Zenith)'!M:M,'Check (Zenith)'!$D$1)))</f>
        <v/>
      </c>
      <c r="E108" s="173" t="str">
        <f t="shared" si="2"/>
        <v/>
      </c>
    </row>
    <row r="109" spans="3:5">
      <c r="C109" s="173" t="str">
        <f>IF(B109="","",IF(OR(LEFT(B109,4)="Cash",LEFT(B109,4)="Prov"),0,SUMIFS('Input_APM (Zenith)'!N:N,'Input_APM (Zenith)'!L:L,'Check (Zenith)'!B109,'Input_APM (Zenith)'!M:M,'Check (Zenith)'!$C$1)))</f>
        <v/>
      </c>
      <c r="D109" s="173" t="str">
        <f>IF(B109="","",IF(OR(LEFT(B109,4)="Cash",LEFT(B109,4)="Prov"),0,SUMIFS('Input_APM (Zenith)'!N:N,'Input_APM (Zenith)'!L:L,'Check (Zenith)'!B109,'Input_APM (Zenith)'!M:M,'Check (Zenith)'!$D$1)))</f>
        <v/>
      </c>
      <c r="E109" s="173" t="str">
        <f t="shared" si="2"/>
        <v/>
      </c>
    </row>
    <row r="110" spans="3:5">
      <c r="C110" s="173" t="str">
        <f>IF(B110="","",IF(OR(LEFT(B110,4)="Cash",LEFT(B110,4)="Prov"),0,SUMIFS('Input_APM (Zenith)'!N:N,'Input_APM (Zenith)'!L:L,'Check (Zenith)'!B110,'Input_APM (Zenith)'!M:M,'Check (Zenith)'!$C$1)))</f>
        <v/>
      </c>
      <c r="D110" s="173" t="str">
        <f>IF(B110="","",IF(OR(LEFT(B110,4)="Cash",LEFT(B110,4)="Prov"),0,SUMIFS('Input_APM (Zenith)'!N:N,'Input_APM (Zenith)'!L:L,'Check (Zenith)'!B110,'Input_APM (Zenith)'!M:M,'Check (Zenith)'!$D$1)))</f>
        <v/>
      </c>
      <c r="E110" s="173" t="str">
        <f t="shared" si="2"/>
        <v/>
      </c>
    </row>
    <row r="111" spans="3:5">
      <c r="C111" s="173" t="str">
        <f>IF(B111="","",IF(OR(LEFT(B111,4)="Cash",LEFT(B111,4)="Prov"),0,SUMIFS('Input_APM (Zenith)'!N:N,'Input_APM (Zenith)'!L:L,'Check (Zenith)'!B111,'Input_APM (Zenith)'!M:M,'Check (Zenith)'!$C$1)))</f>
        <v/>
      </c>
      <c r="D111" s="173" t="str">
        <f>IF(B111="","",IF(OR(LEFT(B111,4)="Cash",LEFT(B111,4)="Prov"),0,SUMIFS('Input_APM (Zenith)'!N:N,'Input_APM (Zenith)'!L:L,'Check (Zenith)'!B111,'Input_APM (Zenith)'!M:M,'Check (Zenith)'!$D$1)))</f>
        <v/>
      </c>
      <c r="E111" s="173" t="str">
        <f t="shared" si="2"/>
        <v/>
      </c>
    </row>
    <row r="112" spans="3:5">
      <c r="C112" s="173" t="str">
        <f>IF(B112="","",IF(OR(LEFT(B112,4)="Cash",LEFT(B112,4)="Prov"),0,SUMIFS('Input_APM (Zenith)'!N:N,'Input_APM (Zenith)'!L:L,'Check (Zenith)'!B112,'Input_APM (Zenith)'!M:M,'Check (Zenith)'!$C$1)))</f>
        <v/>
      </c>
      <c r="D112" s="173" t="str">
        <f>IF(B112="","",IF(OR(LEFT(B112,4)="Cash",LEFT(B112,4)="Prov"),0,SUMIFS('Input_APM (Zenith)'!N:N,'Input_APM (Zenith)'!L:L,'Check (Zenith)'!B112,'Input_APM (Zenith)'!M:M,'Check (Zenith)'!$D$1)))</f>
        <v/>
      </c>
      <c r="E112" s="173" t="str">
        <f t="shared" si="2"/>
        <v/>
      </c>
    </row>
    <row r="113" spans="3:5">
      <c r="C113" s="173" t="str">
        <f>IF(B113="","",IF(OR(LEFT(B113,4)="Cash",LEFT(B113,4)="Prov"),0,SUMIFS('Input_APM (Zenith)'!N:N,'Input_APM (Zenith)'!L:L,'Check (Zenith)'!B113,'Input_APM (Zenith)'!M:M,'Check (Zenith)'!$C$1)))</f>
        <v/>
      </c>
      <c r="D113" s="173" t="str">
        <f>IF(B113="","",IF(OR(LEFT(B113,4)="Cash",LEFT(B113,4)="Prov"),0,SUMIFS('Input_APM (Zenith)'!N:N,'Input_APM (Zenith)'!L:L,'Check (Zenith)'!B113,'Input_APM (Zenith)'!M:M,'Check (Zenith)'!$D$1)))</f>
        <v/>
      </c>
      <c r="E113" s="173" t="str">
        <f t="shared" si="2"/>
        <v/>
      </c>
    </row>
    <row r="114" spans="3:5">
      <c r="C114" s="173" t="str">
        <f>IF(B114="","",IF(OR(LEFT(B114,4)="Cash",LEFT(B114,4)="Prov"),0,SUMIFS('Input_APM (Zenith)'!N:N,'Input_APM (Zenith)'!L:L,'Check (Zenith)'!B114,'Input_APM (Zenith)'!M:M,'Check (Zenith)'!$C$1)))</f>
        <v/>
      </c>
      <c r="D114" s="173" t="str">
        <f>IF(B114="","",IF(OR(LEFT(B114,4)="Cash",LEFT(B114,4)="Prov"),0,SUMIFS('Input_APM (Zenith)'!N:N,'Input_APM (Zenith)'!L:L,'Check (Zenith)'!B114,'Input_APM (Zenith)'!M:M,'Check (Zenith)'!$D$1)))</f>
        <v/>
      </c>
      <c r="E114" s="173" t="str">
        <f t="shared" si="2"/>
        <v/>
      </c>
    </row>
    <row r="115" spans="3:5">
      <c r="C115" s="173" t="str">
        <f>IF(B115="","",IF(OR(LEFT(B115,4)="Cash",LEFT(B115,4)="Prov"),0,SUMIFS('Input_APM (Zenith)'!N:N,'Input_APM (Zenith)'!L:L,'Check (Zenith)'!B115,'Input_APM (Zenith)'!M:M,'Check (Zenith)'!$C$1)))</f>
        <v/>
      </c>
      <c r="D115" s="173" t="str">
        <f>IF(B115="","",IF(OR(LEFT(B115,4)="Cash",LEFT(B115,4)="Prov"),0,SUMIFS('Input_APM (Zenith)'!N:N,'Input_APM (Zenith)'!L:L,'Check (Zenith)'!B115,'Input_APM (Zenith)'!M:M,'Check (Zenith)'!$D$1)))</f>
        <v/>
      </c>
      <c r="E115" s="173" t="str">
        <f t="shared" si="2"/>
        <v/>
      </c>
    </row>
    <row r="116" spans="3:5">
      <c r="C116" s="173" t="str">
        <f>IF(B116="","",IF(OR(LEFT(B116,4)="Cash",LEFT(B116,4)="Prov"),0,SUMIFS('Input_APM (Zenith)'!N:N,'Input_APM (Zenith)'!L:L,'Check (Zenith)'!B116,'Input_APM (Zenith)'!M:M,'Check (Zenith)'!$C$1)))</f>
        <v/>
      </c>
      <c r="D116" s="173" t="str">
        <f>IF(B116="","",IF(OR(LEFT(B116,4)="Cash",LEFT(B116,4)="Prov"),0,SUMIFS('Input_APM (Zenith)'!N:N,'Input_APM (Zenith)'!L:L,'Check (Zenith)'!B116,'Input_APM (Zenith)'!M:M,'Check (Zenith)'!$D$1)))</f>
        <v/>
      </c>
      <c r="E116" s="173" t="str">
        <f t="shared" si="2"/>
        <v/>
      </c>
    </row>
    <row r="117" spans="3:5">
      <c r="C117" s="173" t="str">
        <f>IF(B117="","",IF(OR(LEFT(B117,4)="Cash",LEFT(B117,4)="Prov"),0,SUMIFS('Input_APM (Zenith)'!N:N,'Input_APM (Zenith)'!L:L,'Check (Zenith)'!B117,'Input_APM (Zenith)'!M:M,'Check (Zenith)'!$C$1)))</f>
        <v/>
      </c>
      <c r="D117" s="173" t="str">
        <f>IF(B117="","",IF(OR(LEFT(B117,4)="Cash",LEFT(B117,4)="Prov"),0,SUMIFS('Input_APM (Zenith)'!N:N,'Input_APM (Zenith)'!L:L,'Check (Zenith)'!B117,'Input_APM (Zenith)'!M:M,'Check (Zenith)'!$D$1)))</f>
        <v/>
      </c>
      <c r="E117" s="173" t="str">
        <f t="shared" si="2"/>
        <v/>
      </c>
    </row>
    <row r="118" spans="3:5">
      <c r="C118" s="173" t="str">
        <f>IF(B118="","",IF(OR(LEFT(B118,4)="Cash",LEFT(B118,4)="Prov"),0,SUMIFS('Input_APM (Zenith)'!N:N,'Input_APM (Zenith)'!L:L,'Check (Zenith)'!B118,'Input_APM (Zenith)'!M:M,'Check (Zenith)'!$C$1)))</f>
        <v/>
      </c>
      <c r="D118" s="173" t="str">
        <f>IF(B118="","",IF(OR(LEFT(B118,4)="Cash",LEFT(B118,4)="Prov"),0,SUMIFS('Input_APM (Zenith)'!N:N,'Input_APM (Zenith)'!L:L,'Check (Zenith)'!B118,'Input_APM (Zenith)'!M:M,'Check (Zenith)'!$D$1)))</f>
        <v/>
      </c>
      <c r="E118" s="173" t="str">
        <f t="shared" si="2"/>
        <v/>
      </c>
    </row>
    <row r="119" spans="3:5">
      <c r="C119" s="173" t="str">
        <f>IF(B119="","",IF(OR(LEFT(B119,4)="Cash",LEFT(B119,4)="Prov"),0,SUMIFS('Input_APM (Zenith)'!N:N,'Input_APM (Zenith)'!L:L,'Check (Zenith)'!B119,'Input_APM (Zenith)'!M:M,'Check (Zenith)'!$C$1)))</f>
        <v/>
      </c>
      <c r="D119" s="173" t="str">
        <f>IF(B119="","",IF(OR(LEFT(B119,4)="Cash",LEFT(B119,4)="Prov"),0,SUMIFS('Input_APM (Zenith)'!N:N,'Input_APM (Zenith)'!L:L,'Check (Zenith)'!B119,'Input_APM (Zenith)'!M:M,'Check (Zenith)'!$D$1)))</f>
        <v/>
      </c>
      <c r="E119" s="173" t="str">
        <f t="shared" si="2"/>
        <v/>
      </c>
    </row>
    <row r="120" spans="3:5">
      <c r="C120" s="173" t="str">
        <f>IF(B120="","",IF(OR(LEFT(B120,4)="Cash",LEFT(B120,4)="Prov"),0,SUMIFS('Input_APM (Zenith)'!N:N,'Input_APM (Zenith)'!L:L,'Check (Zenith)'!B120,'Input_APM (Zenith)'!M:M,'Check (Zenith)'!$C$1)))</f>
        <v/>
      </c>
      <c r="D120" s="173" t="str">
        <f>IF(B120="","",IF(OR(LEFT(B120,4)="Cash",LEFT(B120,4)="Prov"),0,SUMIFS('Input_APM (Zenith)'!N:N,'Input_APM (Zenith)'!L:L,'Check (Zenith)'!B120,'Input_APM (Zenith)'!M:M,'Check (Zenith)'!$D$1)))</f>
        <v/>
      </c>
      <c r="E120" s="173" t="str">
        <f t="shared" si="2"/>
        <v/>
      </c>
    </row>
    <row r="121" spans="3:5">
      <c r="C121" s="173" t="str">
        <f>IF(B121="","",IF(OR(LEFT(B121,4)="Cash",LEFT(B121,4)="Prov"),0,SUMIFS('Input_APM (Zenith)'!N:N,'Input_APM (Zenith)'!L:L,'Check (Zenith)'!B121,'Input_APM (Zenith)'!M:M,'Check (Zenith)'!$C$1)))</f>
        <v/>
      </c>
      <c r="D121" s="173" t="str">
        <f>IF(B121="","",IF(OR(LEFT(B121,4)="Cash",LEFT(B121,4)="Prov"),0,SUMIFS('Input_APM (Zenith)'!N:N,'Input_APM (Zenith)'!L:L,'Check (Zenith)'!B121,'Input_APM (Zenith)'!M:M,'Check (Zenith)'!$D$1)))</f>
        <v/>
      </c>
      <c r="E121" s="173" t="str">
        <f t="shared" si="2"/>
        <v/>
      </c>
    </row>
    <row r="122" spans="3:5">
      <c r="C122" s="173" t="str">
        <f>IF(B122="","",IF(OR(LEFT(B122,4)="Cash",LEFT(B122,4)="Prov"),0,SUMIFS('Input_APM (Zenith)'!N:N,'Input_APM (Zenith)'!L:L,'Check (Zenith)'!B122,'Input_APM (Zenith)'!M:M,'Check (Zenith)'!$C$1)))</f>
        <v/>
      </c>
      <c r="D122" s="173" t="str">
        <f>IF(B122="","",IF(OR(LEFT(B122,4)="Cash",LEFT(B122,4)="Prov"),0,SUMIFS('Input_APM (Zenith)'!N:N,'Input_APM (Zenith)'!L:L,'Check (Zenith)'!B122,'Input_APM (Zenith)'!M:M,'Check (Zenith)'!$D$1)))</f>
        <v/>
      </c>
      <c r="E122" s="173" t="str">
        <f t="shared" si="2"/>
        <v/>
      </c>
    </row>
    <row r="123" spans="3:5">
      <c r="C123" s="173" t="str">
        <f>IF(B123="","",IF(OR(LEFT(B123,4)="Cash",LEFT(B123,4)="Prov"),0,SUMIFS('Input_APM (Zenith)'!N:N,'Input_APM (Zenith)'!L:L,'Check (Zenith)'!B123,'Input_APM (Zenith)'!M:M,'Check (Zenith)'!$C$1)))</f>
        <v/>
      </c>
      <c r="D123" s="173" t="str">
        <f>IF(B123="","",IF(OR(LEFT(B123,4)="Cash",LEFT(B123,4)="Prov"),0,SUMIFS('Input_APM (Zenith)'!N:N,'Input_APM (Zenith)'!L:L,'Check (Zenith)'!B123,'Input_APM (Zenith)'!M:M,'Check (Zenith)'!$D$1)))</f>
        <v/>
      </c>
      <c r="E123" s="173" t="str">
        <f t="shared" si="2"/>
        <v/>
      </c>
    </row>
    <row r="124" spans="3:5">
      <c r="C124" s="173" t="str">
        <f>IF(B124="","",IF(OR(LEFT(B124,4)="Cash",LEFT(B124,4)="Prov"),0,SUMIFS('Input_APM (Zenith)'!N:N,'Input_APM (Zenith)'!L:L,'Check (Zenith)'!B124,'Input_APM (Zenith)'!M:M,'Check (Zenith)'!$C$1)))</f>
        <v/>
      </c>
      <c r="D124" s="173" t="str">
        <f>IF(B124="","",IF(OR(LEFT(B124,4)="Cash",LEFT(B124,4)="Prov"),0,SUMIFS('Input_APM (Zenith)'!N:N,'Input_APM (Zenith)'!L:L,'Check (Zenith)'!B124,'Input_APM (Zenith)'!M:M,'Check (Zenith)'!$D$1)))</f>
        <v/>
      </c>
      <c r="E124" s="173" t="str">
        <f t="shared" si="2"/>
        <v/>
      </c>
    </row>
    <row r="125" spans="3:5">
      <c r="C125" s="173" t="str">
        <f>IF(B125="","",IF(OR(LEFT(B125,4)="Cash",LEFT(B125,4)="Prov"),0,SUMIFS('Input_APM (Zenith)'!N:N,'Input_APM (Zenith)'!L:L,'Check (Zenith)'!B125,'Input_APM (Zenith)'!M:M,'Check (Zenith)'!$C$1)))</f>
        <v/>
      </c>
      <c r="D125" s="173" t="str">
        <f>IF(B125="","",IF(OR(LEFT(B125,4)="Cash",LEFT(B125,4)="Prov"),0,SUMIFS('Input_APM (Zenith)'!N:N,'Input_APM (Zenith)'!L:L,'Check (Zenith)'!B125,'Input_APM (Zenith)'!M:M,'Check (Zenith)'!$D$1)))</f>
        <v/>
      </c>
      <c r="E125" s="173" t="str">
        <f t="shared" si="2"/>
        <v/>
      </c>
    </row>
    <row r="126" spans="3:5">
      <c r="C126" s="173" t="str">
        <f>IF(B126="","",IF(OR(LEFT(B126,4)="Cash",LEFT(B126,4)="Prov"),0,SUMIFS('Input_APM (Zenith)'!N:N,'Input_APM (Zenith)'!L:L,'Check (Zenith)'!B126,'Input_APM (Zenith)'!M:M,'Check (Zenith)'!$C$1)))</f>
        <v/>
      </c>
      <c r="D126" s="173" t="str">
        <f>IF(B126="","",IF(OR(LEFT(B126,4)="Cash",LEFT(B126,4)="Prov"),0,SUMIFS('Input_APM (Zenith)'!N:N,'Input_APM (Zenith)'!L:L,'Check (Zenith)'!B126,'Input_APM (Zenith)'!M:M,'Check (Zenith)'!$D$1)))</f>
        <v/>
      </c>
      <c r="E126" s="173" t="str">
        <f t="shared" si="2"/>
        <v/>
      </c>
    </row>
    <row r="127" spans="3:5">
      <c r="C127" s="173" t="str">
        <f>IF(B127="","",IF(OR(LEFT(B127,4)="Cash",LEFT(B127,4)="Prov"),0,SUMIFS('Input_APM (Zenith)'!N:N,'Input_APM (Zenith)'!L:L,'Check (Zenith)'!B127,'Input_APM (Zenith)'!M:M,'Check (Zenith)'!$C$1)))</f>
        <v/>
      </c>
      <c r="D127" s="173" t="str">
        <f>IF(B127="","",IF(OR(LEFT(B127,4)="Cash",LEFT(B127,4)="Prov"),0,SUMIFS('Input_APM (Zenith)'!N:N,'Input_APM (Zenith)'!L:L,'Check (Zenith)'!B127,'Input_APM (Zenith)'!M:M,'Check (Zenith)'!$D$1)))</f>
        <v/>
      </c>
      <c r="E127" s="173" t="str">
        <f t="shared" si="2"/>
        <v/>
      </c>
    </row>
    <row r="128" spans="3:5">
      <c r="C128" s="173" t="str">
        <f>IF(B128="","",IF(OR(LEFT(B128,4)="Cash",LEFT(B128,4)="Prov"),0,SUMIFS('Input_APM (Zenith)'!N:N,'Input_APM (Zenith)'!L:L,'Check (Zenith)'!B128,'Input_APM (Zenith)'!M:M,'Check (Zenith)'!$C$1)))</f>
        <v/>
      </c>
      <c r="D128" s="173" t="str">
        <f>IF(B128="","",IF(OR(LEFT(B128,4)="Cash",LEFT(B128,4)="Prov"),0,SUMIFS('Input_APM (Zenith)'!N:N,'Input_APM (Zenith)'!L:L,'Check (Zenith)'!B128,'Input_APM (Zenith)'!M:M,'Check (Zenith)'!$D$1)))</f>
        <v/>
      </c>
      <c r="E128" s="173" t="str">
        <f t="shared" si="2"/>
        <v/>
      </c>
    </row>
    <row r="129" spans="3:5">
      <c r="C129" s="173" t="str">
        <f>IF(B129="","",IF(OR(LEFT(B129,4)="Cash",LEFT(B129,4)="Prov"),0,SUMIFS('Input_APM (Zenith)'!N:N,'Input_APM (Zenith)'!L:L,'Check (Zenith)'!B129,'Input_APM (Zenith)'!M:M,'Check (Zenith)'!$C$1)))</f>
        <v/>
      </c>
      <c r="D129" s="173" t="str">
        <f>IF(B129="","",IF(OR(LEFT(B129,4)="Cash",LEFT(B129,4)="Prov"),0,SUMIFS('Input_APM (Zenith)'!N:N,'Input_APM (Zenith)'!L:L,'Check (Zenith)'!B129,'Input_APM (Zenith)'!M:M,'Check (Zenith)'!$D$1)))</f>
        <v/>
      </c>
      <c r="E129" s="173" t="str">
        <f t="shared" si="2"/>
        <v/>
      </c>
    </row>
    <row r="130" spans="3:5">
      <c r="C130" s="173" t="str">
        <f>IF(B130="","",IF(OR(LEFT(B130,4)="Cash",LEFT(B130,4)="Prov"),0,SUMIFS('Input_APM (Zenith)'!N:N,'Input_APM (Zenith)'!L:L,'Check (Zenith)'!B130,'Input_APM (Zenith)'!M:M,'Check (Zenith)'!$C$1)))</f>
        <v/>
      </c>
      <c r="D130" s="173" t="str">
        <f>IF(B130="","",IF(OR(LEFT(B130,4)="Cash",LEFT(B130,4)="Prov"),0,SUMIFS('Input_APM (Zenith)'!N:N,'Input_APM (Zenith)'!L:L,'Check (Zenith)'!B130,'Input_APM (Zenith)'!M:M,'Check (Zenith)'!$D$1)))</f>
        <v/>
      </c>
      <c r="E130" s="173" t="str">
        <f t="shared" si="2"/>
        <v/>
      </c>
    </row>
    <row r="131" spans="3:5">
      <c r="C131" s="173" t="str">
        <f>IF(B131="","",IF(OR(LEFT(B131,4)="Cash",LEFT(B131,4)="Prov"),0,SUMIFS('Input_APM (Zenith)'!N:N,'Input_APM (Zenith)'!L:L,'Check (Zenith)'!B131,'Input_APM (Zenith)'!M:M,'Check (Zenith)'!$C$1)))</f>
        <v/>
      </c>
      <c r="D131" s="173" t="str">
        <f>IF(B131="","",IF(OR(LEFT(B131,4)="Cash",LEFT(B131,4)="Prov"),0,SUMIFS('Input_APM (Zenith)'!N:N,'Input_APM (Zenith)'!L:L,'Check (Zenith)'!B131,'Input_APM (Zenith)'!M:M,'Check (Zenith)'!$D$1)))</f>
        <v/>
      </c>
      <c r="E131" s="173" t="str">
        <f t="shared" si="2"/>
        <v/>
      </c>
    </row>
    <row r="132" spans="3:5">
      <c r="C132" s="173" t="str">
        <f>IF(B132="","",IF(OR(LEFT(B132,4)="Cash",LEFT(B132,4)="Prov"),0,SUMIFS('Input_APM (Zenith)'!N:N,'Input_APM (Zenith)'!L:L,'Check (Zenith)'!B132,'Input_APM (Zenith)'!M:M,'Check (Zenith)'!$C$1)))</f>
        <v/>
      </c>
      <c r="D132" s="173" t="str">
        <f>IF(B132="","",IF(OR(LEFT(B132,4)="Cash",LEFT(B132,4)="Prov"),0,SUMIFS('Input_APM (Zenith)'!N:N,'Input_APM (Zenith)'!L:L,'Check (Zenith)'!B132,'Input_APM (Zenith)'!M:M,'Check (Zenith)'!$D$1)))</f>
        <v/>
      </c>
      <c r="E132" s="173" t="str">
        <f t="shared" si="2"/>
        <v/>
      </c>
    </row>
    <row r="133" spans="3:5">
      <c r="C133" s="173" t="str">
        <f>IF(B133="","",IF(OR(LEFT(B133,4)="Cash",LEFT(B133,4)="Prov"),0,SUMIFS('Input_APM (Zenith)'!N:N,'Input_APM (Zenith)'!L:L,'Check (Zenith)'!B133,'Input_APM (Zenith)'!M:M,'Check (Zenith)'!$C$1)))</f>
        <v/>
      </c>
      <c r="D133" s="173" t="str">
        <f>IF(B133="","",IF(OR(LEFT(B133,4)="Cash",LEFT(B133,4)="Prov"),0,SUMIFS('Input_APM (Zenith)'!N:N,'Input_APM (Zenith)'!L:L,'Check (Zenith)'!B133,'Input_APM (Zenith)'!M:M,'Check (Zenith)'!$D$1)))</f>
        <v/>
      </c>
      <c r="E133" s="173" t="str">
        <f t="shared" si="2"/>
        <v/>
      </c>
    </row>
    <row r="134" spans="3:5">
      <c r="C134" s="173" t="str">
        <f>IF(B134="","",IF(OR(LEFT(B134,4)="Cash",LEFT(B134,4)="Prov"),0,SUMIFS('Input_APM (Zenith)'!N:N,'Input_APM (Zenith)'!L:L,'Check (Zenith)'!B134,'Input_APM (Zenith)'!M:M,'Check (Zenith)'!$C$1)))</f>
        <v/>
      </c>
      <c r="D134" s="173" t="str">
        <f>IF(B134="","",IF(OR(LEFT(B134,4)="Cash",LEFT(B134,4)="Prov"),0,SUMIFS('Input_APM (Zenith)'!N:N,'Input_APM (Zenith)'!L:L,'Check (Zenith)'!B134,'Input_APM (Zenith)'!M:M,'Check (Zenith)'!$D$1)))</f>
        <v/>
      </c>
      <c r="E134" s="173" t="str">
        <f t="shared" si="2"/>
        <v/>
      </c>
    </row>
    <row r="135" spans="3:5">
      <c r="C135" s="173" t="str">
        <f>IF(B135="","",IF(OR(LEFT(B135,4)="Cash",LEFT(B135,4)="Prov"),0,SUMIFS('Input_APM (Zenith)'!N:N,'Input_APM (Zenith)'!L:L,'Check (Zenith)'!B135,'Input_APM (Zenith)'!M:M,'Check (Zenith)'!$C$1)))</f>
        <v/>
      </c>
      <c r="D135" s="173" t="str">
        <f>IF(B135="","",IF(OR(LEFT(B135,4)="Cash",LEFT(B135,4)="Prov"),0,SUMIFS('Input_APM (Zenith)'!N:N,'Input_APM (Zenith)'!L:L,'Check (Zenith)'!B135,'Input_APM (Zenith)'!M:M,'Check (Zenith)'!$D$1)))</f>
        <v/>
      </c>
      <c r="E135" s="173" t="str">
        <f t="shared" si="2"/>
        <v/>
      </c>
    </row>
    <row r="136" spans="3:5">
      <c r="C136" s="173" t="str">
        <f>IF(B136="","",IF(OR(LEFT(B136,4)="Cash",LEFT(B136,4)="Prov"),0,SUMIFS('Input_APM (Zenith)'!N:N,'Input_APM (Zenith)'!L:L,'Check (Zenith)'!B136,'Input_APM (Zenith)'!M:M,'Check (Zenith)'!$C$1)))</f>
        <v/>
      </c>
      <c r="D136" s="173" t="str">
        <f>IF(B136="","",IF(OR(LEFT(B136,4)="Cash",LEFT(B136,4)="Prov"),0,SUMIFS('Input_APM (Zenith)'!N:N,'Input_APM (Zenith)'!L:L,'Check (Zenith)'!B136,'Input_APM (Zenith)'!M:M,'Check (Zenith)'!$D$1)))</f>
        <v/>
      </c>
      <c r="E136" s="173" t="str">
        <f t="shared" si="2"/>
        <v/>
      </c>
    </row>
    <row r="137" spans="3:5">
      <c r="C137" s="173" t="str">
        <f>IF(B137="","",IF(OR(LEFT(B137,4)="Cash",LEFT(B137,4)="Prov"),0,SUMIFS('Input_APM (Zenith)'!N:N,'Input_APM (Zenith)'!L:L,'Check (Zenith)'!B137,'Input_APM (Zenith)'!M:M,'Check (Zenith)'!$C$1)))</f>
        <v/>
      </c>
      <c r="D137" s="173" t="str">
        <f>IF(B137="","",IF(OR(LEFT(B137,4)="Cash",LEFT(B137,4)="Prov"),0,SUMIFS('Input_APM (Zenith)'!N:N,'Input_APM (Zenith)'!L:L,'Check (Zenith)'!B137,'Input_APM (Zenith)'!M:M,'Check (Zenith)'!$D$1)))</f>
        <v/>
      </c>
      <c r="E137" s="173" t="str">
        <f t="shared" si="2"/>
        <v/>
      </c>
    </row>
    <row r="138" spans="3:5">
      <c r="C138" s="173" t="str">
        <f>IF(B138="","",IF(OR(LEFT(B138,4)="Cash",LEFT(B138,4)="Prov"),0,SUMIFS('Input_APM (Zenith)'!N:N,'Input_APM (Zenith)'!L:L,'Check (Zenith)'!B138,'Input_APM (Zenith)'!M:M,'Check (Zenith)'!$C$1)))</f>
        <v/>
      </c>
      <c r="D138" s="173" t="str">
        <f>IF(B138="","",IF(OR(LEFT(B138,4)="Cash",LEFT(B138,4)="Prov"),0,SUMIFS('Input_APM (Zenith)'!N:N,'Input_APM (Zenith)'!L:L,'Check (Zenith)'!B138,'Input_APM (Zenith)'!M:M,'Check (Zenith)'!$D$1)))</f>
        <v/>
      </c>
      <c r="E138" s="173" t="str">
        <f t="shared" si="2"/>
        <v/>
      </c>
    </row>
    <row r="139" spans="3:5">
      <c r="C139" s="173" t="str">
        <f>IF(B139="","",IF(OR(LEFT(B139,4)="Cash",LEFT(B139,4)="Prov"),0,SUMIFS('Input_APM (Zenith)'!N:N,'Input_APM (Zenith)'!L:L,'Check (Zenith)'!B139,'Input_APM (Zenith)'!M:M,'Check (Zenith)'!$C$1)))</f>
        <v/>
      </c>
      <c r="D139" s="173" t="str">
        <f>IF(B139="","",IF(OR(LEFT(B139,4)="Cash",LEFT(B139,4)="Prov"),0,SUMIFS('Input_APM (Zenith)'!N:N,'Input_APM (Zenith)'!L:L,'Check (Zenith)'!B139,'Input_APM (Zenith)'!M:M,'Check (Zenith)'!$D$1)))</f>
        <v/>
      </c>
      <c r="E139" s="173" t="str">
        <f t="shared" si="2"/>
        <v/>
      </c>
    </row>
    <row r="140" spans="3:5">
      <c r="C140" s="173" t="str">
        <f>IF(B140="","",IF(OR(LEFT(B140,4)="Cash",LEFT(B140,4)="Prov"),0,SUMIFS('Input_APM (Zenith)'!N:N,'Input_APM (Zenith)'!L:L,'Check (Zenith)'!B140,'Input_APM (Zenith)'!M:M,'Check (Zenith)'!$C$1)))</f>
        <v/>
      </c>
      <c r="D140" s="173" t="str">
        <f>IF(B140="","",IF(OR(LEFT(B140,4)="Cash",LEFT(B140,4)="Prov"),0,SUMIFS('Input_APM (Zenith)'!N:N,'Input_APM (Zenith)'!L:L,'Check (Zenith)'!B140,'Input_APM (Zenith)'!M:M,'Check (Zenith)'!$D$1)))</f>
        <v/>
      </c>
      <c r="E140" s="173" t="str">
        <f t="shared" si="2"/>
        <v/>
      </c>
    </row>
    <row r="141" spans="3:5">
      <c r="C141" s="173" t="str">
        <f>IF(B141="","",IF(OR(LEFT(B141,4)="Cash",LEFT(B141,4)="Prov"),0,SUMIFS('Input_APM (Zenith)'!N:N,'Input_APM (Zenith)'!L:L,'Check (Zenith)'!B141,'Input_APM (Zenith)'!M:M,'Check (Zenith)'!$C$1)))</f>
        <v/>
      </c>
      <c r="D141" s="173" t="str">
        <f>IF(B141="","",IF(OR(LEFT(B141,4)="Cash",LEFT(B141,4)="Prov"),0,SUMIFS('Input_APM (Zenith)'!N:N,'Input_APM (Zenith)'!L:L,'Check (Zenith)'!B141,'Input_APM (Zenith)'!M:M,'Check (Zenith)'!$D$1)))</f>
        <v/>
      </c>
      <c r="E141" s="173" t="str">
        <f t="shared" si="2"/>
        <v/>
      </c>
    </row>
    <row r="142" spans="3:5">
      <c r="C142" s="173" t="str">
        <f>IF(B142="","",IF(OR(LEFT(B142,4)="Cash",LEFT(B142,4)="Prov"),0,SUMIFS('Input_APM (Zenith)'!N:N,'Input_APM (Zenith)'!L:L,'Check (Zenith)'!B142,'Input_APM (Zenith)'!M:M,'Check (Zenith)'!$C$1)))</f>
        <v/>
      </c>
      <c r="D142" s="173" t="str">
        <f>IF(B142="","",IF(OR(LEFT(B142,4)="Cash",LEFT(B142,4)="Prov"),0,SUMIFS('Input_APM (Zenith)'!N:N,'Input_APM (Zenith)'!L:L,'Check (Zenith)'!B142,'Input_APM (Zenith)'!M:M,'Check (Zenith)'!$D$1)))</f>
        <v/>
      </c>
      <c r="E142" s="173" t="str">
        <f t="shared" si="2"/>
        <v/>
      </c>
    </row>
    <row r="143" spans="3:5">
      <c r="C143" s="173" t="str">
        <f>IF(B143="","",IF(OR(LEFT(B143,4)="Cash",LEFT(B143,4)="Prov"),0,SUMIFS('Input_APM (Zenith)'!N:N,'Input_APM (Zenith)'!L:L,'Check (Zenith)'!B143,'Input_APM (Zenith)'!M:M,'Check (Zenith)'!$C$1)))</f>
        <v/>
      </c>
      <c r="D143" s="173" t="str">
        <f>IF(B143="","",IF(OR(LEFT(B143,4)="Cash",LEFT(B143,4)="Prov"),0,SUMIFS('Input_APM (Zenith)'!N:N,'Input_APM (Zenith)'!L:L,'Check (Zenith)'!B143,'Input_APM (Zenith)'!M:M,'Check (Zenith)'!$D$1)))</f>
        <v/>
      </c>
      <c r="E143" s="173" t="str">
        <f t="shared" si="2"/>
        <v/>
      </c>
    </row>
    <row r="144" spans="3:5">
      <c r="C144" s="173" t="str">
        <f>IF(B144="","",IF(OR(LEFT(B144,4)="Cash",LEFT(B144,4)="Prov"),0,SUMIFS('Input_APM (Zenith)'!N:N,'Input_APM (Zenith)'!L:L,'Check (Zenith)'!B144,'Input_APM (Zenith)'!M:M,'Check (Zenith)'!$C$1)))</f>
        <v/>
      </c>
      <c r="D144" s="173" t="str">
        <f>IF(B144="","",IF(OR(LEFT(B144,4)="Cash",LEFT(B144,4)="Prov"),0,SUMIFS('Input_APM (Zenith)'!N:N,'Input_APM (Zenith)'!L:L,'Check (Zenith)'!B144,'Input_APM (Zenith)'!M:M,'Check (Zenith)'!$D$1)))</f>
        <v/>
      </c>
      <c r="E144" s="173" t="str">
        <f t="shared" si="2"/>
        <v/>
      </c>
    </row>
    <row r="145" spans="3:5">
      <c r="C145" s="173" t="str">
        <f>IF(B145="","",IF(OR(LEFT(B145,4)="Cash",LEFT(B145,4)="Prov"),0,SUMIFS('Input_APM (Zenith)'!N:N,'Input_APM (Zenith)'!L:L,'Check (Zenith)'!B145,'Input_APM (Zenith)'!M:M,'Check (Zenith)'!$C$1)))</f>
        <v/>
      </c>
      <c r="D145" s="173" t="str">
        <f>IF(B145="","",IF(OR(LEFT(B145,4)="Cash",LEFT(B145,4)="Prov"),0,SUMIFS('Input_APM (Zenith)'!N:N,'Input_APM (Zenith)'!L:L,'Check (Zenith)'!B145,'Input_APM (Zenith)'!M:M,'Check (Zenith)'!$D$1)))</f>
        <v/>
      </c>
      <c r="E145" s="173" t="str">
        <f t="shared" si="2"/>
        <v/>
      </c>
    </row>
    <row r="146" spans="3:5">
      <c r="C146" s="173" t="str">
        <f>IF(B146="","",IF(OR(LEFT(B146,4)="Cash",LEFT(B146,4)="Prov"),0,SUMIFS('Input_APM (Zenith)'!N:N,'Input_APM (Zenith)'!L:L,'Check (Zenith)'!B146,'Input_APM (Zenith)'!M:M,'Check (Zenith)'!$C$1)))</f>
        <v/>
      </c>
      <c r="D146" s="173" t="str">
        <f>IF(B146="","",IF(OR(LEFT(B146,4)="Cash",LEFT(B146,4)="Prov"),0,SUMIFS('Input_APM (Zenith)'!N:N,'Input_APM (Zenith)'!L:L,'Check (Zenith)'!B146,'Input_APM (Zenith)'!M:M,'Check (Zenith)'!$D$1)))</f>
        <v/>
      </c>
      <c r="E146" s="173" t="str">
        <f t="shared" ref="E146:E151" si="3">IF(B146="","",C146-D146)</f>
        <v/>
      </c>
    </row>
    <row r="147" spans="3:5">
      <c r="C147" s="173" t="str">
        <f>IF(B147="","",IF(OR(LEFT(B147,4)="Cash",LEFT(B147,4)="Prov"),0,SUMIFS('Input_APM (Zenith)'!N:N,'Input_APM (Zenith)'!L:L,'Check (Zenith)'!B147,'Input_APM (Zenith)'!M:M,'Check (Zenith)'!$C$1)))</f>
        <v/>
      </c>
      <c r="D147" s="173" t="str">
        <f>IF(B147="","",IF(OR(LEFT(B147,4)="Cash",LEFT(B147,4)="Prov"),0,SUMIFS('Input_APM (Zenith)'!N:N,'Input_APM (Zenith)'!L:L,'Check (Zenith)'!B147,'Input_APM (Zenith)'!M:M,'Check (Zenith)'!$D$1)))</f>
        <v/>
      </c>
      <c r="E147" s="173" t="str">
        <f t="shared" si="3"/>
        <v/>
      </c>
    </row>
    <row r="148" spans="3:5">
      <c r="C148" s="173" t="str">
        <f>IF(B148="","",IF(OR(LEFT(B148,4)="Cash",LEFT(B148,4)="Prov"),0,SUMIFS('Input_APM (Zenith)'!N:N,'Input_APM (Zenith)'!L:L,'Check (Zenith)'!B148,'Input_APM (Zenith)'!M:M,'Check (Zenith)'!$C$1)))</f>
        <v/>
      </c>
      <c r="D148" s="173" t="str">
        <f>IF(B148="","",IF(OR(LEFT(B148,4)="Cash",LEFT(B148,4)="Prov"),0,SUMIFS('Input_APM (Zenith)'!N:N,'Input_APM (Zenith)'!L:L,'Check (Zenith)'!B148,'Input_APM (Zenith)'!M:M,'Check (Zenith)'!$D$1)))</f>
        <v/>
      </c>
      <c r="E148" s="173" t="str">
        <f t="shared" si="3"/>
        <v/>
      </c>
    </row>
    <row r="149" spans="3:5">
      <c r="C149" s="173" t="str">
        <f>IF(B149="","",IF(OR(LEFT(B149,4)="Cash",LEFT(B149,4)="Prov"),0,SUMIFS('Input_APM (Zenith)'!N:N,'Input_APM (Zenith)'!L:L,'Check (Zenith)'!B149,'Input_APM (Zenith)'!M:M,'Check (Zenith)'!$C$1)))</f>
        <v/>
      </c>
      <c r="D149" s="173" t="str">
        <f>IF(B149="","",IF(OR(LEFT(B149,4)="Cash",LEFT(B149,4)="Prov"),0,SUMIFS('Input_APM (Zenith)'!N:N,'Input_APM (Zenith)'!L:L,'Check (Zenith)'!B149,'Input_APM (Zenith)'!M:M,'Check (Zenith)'!$D$1)))</f>
        <v/>
      </c>
      <c r="E149" s="173" t="str">
        <f t="shared" si="3"/>
        <v/>
      </c>
    </row>
    <row r="150" spans="3:5">
      <c r="C150" s="173" t="str">
        <f>IF(B150="","",IF(OR(LEFT(B150,4)="Cash",LEFT(B150,4)="Prov"),0,SUMIFS('Input_APM (Zenith)'!N:N,'Input_APM (Zenith)'!L:L,'Check (Zenith)'!B150,'Input_APM (Zenith)'!M:M,'Check (Zenith)'!$C$1)))</f>
        <v/>
      </c>
      <c r="D150" s="173" t="str">
        <f>IF(B150="","",IF(OR(LEFT(B150,4)="Cash",LEFT(B150,4)="Prov"),0,SUMIFS('Input_APM (Zenith)'!N:N,'Input_APM (Zenith)'!L:L,'Check (Zenith)'!B150,'Input_APM (Zenith)'!M:M,'Check (Zenith)'!$D$1)))</f>
        <v/>
      </c>
      <c r="E150" s="173" t="str">
        <f t="shared" si="3"/>
        <v/>
      </c>
    </row>
    <row r="151" spans="3:5">
      <c r="C151" s="173" t="str">
        <f>IF(B151="","",IF(OR(LEFT(B151,4)="Cash",LEFT(B151,4)="Prov"),0,SUMIFS('Input_APM (Zenith)'!N:N,'Input_APM (Zenith)'!L:L,'Check (Zenith)'!B151,'Input_APM (Zenith)'!M:M,'Check (Zenith)'!$C$1)))</f>
        <v/>
      </c>
      <c r="D151" s="173" t="str">
        <f>IF(B151="","",IF(OR(LEFT(B151,4)="Cash",LEFT(B151,4)="Prov"),0,SUMIFS('Input_APM (Zenith)'!N:N,'Input_APM (Zenith)'!L:L,'Check (Zenith)'!B151,'Input_APM (Zenith)'!M:M,'Check (Zenith)'!$D$1)))</f>
        <v/>
      </c>
      <c r="E151" s="173" t="str">
        <f t="shared" si="3"/>
        <v/>
      </c>
    </row>
  </sheetData>
  <autoFilter ref="B4:E151" xr:uid="{9E4F1D26-094B-44C9-B22D-3C955B582AF3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Copiar_Trades_APM_zenith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D4CEA-241D-48BA-B6F9-AB226329AD56}">
  <sheetPr codeName="Sheet12">
    <tabColor theme="5" tint="0.79998168889431442"/>
  </sheetPr>
  <dimension ref="A1:G136"/>
  <sheetViews>
    <sheetView showGridLines="0" workbookViewId="0">
      <selection activeCell="C2" sqref="C2"/>
    </sheetView>
  </sheetViews>
  <sheetFormatPr defaultRowHeight="15"/>
  <cols>
    <col min="1" max="1" width="16.5703125" customWidth="1"/>
    <col min="2" max="2" width="70.5703125" bestFit="1" customWidth="1"/>
    <col min="3" max="3" width="6.7109375" bestFit="1" customWidth="1"/>
    <col min="6" max="6" width="54" bestFit="1" customWidth="1"/>
    <col min="7" max="7" width="23.28515625" bestFit="1" customWidth="1"/>
  </cols>
  <sheetData>
    <row r="1" spans="1:7">
      <c r="A1" s="161"/>
      <c r="B1" s="162" t="s">
        <v>263</v>
      </c>
      <c r="C1" s="163" t="s">
        <v>264</v>
      </c>
    </row>
    <row r="2" spans="1:7">
      <c r="A2" s="164" t="s">
        <v>265</v>
      </c>
      <c r="B2" s="165">
        <f ca="1">TODAY()+C2</f>
        <v>46066</v>
      </c>
      <c r="C2" s="166">
        <v>0</v>
      </c>
    </row>
    <row r="3" spans="1:7">
      <c r="A3" s="164" t="s">
        <v>266</v>
      </c>
      <c r="B3" s="190">
        <f ca="1">B2-1</f>
        <v>46065</v>
      </c>
      <c r="C3" s="167" t="s">
        <v>267</v>
      </c>
      <c r="F3" s="21" t="s">
        <v>268</v>
      </c>
      <c r="G3" s="21" t="s">
        <v>269</v>
      </c>
    </row>
    <row r="4" spans="1:7">
      <c r="A4" s="180" t="s">
        <v>270</v>
      </c>
      <c r="B4" s="182" t="str">
        <f ca="1">"P:\Bernardo Muzzi\Gerencial Daniel\"&amp;"BooksOverviewResume" &amp; IF(LEN(DAY(Ontem))=1,"0"&amp;DAY(Ontem),DAY(Ontem)) &amp; CHOOSE(MONTH(Ontem),"Jan","Feb","Mar","Apr","May","Jun","Jul","Aug","Sep","Oct","Nov","Dec") &amp; YEAR(Ontem)</f>
        <v>P:\Bernardo Muzzi\Gerencial Daniel\BooksOverviewResume12Feb2026</v>
      </c>
      <c r="C4" s="182" t="s">
        <v>267</v>
      </c>
      <c r="F4" s="21" t="s">
        <v>271</v>
      </c>
      <c r="G4" s="21" t="s">
        <v>271</v>
      </c>
    </row>
    <row r="5" spans="1:7">
      <c r="A5" s="181" t="s">
        <v>272</v>
      </c>
      <c r="B5" s="168" t="str">
        <f ca="1">"P:\Bernardo Muzzi\Gerencial Daniel\"&amp;"BooksOverviewResume" &amp; IF(LEN(DAY(Ontem))=1,"0"&amp;DAY(Ontem),DAY(Ontem)) &amp; CHOOSE(MONTH(Ontem),"Jan","Feb","Mar","Apr","May","Jun","Jul","Aug","Sep","Oct","Nov","Dec") &amp; YEAR(Ontem)&amp;"_zenith"</f>
        <v>P:\Bernardo Muzzi\Gerencial Daniel\BooksOverviewResume12Feb2026_zenith</v>
      </c>
      <c r="C5" s="168" t="s">
        <v>267</v>
      </c>
      <c r="F5" s="21" t="s">
        <v>81</v>
      </c>
      <c r="G5" s="21" t="s">
        <v>81</v>
      </c>
    </row>
    <row r="6" spans="1:7">
      <c r="F6" s="21" t="s">
        <v>38</v>
      </c>
      <c r="G6" s="21" t="s">
        <v>38</v>
      </c>
    </row>
    <row r="7" spans="1:7">
      <c r="F7" s="21" t="s">
        <v>273</v>
      </c>
      <c r="G7" s="21" t="s">
        <v>274</v>
      </c>
    </row>
    <row r="8" spans="1:7">
      <c r="F8" s="21" t="s">
        <v>275</v>
      </c>
      <c r="G8" s="21" t="s">
        <v>274</v>
      </c>
    </row>
    <row r="9" spans="1:7">
      <c r="F9" s="21" t="s">
        <v>276</v>
      </c>
      <c r="G9" s="21" t="s">
        <v>274</v>
      </c>
    </row>
    <row r="10" spans="1:7">
      <c r="F10" t="s">
        <v>793</v>
      </c>
      <c r="G10" t="s">
        <v>432</v>
      </c>
    </row>
    <row r="11" spans="1:7">
      <c r="F11" s="21" t="s">
        <v>27</v>
      </c>
      <c r="G11" s="21" t="s">
        <v>27</v>
      </c>
    </row>
    <row r="12" spans="1:7">
      <c r="F12" s="21" t="s">
        <v>28</v>
      </c>
      <c r="G12" s="21" t="s">
        <v>28</v>
      </c>
    </row>
    <row r="13" spans="1:7">
      <c r="F13" s="21" t="s">
        <v>278</v>
      </c>
      <c r="G13" s="21" t="s">
        <v>279</v>
      </c>
    </row>
    <row r="14" spans="1:7">
      <c r="F14" s="21" t="s">
        <v>42</v>
      </c>
      <c r="G14" s="21" t="s">
        <v>42</v>
      </c>
    </row>
    <row r="15" spans="1:7">
      <c r="F15" s="21" t="s">
        <v>85</v>
      </c>
      <c r="G15" s="21" t="s">
        <v>85</v>
      </c>
    </row>
    <row r="16" spans="1:7">
      <c r="F16" s="21" t="s">
        <v>84</v>
      </c>
      <c r="G16" s="21" t="s">
        <v>84</v>
      </c>
    </row>
    <row r="17" spans="6:7">
      <c r="F17" s="21" t="s">
        <v>280</v>
      </c>
      <c r="G17" s="21" t="s">
        <v>280</v>
      </c>
    </row>
    <row r="18" spans="6:7">
      <c r="F18" s="21" t="s">
        <v>34</v>
      </c>
      <c r="G18" s="21" t="s">
        <v>34</v>
      </c>
    </row>
    <row r="19" spans="6:7">
      <c r="F19" s="21" t="s">
        <v>35</v>
      </c>
      <c r="G19" s="21" t="s">
        <v>35</v>
      </c>
    </row>
    <row r="20" spans="6:7">
      <c r="F20" s="21" t="s">
        <v>6</v>
      </c>
      <c r="G20" s="21" t="s">
        <v>6</v>
      </c>
    </row>
    <row r="21" spans="6:7">
      <c r="F21" s="21" t="s">
        <v>36</v>
      </c>
      <c r="G21" s="21" t="s">
        <v>36</v>
      </c>
    </row>
    <row r="22" spans="6:7">
      <c r="F22" s="169" t="s">
        <v>525</v>
      </c>
      <c r="G22" s="280" t="s">
        <v>522</v>
      </c>
    </row>
    <row r="23" spans="6:7">
      <c r="F23" s="169" t="s">
        <v>525</v>
      </c>
      <c r="G23" s="280" t="s">
        <v>522</v>
      </c>
    </row>
    <row r="24" spans="6:7">
      <c r="F24" s="169" t="s">
        <v>532</v>
      </c>
      <c r="G24" s="280" t="s">
        <v>522</v>
      </c>
    </row>
    <row r="25" spans="6:7">
      <c r="F25" s="169" t="s">
        <v>532</v>
      </c>
      <c r="G25" s="280" t="s">
        <v>522</v>
      </c>
    </row>
    <row r="26" spans="6:7">
      <c r="F26" s="169" t="s">
        <v>535</v>
      </c>
      <c r="G26" s="280" t="s">
        <v>522</v>
      </c>
    </row>
    <row r="27" spans="6:7">
      <c r="F27" s="169" t="s">
        <v>535</v>
      </c>
      <c r="G27" s="280" t="s">
        <v>522</v>
      </c>
    </row>
    <row r="28" spans="6:7">
      <c r="F28" s="169" t="s">
        <v>538</v>
      </c>
      <c r="G28" s="280" t="s">
        <v>522</v>
      </c>
    </row>
    <row r="29" spans="6:7">
      <c r="F29" s="169" t="s">
        <v>538</v>
      </c>
      <c r="G29" s="280" t="s">
        <v>522</v>
      </c>
    </row>
    <row r="30" spans="6:7">
      <c r="F30" s="21" t="s">
        <v>9</v>
      </c>
      <c r="G30" s="21" t="s">
        <v>9</v>
      </c>
    </row>
    <row r="31" spans="6:7">
      <c r="F31" s="21" t="s">
        <v>82</v>
      </c>
      <c r="G31" s="21" t="s">
        <v>82</v>
      </c>
    </row>
    <row r="32" spans="6:7">
      <c r="F32" s="21" t="s">
        <v>83</v>
      </c>
      <c r="G32" s="21" t="s">
        <v>83</v>
      </c>
    </row>
    <row r="33" spans="6:7">
      <c r="F33" s="21" t="s">
        <v>87</v>
      </c>
      <c r="G33" s="21" t="s">
        <v>87</v>
      </c>
    </row>
    <row r="34" spans="6:7">
      <c r="F34" s="21" t="s">
        <v>550</v>
      </c>
      <c r="G34" s="21" t="s">
        <v>413</v>
      </c>
    </row>
    <row r="35" spans="6:7">
      <c r="F35" s="289" t="s">
        <v>549</v>
      </c>
      <c r="G35" s="133" t="s">
        <v>546</v>
      </c>
    </row>
    <row r="36" spans="6:7">
      <c r="F36" s="289" t="s">
        <v>548</v>
      </c>
      <c r="G36" s="21" t="s">
        <v>547</v>
      </c>
    </row>
    <row r="37" spans="6:7">
      <c r="F37" s="21" t="s">
        <v>93</v>
      </c>
      <c r="G37" s="21" t="s">
        <v>93</v>
      </c>
    </row>
    <row r="38" spans="6:7">
      <c r="F38" s="21" t="s">
        <v>0</v>
      </c>
      <c r="G38" s="21" t="s">
        <v>0</v>
      </c>
    </row>
    <row r="39" spans="6:7">
      <c r="F39" s="21" t="s">
        <v>551</v>
      </c>
      <c r="G39" s="21" t="s">
        <v>2</v>
      </c>
    </row>
    <row r="40" spans="6:7">
      <c r="F40" t="s">
        <v>78</v>
      </c>
      <c r="G40" s="21" t="s">
        <v>798</v>
      </c>
    </row>
    <row r="41" spans="6:7">
      <c r="F41" s="21" t="s">
        <v>282</v>
      </c>
      <c r="G41" s="21" t="s">
        <v>283</v>
      </c>
    </row>
    <row r="42" spans="6:7">
      <c r="F42" s="21" t="s">
        <v>284</v>
      </c>
      <c r="G42" s="21" t="s">
        <v>285</v>
      </c>
    </row>
    <row r="43" spans="6:7">
      <c r="F43" s="21" t="s">
        <v>286</v>
      </c>
      <c r="G43" s="21" t="s">
        <v>285</v>
      </c>
    </row>
    <row r="44" spans="6:7">
      <c r="F44" s="21" t="s">
        <v>287</v>
      </c>
      <c r="G44" s="21" t="s">
        <v>287</v>
      </c>
    </row>
    <row r="45" spans="6:7">
      <c r="F45" s="21" t="s">
        <v>288</v>
      </c>
      <c r="G45" s="21" t="s">
        <v>288</v>
      </c>
    </row>
    <row r="46" spans="6:7">
      <c r="F46" s="21" t="s">
        <v>250</v>
      </c>
      <c r="G46" s="21" t="s">
        <v>29</v>
      </c>
    </row>
    <row r="47" spans="6:7">
      <c r="F47" s="21" t="s">
        <v>289</v>
      </c>
      <c r="G47" s="21" t="s">
        <v>279</v>
      </c>
    </row>
    <row r="48" spans="6:7">
      <c r="F48" s="21" t="s">
        <v>290</v>
      </c>
      <c r="G48" s="21" t="s">
        <v>86</v>
      </c>
    </row>
    <row r="49" spans="6:7">
      <c r="F49" s="21" t="s">
        <v>291</v>
      </c>
      <c r="G49" s="21" t="s">
        <v>86</v>
      </c>
    </row>
    <row r="50" spans="6:7">
      <c r="F50" s="21" t="s">
        <v>573</v>
      </c>
      <c r="G50" s="21" t="s">
        <v>574</v>
      </c>
    </row>
    <row r="51" spans="6:7">
      <c r="F51" s="21" t="s">
        <v>513</v>
      </c>
      <c r="G51" s="21" t="s">
        <v>512</v>
      </c>
    </row>
    <row r="52" spans="6:7">
      <c r="F52" s="21" t="s">
        <v>281</v>
      </c>
      <c r="G52" s="21" t="s">
        <v>2</v>
      </c>
    </row>
    <row r="53" spans="6:7">
      <c r="F53" s="169" t="s">
        <v>536</v>
      </c>
      <c r="G53" s="280" t="s">
        <v>521</v>
      </c>
    </row>
    <row r="54" spans="6:7">
      <c r="F54" s="169" t="s">
        <v>536</v>
      </c>
      <c r="G54" s="280" t="s">
        <v>521</v>
      </c>
    </row>
    <row r="55" spans="6:7">
      <c r="F55" s="169" t="s">
        <v>533</v>
      </c>
      <c r="G55" s="280" t="s">
        <v>521</v>
      </c>
    </row>
    <row r="56" spans="6:7">
      <c r="F56" s="169" t="s">
        <v>533</v>
      </c>
      <c r="G56" s="280" t="s">
        <v>521</v>
      </c>
    </row>
    <row r="57" spans="6:7">
      <c r="F57" s="169" t="s">
        <v>537</v>
      </c>
      <c r="G57" s="280" t="s">
        <v>521</v>
      </c>
    </row>
    <row r="58" spans="6:7">
      <c r="F58" s="169" t="s">
        <v>537</v>
      </c>
      <c r="G58" s="280" t="s">
        <v>521</v>
      </c>
    </row>
    <row r="59" spans="6:7">
      <c r="F59" s="169" t="s">
        <v>539</v>
      </c>
      <c r="G59" s="280" t="s">
        <v>521</v>
      </c>
    </row>
    <row r="60" spans="6:7">
      <c r="F60" s="169" t="s">
        <v>539</v>
      </c>
      <c r="G60" s="280" t="s">
        <v>521</v>
      </c>
    </row>
    <row r="61" spans="6:7">
      <c r="F61" s="21" t="s">
        <v>519</v>
      </c>
      <c r="G61" s="21" t="s">
        <v>512</v>
      </c>
    </row>
    <row r="62" spans="6:7">
      <c r="F62" s="21" t="s">
        <v>293</v>
      </c>
      <c r="G62" s="21" t="s">
        <v>294</v>
      </c>
    </row>
    <row r="63" spans="6:7">
      <c r="F63" s="21" t="s">
        <v>295</v>
      </c>
      <c r="G63" s="21" t="s">
        <v>296</v>
      </c>
    </row>
    <row r="64" spans="6:7">
      <c r="F64" s="21" t="s">
        <v>293</v>
      </c>
      <c r="G64" s="21" t="s">
        <v>294</v>
      </c>
    </row>
    <row r="65" spans="6:7">
      <c r="F65" s="21" t="s">
        <v>297</v>
      </c>
      <c r="G65" s="21" t="s">
        <v>294</v>
      </c>
    </row>
    <row r="66" spans="6:7">
      <c r="F66" s="21" t="s">
        <v>295</v>
      </c>
      <c r="G66" s="21" t="s">
        <v>296</v>
      </c>
    </row>
    <row r="67" spans="6:7">
      <c r="F67" s="21" t="s">
        <v>298</v>
      </c>
      <c r="G67" s="21" t="s">
        <v>296</v>
      </c>
    </row>
    <row r="68" spans="6:7">
      <c r="F68" s="21" t="s">
        <v>298</v>
      </c>
      <c r="G68" s="21" t="s">
        <v>296</v>
      </c>
    </row>
    <row r="69" spans="6:7">
      <c r="F69" s="21" t="s">
        <v>299</v>
      </c>
      <c r="G69" s="21"/>
    </row>
    <row r="70" spans="6:7">
      <c r="F70" s="21" t="s">
        <v>299</v>
      </c>
      <c r="G70" s="21"/>
    </row>
    <row r="71" spans="6:7">
      <c r="F71" s="21" t="s">
        <v>300</v>
      </c>
      <c r="G71" s="21" t="s">
        <v>301</v>
      </c>
    </row>
    <row r="72" spans="6:7">
      <c r="F72" s="21" t="s">
        <v>300</v>
      </c>
      <c r="G72" s="21" t="s">
        <v>301</v>
      </c>
    </row>
    <row r="73" spans="6:7">
      <c r="F73" s="21" t="s">
        <v>302</v>
      </c>
      <c r="G73" s="21" t="s">
        <v>292</v>
      </c>
    </row>
    <row r="74" spans="6:7">
      <c r="F74" s="21" t="s">
        <v>302</v>
      </c>
      <c r="G74" s="21" t="s">
        <v>292</v>
      </c>
    </row>
    <row r="75" spans="6:7">
      <c r="F75" s="21" t="s">
        <v>303</v>
      </c>
      <c r="G75" s="21" t="s">
        <v>304</v>
      </c>
    </row>
    <row r="76" spans="6:7">
      <c r="F76" s="21" t="s">
        <v>303</v>
      </c>
      <c r="G76" s="21" t="s">
        <v>304</v>
      </c>
    </row>
    <row r="77" spans="6:7">
      <c r="F77" s="21" t="s">
        <v>305</v>
      </c>
      <c r="G77" s="21" t="s">
        <v>304</v>
      </c>
    </row>
    <row r="78" spans="6:7">
      <c r="F78" s="21" t="s">
        <v>305</v>
      </c>
      <c r="G78" s="21" t="s">
        <v>304</v>
      </c>
    </row>
    <row r="79" spans="6:7">
      <c r="F79" s="21" t="s">
        <v>293</v>
      </c>
      <c r="G79" s="21" t="s">
        <v>294</v>
      </c>
    </row>
    <row r="80" spans="6:7">
      <c r="F80" s="21" t="s">
        <v>293</v>
      </c>
      <c r="G80" s="21" t="s">
        <v>296</v>
      </c>
    </row>
    <row r="81" spans="6:7">
      <c r="F81" s="21" t="s">
        <v>297</v>
      </c>
      <c r="G81" s="21" t="s">
        <v>294</v>
      </c>
    </row>
    <row r="82" spans="6:7">
      <c r="F82" s="21" t="s">
        <v>297</v>
      </c>
      <c r="G82" s="21" t="s">
        <v>296</v>
      </c>
    </row>
    <row r="83" spans="6:7">
      <c r="F83" s="21" t="s">
        <v>295</v>
      </c>
      <c r="G83" s="21" t="s">
        <v>296</v>
      </c>
    </row>
    <row r="84" spans="6:7">
      <c r="F84" s="21" t="s">
        <v>295</v>
      </c>
      <c r="G84" s="21" t="s">
        <v>296</v>
      </c>
    </row>
    <row r="85" spans="6:7">
      <c r="F85" s="21" t="s">
        <v>298</v>
      </c>
      <c r="G85" s="21" t="s">
        <v>296</v>
      </c>
    </row>
    <row r="86" spans="6:7">
      <c r="F86" s="21" t="s">
        <v>298</v>
      </c>
      <c r="G86" s="21" t="s">
        <v>296</v>
      </c>
    </row>
    <row r="87" spans="6:7">
      <c r="F87" s="21" t="s">
        <v>303</v>
      </c>
      <c r="G87" s="21" t="s">
        <v>304</v>
      </c>
    </row>
    <row r="88" spans="6:7">
      <c r="F88" s="21" t="s">
        <v>303</v>
      </c>
      <c r="G88" s="21" t="s">
        <v>304</v>
      </c>
    </row>
    <row r="89" spans="6:7">
      <c r="F89" s="21" t="s">
        <v>305</v>
      </c>
      <c r="G89" s="21" t="s">
        <v>304</v>
      </c>
    </row>
    <row r="90" spans="6:7">
      <c r="F90" s="21" t="s">
        <v>305</v>
      </c>
      <c r="G90" s="21" t="s">
        <v>304</v>
      </c>
    </row>
    <row r="91" spans="6:7">
      <c r="F91" s="21" t="s">
        <v>293</v>
      </c>
      <c r="G91" s="21" t="s">
        <v>304</v>
      </c>
    </row>
    <row r="92" spans="6:7">
      <c r="F92" s="21" t="s">
        <v>306</v>
      </c>
      <c r="G92" s="21" t="s">
        <v>304</v>
      </c>
    </row>
    <row r="93" spans="6:7">
      <c r="F93" s="21" t="s">
        <v>307</v>
      </c>
      <c r="G93" s="21" t="s">
        <v>304</v>
      </c>
    </row>
    <row r="94" spans="6:7">
      <c r="F94" s="21" t="s">
        <v>247</v>
      </c>
      <c r="G94" s="21" t="s">
        <v>2</v>
      </c>
    </row>
    <row r="95" spans="6:7">
      <c r="F95" s="21" t="s">
        <v>247</v>
      </c>
      <c r="G95" s="21" t="s">
        <v>2</v>
      </c>
    </row>
    <row r="96" spans="6:7">
      <c r="F96" s="21" t="s">
        <v>308</v>
      </c>
      <c r="G96" s="21" t="s">
        <v>309</v>
      </c>
    </row>
    <row r="97" spans="6:7">
      <c r="F97" s="21" t="s">
        <v>310</v>
      </c>
      <c r="G97" s="21" t="s">
        <v>311</v>
      </c>
    </row>
    <row r="98" spans="6:7">
      <c r="F98" s="21" t="s">
        <v>798</v>
      </c>
      <c r="G98" s="21" t="s">
        <v>798</v>
      </c>
    </row>
    <row r="99" spans="6:7">
      <c r="F99" s="21" t="s">
        <v>139</v>
      </c>
      <c r="G99" s="21" t="s">
        <v>312</v>
      </c>
    </row>
    <row r="100" spans="6:7">
      <c r="F100" s="21" t="s">
        <v>313</v>
      </c>
      <c r="G100" s="21" t="s">
        <v>314</v>
      </c>
    </row>
    <row r="101" spans="6:7">
      <c r="F101" s="21" t="s">
        <v>253</v>
      </c>
      <c r="G101" s="21" t="s">
        <v>253</v>
      </c>
    </row>
    <row r="102" spans="6:7">
      <c r="F102" s="21" t="s">
        <v>255</v>
      </c>
      <c r="G102" s="21" t="s">
        <v>255</v>
      </c>
    </row>
    <row r="103" spans="6:7">
      <c r="F103" s="21" t="s">
        <v>241</v>
      </c>
      <c r="G103" s="21" t="s">
        <v>200</v>
      </c>
    </row>
    <row r="104" spans="6:7">
      <c r="F104" s="21" t="s">
        <v>525</v>
      </c>
      <c r="G104" s="21" t="s">
        <v>522</v>
      </c>
    </row>
    <row r="105" spans="6:7">
      <c r="F105" s="21" t="s">
        <v>352</v>
      </c>
      <c r="G105" s="21" t="s">
        <v>274</v>
      </c>
    </row>
    <row r="106" spans="6:7">
      <c r="F106" s="21" t="s">
        <v>352</v>
      </c>
      <c r="G106" s="21" t="s">
        <v>274</v>
      </c>
    </row>
    <row r="107" spans="6:7">
      <c r="F107" s="21" t="s">
        <v>401</v>
      </c>
      <c r="G107" s="21" t="s">
        <v>391</v>
      </c>
    </row>
    <row r="108" spans="6:7">
      <c r="F108" s="21" t="s">
        <v>401</v>
      </c>
      <c r="G108" s="21" t="s">
        <v>391</v>
      </c>
    </row>
    <row r="109" spans="6:7">
      <c r="F109" s="21" t="s">
        <v>402</v>
      </c>
      <c r="G109" s="21" t="s">
        <v>353</v>
      </c>
    </row>
    <row r="110" spans="6:7">
      <c r="F110" s="21" t="s">
        <v>426</v>
      </c>
      <c r="G110" s="21" t="s">
        <v>422</v>
      </c>
    </row>
    <row r="111" spans="6:7">
      <c r="F111" s="21" t="s">
        <v>427</v>
      </c>
      <c r="G111" s="21" t="s">
        <v>421</v>
      </c>
    </row>
    <row r="112" spans="6:7">
      <c r="F112" s="21" t="s">
        <v>524</v>
      </c>
      <c r="G112" s="21" t="s">
        <v>523</v>
      </c>
    </row>
    <row r="113" spans="6:7">
      <c r="F113" s="21" t="s">
        <v>437</v>
      </c>
      <c r="G113" s="21" t="s">
        <v>433</v>
      </c>
    </row>
    <row r="114" spans="6:7">
      <c r="F114" s="21" t="s">
        <v>437</v>
      </c>
      <c r="G114" s="21" t="s">
        <v>433</v>
      </c>
    </row>
    <row r="115" spans="6:7">
      <c r="F115" s="21" t="s">
        <v>438</v>
      </c>
      <c r="G115" s="21" t="s">
        <v>433</v>
      </c>
    </row>
    <row r="116" spans="6:7">
      <c r="F116" s="21" t="s">
        <v>438</v>
      </c>
      <c r="G116" s="21" t="s">
        <v>433</v>
      </c>
    </row>
    <row r="117" spans="6:7">
      <c r="F117" s="21" t="s">
        <v>436</v>
      </c>
      <c r="G117" s="21" t="s">
        <v>432</v>
      </c>
    </row>
    <row r="118" spans="6:7">
      <c r="F118" s="21" t="s">
        <v>436</v>
      </c>
      <c r="G118" s="21" t="s">
        <v>432</v>
      </c>
    </row>
    <row r="119" spans="6:7">
      <c r="F119" s="21" t="s">
        <v>429</v>
      </c>
      <c r="G119" s="21" t="s">
        <v>415</v>
      </c>
    </row>
    <row r="120" spans="6:7">
      <c r="F120" s="21" t="s">
        <v>429</v>
      </c>
      <c r="G120" s="21" t="s">
        <v>415</v>
      </c>
    </row>
    <row r="121" spans="6:7">
      <c r="F121" s="21" t="s">
        <v>439</v>
      </c>
      <c r="G121" s="21" t="s">
        <v>415</v>
      </c>
    </row>
    <row r="122" spans="6:7">
      <c r="F122" s="21" t="s">
        <v>439</v>
      </c>
      <c r="G122" s="21" t="s">
        <v>415</v>
      </c>
    </row>
    <row r="123" spans="6:7">
      <c r="F123" s="21" t="s">
        <v>431</v>
      </c>
      <c r="G123" s="21" t="s">
        <v>435</v>
      </c>
    </row>
    <row r="124" spans="6:7">
      <c r="F124" s="21" t="s">
        <v>447</v>
      </c>
      <c r="G124" s="21" t="s">
        <v>415</v>
      </c>
    </row>
    <row r="125" spans="6:7">
      <c r="F125" s="21" t="s">
        <v>447</v>
      </c>
      <c r="G125" s="21" t="s">
        <v>415</v>
      </c>
    </row>
    <row r="126" spans="6:7">
      <c r="F126" s="21" t="s">
        <v>526</v>
      </c>
      <c r="G126" s="21" t="s">
        <v>521</v>
      </c>
    </row>
    <row r="127" spans="6:7">
      <c r="F127" s="21" t="s">
        <v>533</v>
      </c>
      <c r="G127" s="21" t="s">
        <v>521</v>
      </c>
    </row>
    <row r="128" spans="6:7">
      <c r="F128" s="21" t="s">
        <v>532</v>
      </c>
      <c r="G128" s="21" t="s">
        <v>522</v>
      </c>
    </row>
    <row r="129" spans="6:7">
      <c r="F129" s="21" t="s">
        <v>534</v>
      </c>
      <c r="G129" s="21" t="s">
        <v>520</v>
      </c>
    </row>
    <row r="130" spans="6:7">
      <c r="F130" s="21" t="s">
        <v>530</v>
      </c>
      <c r="G130" s="21" t="s">
        <v>432</v>
      </c>
    </row>
    <row r="131" spans="6:7">
      <c r="F131" s="21" t="s">
        <v>531</v>
      </c>
      <c r="G131" s="21" t="s">
        <v>432</v>
      </c>
    </row>
    <row r="132" spans="6:7">
      <c r="F132" s="21" t="s">
        <v>528</v>
      </c>
      <c r="G132" s="21" t="s">
        <v>413</v>
      </c>
    </row>
    <row r="133" spans="6:7">
      <c r="F133" s="21" t="s">
        <v>529</v>
      </c>
      <c r="G133" s="21" t="s">
        <v>527</v>
      </c>
    </row>
    <row r="134" spans="6:7">
      <c r="F134" s="21" t="s">
        <v>536</v>
      </c>
      <c r="G134" s="21" t="s">
        <v>521</v>
      </c>
    </row>
    <row r="135" spans="6:7">
      <c r="F135" s="21" t="s">
        <v>537</v>
      </c>
      <c r="G135" s="21" t="s">
        <v>521</v>
      </c>
    </row>
    <row r="136" spans="6:7">
      <c r="F136" s="21" t="s">
        <v>535</v>
      </c>
      <c r="G136" s="21" t="s">
        <v>522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B63FC-1114-4E55-9369-B61530171CCD}">
  <sheetPr codeName="Sheet5"/>
  <dimension ref="A1:K77"/>
  <sheetViews>
    <sheetView topLeftCell="A52" zoomScaleNormal="100" workbookViewId="0">
      <selection activeCell="G72" sqref="G72"/>
    </sheetView>
  </sheetViews>
  <sheetFormatPr defaultRowHeight="15"/>
  <cols>
    <col min="2" max="2" width="13.28515625" customWidth="1"/>
    <col min="3" max="3" width="14.7109375" bestFit="1" customWidth="1"/>
    <col min="4" max="4" width="14.28515625" bestFit="1" customWidth="1"/>
    <col min="5" max="5" width="11" bestFit="1" customWidth="1"/>
    <col min="6" max="6" width="14.28515625" bestFit="1" customWidth="1"/>
    <col min="7" max="7" width="11.5703125" bestFit="1" customWidth="1"/>
    <col min="8" max="8" width="14.28515625" bestFit="1" customWidth="1"/>
    <col min="9" max="9" width="11.5703125" bestFit="1" customWidth="1"/>
    <col min="10" max="10" width="13.28515625" bestFit="1" customWidth="1"/>
    <col min="11" max="11" width="11.7109375" bestFit="1" customWidth="1"/>
  </cols>
  <sheetData>
    <row r="1" spans="2:8">
      <c r="C1" t="s">
        <v>319</v>
      </c>
      <c r="D1" t="s">
        <v>320</v>
      </c>
      <c r="E1" t="s">
        <v>113</v>
      </c>
      <c r="G1" s="3"/>
    </row>
    <row r="2" spans="2:8">
      <c r="B2" t="s">
        <v>321</v>
      </c>
      <c r="C2" s="3">
        <v>18750</v>
      </c>
      <c r="D2" s="3">
        <f>E2-C2</f>
        <v>56250</v>
      </c>
      <c r="E2" s="3">
        <v>75000</v>
      </c>
      <c r="G2" s="3"/>
    </row>
    <row r="3" spans="2:8">
      <c r="B3" t="s">
        <v>321</v>
      </c>
      <c r="C3" s="3">
        <f>E3*0.25</f>
        <v>6250</v>
      </c>
      <c r="D3" s="3">
        <f>E3-C3</f>
        <v>18750</v>
      </c>
      <c r="E3" s="3">
        <v>25000</v>
      </c>
      <c r="G3" s="3"/>
    </row>
    <row r="4" spans="2:8">
      <c r="B4" t="s">
        <v>322</v>
      </c>
      <c r="C4" s="3"/>
      <c r="D4" s="3">
        <v>75000</v>
      </c>
      <c r="E4" s="3">
        <v>75000</v>
      </c>
      <c r="G4" s="3"/>
    </row>
    <row r="5" spans="2:8">
      <c r="B5" t="s">
        <v>323</v>
      </c>
      <c r="C5" s="3">
        <v>100000</v>
      </c>
      <c r="D5" s="3">
        <v>10000</v>
      </c>
      <c r="E5" s="3">
        <v>200000</v>
      </c>
      <c r="G5" s="3"/>
    </row>
    <row r="6" spans="2:8">
      <c r="D6" s="3"/>
      <c r="G6" s="3"/>
    </row>
    <row r="7" spans="2:8">
      <c r="D7" s="3"/>
      <c r="G7" s="3"/>
    </row>
    <row r="8" spans="2:8">
      <c r="D8" s="3"/>
      <c r="G8" s="3"/>
    </row>
    <row r="9" spans="2:8">
      <c r="B9" s="79">
        <v>45460</v>
      </c>
      <c r="C9" t="s">
        <v>324</v>
      </c>
      <c r="D9" s="3">
        <v>-14000000</v>
      </c>
      <c r="E9" s="1">
        <v>73.75</v>
      </c>
      <c r="F9" t="s">
        <v>325</v>
      </c>
      <c r="G9" s="80">
        <f>192395+11198</f>
        <v>203593</v>
      </c>
      <c r="H9" s="81">
        <f t="shared" ref="H9:H14" si="0">G9/D9</f>
        <v>-1.4542357142857143E-2</v>
      </c>
    </row>
    <row r="10" spans="2:8">
      <c r="B10" s="79">
        <v>45460</v>
      </c>
      <c r="C10" t="s">
        <v>326</v>
      </c>
      <c r="D10" s="3">
        <v>14000000</v>
      </c>
      <c r="E10" s="1">
        <v>65</v>
      </c>
      <c r="F10" t="s">
        <v>325</v>
      </c>
      <c r="G10" s="3">
        <f>246264+14333</f>
        <v>260597</v>
      </c>
      <c r="H10" s="5">
        <f t="shared" si="0"/>
        <v>1.8614071428571428E-2</v>
      </c>
    </row>
    <row r="11" spans="2:8">
      <c r="B11" s="79">
        <v>45460</v>
      </c>
      <c r="C11" t="s">
        <v>324</v>
      </c>
      <c r="D11" s="3">
        <v>-11000000</v>
      </c>
      <c r="E11" s="1">
        <v>74.099999999999994</v>
      </c>
      <c r="F11" t="s">
        <v>327</v>
      </c>
      <c r="G11" s="80">
        <f>149481.1+8699.96</f>
        <v>158181.06</v>
      </c>
      <c r="H11" s="81">
        <f t="shared" si="0"/>
        <v>-1.4380096363636364E-2</v>
      </c>
    </row>
    <row r="12" spans="2:8">
      <c r="B12" s="79">
        <v>45460</v>
      </c>
      <c r="C12" t="s">
        <v>326</v>
      </c>
      <c r="D12" s="3">
        <v>11000000</v>
      </c>
      <c r="E12" s="1">
        <v>64</v>
      </c>
      <c r="F12" t="s">
        <v>327</v>
      </c>
      <c r="G12" s="3">
        <f>198349.3+11544.14</f>
        <v>209893.44</v>
      </c>
      <c r="H12" s="5">
        <f t="shared" si="0"/>
        <v>1.908122181818182E-2</v>
      </c>
    </row>
    <row r="13" spans="2:8">
      <c r="B13" s="79">
        <v>45457</v>
      </c>
      <c r="C13" t="s">
        <v>324</v>
      </c>
      <c r="D13" s="3">
        <v>40000000</v>
      </c>
      <c r="E13" s="1">
        <v>72.8</v>
      </c>
      <c r="F13" t="s">
        <v>325</v>
      </c>
      <c r="G13" s="80">
        <f>426259.38+24808.75</f>
        <v>451068.13</v>
      </c>
      <c r="H13" s="81">
        <f t="shared" si="0"/>
        <v>1.1276703250000001E-2</v>
      </c>
    </row>
    <row r="14" spans="2:8">
      <c r="B14" s="79">
        <v>45457</v>
      </c>
      <c r="C14" t="s">
        <v>324</v>
      </c>
      <c r="D14" s="3">
        <v>30000000</v>
      </c>
      <c r="E14" s="1">
        <v>72.48</v>
      </c>
      <c r="F14" t="s">
        <v>327</v>
      </c>
      <c r="G14" s="80">
        <f>426259.38+24808.75</f>
        <v>451068.13</v>
      </c>
      <c r="H14" s="81">
        <f t="shared" si="0"/>
        <v>1.5035604333333334E-2</v>
      </c>
    </row>
    <row r="16" spans="2:8">
      <c r="G16" s="3"/>
    </row>
    <row r="17" spans="2:11">
      <c r="B17" t="s">
        <v>190</v>
      </c>
      <c r="C17" t="s">
        <v>324</v>
      </c>
      <c r="D17" s="3">
        <v>70000000</v>
      </c>
      <c r="E17" s="1">
        <f>((D13*E13)+(D14*E14))/D17</f>
        <v>72.662857142857149</v>
      </c>
      <c r="G17" s="3"/>
    </row>
    <row r="18" spans="2:11">
      <c r="B18" t="s">
        <v>191</v>
      </c>
      <c r="C18" t="s">
        <v>324</v>
      </c>
      <c r="D18" s="3">
        <v>-25000000</v>
      </c>
      <c r="E18" s="1">
        <f>((D9*E9)+(D11*E11))/D18</f>
        <v>73.903999999999996</v>
      </c>
      <c r="G18" s="3"/>
    </row>
    <row r="19" spans="2:11">
      <c r="B19" t="s">
        <v>191</v>
      </c>
      <c r="C19" t="s">
        <v>324</v>
      </c>
      <c r="D19" s="17">
        <v>-22500000</v>
      </c>
      <c r="E19" s="1">
        <v>73.349999999999994</v>
      </c>
      <c r="F19" s="79">
        <v>45471</v>
      </c>
      <c r="G19" s="3"/>
      <c r="K19" s="63">
        <f>K21*H23</f>
        <v>-78080.903104421624</v>
      </c>
    </row>
    <row r="21" spans="2:11">
      <c r="E21" s="1"/>
      <c r="J21">
        <v>105.47</v>
      </c>
      <c r="K21" s="5">
        <f>J21/J22-1</f>
        <v>-7.8080903104421617E-3</v>
      </c>
    </row>
    <row r="22" spans="2:11">
      <c r="I22">
        <f>I23*20</f>
        <v>83794.2</v>
      </c>
      <c r="J22">
        <v>106.3</v>
      </c>
    </row>
    <row r="23" spans="2:11">
      <c r="B23" t="s">
        <v>190</v>
      </c>
      <c r="C23" t="s">
        <v>326</v>
      </c>
      <c r="D23" s="3">
        <v>25000000</v>
      </c>
      <c r="E23" s="1">
        <f>((D10*E10)+(D12*E12))/D23</f>
        <v>64.56</v>
      </c>
      <c r="H23" s="3">
        <v>10000000</v>
      </c>
      <c r="I23">
        <v>4189.71</v>
      </c>
    </row>
    <row r="25" spans="2:11">
      <c r="H25">
        <v>106.3</v>
      </c>
    </row>
    <row r="26" spans="2:11">
      <c r="B26" t="s">
        <v>328</v>
      </c>
      <c r="C26" t="s">
        <v>329</v>
      </c>
      <c r="D26" t="s">
        <v>330</v>
      </c>
    </row>
    <row r="27" spans="2:11">
      <c r="B27">
        <v>1</v>
      </c>
      <c r="C27" s="1">
        <v>4639.37</v>
      </c>
      <c r="D27" s="3">
        <v>10000000</v>
      </c>
    </row>
    <row r="29" spans="2:11">
      <c r="B29">
        <v>14</v>
      </c>
      <c r="C29" s="3">
        <f>0.01%*11500000000/5.3</f>
        <v>216981.13207547172</v>
      </c>
    </row>
    <row r="30" spans="2:11">
      <c r="I30">
        <f>418*20</f>
        <v>8360</v>
      </c>
      <c r="J30" s="3">
        <v>1000000</v>
      </c>
    </row>
    <row r="31" spans="2:11">
      <c r="B31">
        <v>1</v>
      </c>
      <c r="C31" s="3">
        <f>B31/B29*C29</f>
        <v>15498.652291105122</v>
      </c>
      <c r="D31" s="17">
        <f>C31/C27*D27</f>
        <v>33406803.706333235</v>
      </c>
      <c r="I31" s="3">
        <f>0.01%*12500000000/5.5</f>
        <v>227272.72727272726</v>
      </c>
    </row>
    <row r="32" spans="2:11">
      <c r="I32" s="17">
        <f>I31/I30</f>
        <v>27.185732927359719</v>
      </c>
    </row>
    <row r="33" spans="2:9">
      <c r="B33" t="s">
        <v>328</v>
      </c>
      <c r="C33" t="s">
        <v>329</v>
      </c>
      <c r="D33" t="s">
        <v>330</v>
      </c>
    </row>
    <row r="34" spans="2:9">
      <c r="B34">
        <v>1</v>
      </c>
      <c r="C34" s="1">
        <v>4206.29</v>
      </c>
      <c r="D34" s="3">
        <v>10000000</v>
      </c>
    </row>
    <row r="36" spans="2:9">
      <c r="B36">
        <v>10</v>
      </c>
      <c r="C36" s="3">
        <f>0.01%*10000000000/5.3</f>
        <v>188679.24528301888</v>
      </c>
      <c r="F36" s="63"/>
      <c r="H36" s="63"/>
    </row>
    <row r="37" spans="2:9">
      <c r="F37" s="63"/>
      <c r="H37" s="63"/>
    </row>
    <row r="38" spans="2:9">
      <c r="B38">
        <v>1</v>
      </c>
      <c r="C38" s="3">
        <f>B38/B36*C36</f>
        <v>18867.92452830189</v>
      </c>
      <c r="D38" s="17">
        <f>C38/C34*D34</f>
        <v>44856451.952437632</v>
      </c>
      <c r="F38" s="63"/>
      <c r="H38" s="63"/>
      <c r="I38" s="78"/>
    </row>
    <row r="40" spans="2:9">
      <c r="B40" s="58" t="s">
        <v>328</v>
      </c>
      <c r="C40" s="58" t="s">
        <v>329</v>
      </c>
      <c r="D40" s="58" t="s">
        <v>330</v>
      </c>
      <c r="E40" s="58" t="s">
        <v>899</v>
      </c>
    </row>
    <row r="41" spans="2:9">
      <c r="B41" s="58">
        <v>1</v>
      </c>
      <c r="C41" s="14">
        <v>4510</v>
      </c>
      <c r="D41" s="8">
        <v>10000000</v>
      </c>
      <c r="E41" s="205">
        <v>0.25</v>
      </c>
      <c r="F41" s="31">
        <f>E41/10000</f>
        <v>2.5000000000000001E-5</v>
      </c>
    </row>
    <row r="42" spans="2:9">
      <c r="B42" s="58"/>
      <c r="C42" s="58"/>
      <c r="D42" s="58"/>
      <c r="F42" s="63"/>
    </row>
    <row r="43" spans="2:9">
      <c r="B43" s="58">
        <v>10</v>
      </c>
      <c r="C43" s="8">
        <f>E41*2400000000/10000</f>
        <v>60000</v>
      </c>
      <c r="D43" s="58"/>
      <c r="F43" s="63"/>
      <c r="G43" s="78"/>
    </row>
    <row r="44" spans="2:9">
      <c r="B44" s="58"/>
      <c r="C44" s="58"/>
      <c r="D44" s="58"/>
    </row>
    <row r="45" spans="2:9">
      <c r="B45" s="58">
        <v>1</v>
      </c>
      <c r="C45" s="8">
        <f>B45/B43*C43</f>
        <v>6000</v>
      </c>
      <c r="D45" s="366">
        <f>C45/C41*D41</f>
        <v>13303769.401330376</v>
      </c>
    </row>
    <row r="50" spans="1:10">
      <c r="I50" s="92" cm="1">
        <f t="array" ref="I50">_xll.BDP("cny Curncy","LAST_PRICE")</f>
        <v>6.9048999999999996</v>
      </c>
    </row>
    <row r="51" spans="1:10">
      <c r="F51" s="79" t="s">
        <v>893</v>
      </c>
      <c r="G51" s="79" t="s">
        <v>894</v>
      </c>
      <c r="H51" s="79" t="str">
        <f>F51</f>
        <v>YEST</v>
      </c>
      <c r="I51" s="79" t="str">
        <f>G51</f>
        <v>TODAY</v>
      </c>
      <c r="J51" t="s">
        <v>874</v>
      </c>
    </row>
    <row r="52" spans="1:10">
      <c r="A52" s="358" t="s">
        <v>595</v>
      </c>
      <c r="B52" s="359">
        <v>46101</v>
      </c>
      <c r="C52" s="358">
        <v>276451</v>
      </c>
      <c r="D52" s="358" t="s">
        <v>597</v>
      </c>
      <c r="E52" s="358" t="s">
        <v>808</v>
      </c>
      <c r="F52" s="364">
        <f>Precificação!N2</f>
        <v>9.5500000000000007</v>
      </c>
      <c r="G52" s="205">
        <v>10.45</v>
      </c>
      <c r="H52" s="196">
        <f>$C52*F52/$I$50</f>
        <v>382352.68432562391</v>
      </c>
      <c r="I52" s="196">
        <f>$C52*G52/$I$50</f>
        <v>418385.92159191298</v>
      </c>
      <c r="J52" s="196">
        <f>I52-H52</f>
        <v>36033.23726628907</v>
      </c>
    </row>
    <row r="53" spans="1:10">
      <c r="A53" s="358" t="s">
        <v>595</v>
      </c>
      <c r="B53" s="359">
        <v>46101</v>
      </c>
      <c r="C53" s="358">
        <v>276451</v>
      </c>
      <c r="D53" s="358" t="s">
        <v>597</v>
      </c>
      <c r="E53" s="358" t="s">
        <v>809</v>
      </c>
      <c r="F53" s="364">
        <f>Precificação!N3</f>
        <v>1.28</v>
      </c>
      <c r="G53" s="205">
        <v>2.35</v>
      </c>
      <c r="H53" s="196">
        <f>$C53*F53/$I$50</f>
        <v>51247.270778722363</v>
      </c>
      <c r="I53" s="196">
        <f>$C53*G53/$I$50</f>
        <v>94086.786195310575</v>
      </c>
      <c r="J53" s="196">
        <f>I53-H53</f>
        <v>42839.515416588212</v>
      </c>
    </row>
    <row r="54" spans="1:10">
      <c r="E54" s="205">
        <f>E53-E52</f>
        <v>15</v>
      </c>
      <c r="F54" s="205">
        <f>F52-F53</f>
        <v>8.2700000000000014</v>
      </c>
      <c r="G54" s="205">
        <f>G52-G53</f>
        <v>8.1</v>
      </c>
      <c r="H54" s="334">
        <f>H52-H53</f>
        <v>331105.41354690155</v>
      </c>
      <c r="I54" s="334">
        <f>I52-I53</f>
        <v>324299.13539660239</v>
      </c>
      <c r="J54" s="334">
        <f>J52-J53</f>
        <v>-6806.278150299142</v>
      </c>
    </row>
    <row r="55" spans="1:10">
      <c r="I55" t="s">
        <v>875</v>
      </c>
      <c r="J55" s="205">
        <f>J54/'Master P&amp;L'!AD7*10000</f>
        <v>-2.6962386181519648E-2</v>
      </c>
    </row>
    <row r="58" spans="1:10">
      <c r="B58" s="5"/>
      <c r="D58" s="5"/>
    </row>
    <row r="61" spans="1:10">
      <c r="B61" t="s">
        <v>900</v>
      </c>
    </row>
    <row r="62" spans="1:10">
      <c r="C62" t="s">
        <v>152</v>
      </c>
      <c r="D62" t="s">
        <v>153</v>
      </c>
    </row>
    <row r="63" spans="1:10">
      <c r="B63" t="s">
        <v>902</v>
      </c>
      <c r="C63">
        <v>99.21</v>
      </c>
      <c r="D63">
        <v>99.06</v>
      </c>
    </row>
    <row r="64" spans="1:10">
      <c r="B64" t="s">
        <v>904</v>
      </c>
      <c r="C64" s="42">
        <v>0.05</v>
      </c>
      <c r="D64" s="42">
        <v>4.9799999999999997E-2</v>
      </c>
    </row>
    <row r="65" spans="2:6">
      <c r="B65" t="s">
        <v>903</v>
      </c>
      <c r="C65" s="42">
        <v>4.2299999999999997E-2</v>
      </c>
      <c r="D65" s="42">
        <v>4.2299999999999997E-2</v>
      </c>
    </row>
    <row r="66" spans="2:6">
      <c r="B66" t="s">
        <v>901</v>
      </c>
      <c r="C66">
        <v>77</v>
      </c>
      <c r="D66">
        <v>75</v>
      </c>
    </row>
    <row r="67" spans="2:6">
      <c r="B67" t="s">
        <v>910</v>
      </c>
      <c r="C67" s="196">
        <f>(C66/10000)*C70</f>
        <v>77000</v>
      </c>
      <c r="F67" s="205">
        <f>C67/'Master P&amp;L'!$AD$7*10000</f>
        <v>0.30502775380782315</v>
      </c>
    </row>
    <row r="69" spans="2:6">
      <c r="B69" t="s">
        <v>905</v>
      </c>
    </row>
    <row r="70" spans="2:6">
      <c r="B70" t="s">
        <v>330</v>
      </c>
      <c r="C70" s="196">
        <v>10000000</v>
      </c>
    </row>
    <row r="71" spans="2:6">
      <c r="B71" t="s">
        <v>329</v>
      </c>
      <c r="C71" s="196">
        <v>7630</v>
      </c>
      <c r="F71" t="s">
        <v>875</v>
      </c>
    </row>
    <row r="72" spans="2:6">
      <c r="B72" t="s">
        <v>901</v>
      </c>
      <c r="C72" s="196">
        <f>(D72-$C$66)*$C$71</f>
        <v>-53410</v>
      </c>
      <c r="D72">
        <v>70</v>
      </c>
      <c r="E72" t="s">
        <v>908</v>
      </c>
      <c r="F72" s="205">
        <f>C72/'Master P&amp;L'!$AD$7*10000</f>
        <v>-0.21157834195942643</v>
      </c>
    </row>
    <row r="73" spans="2:6">
      <c r="B73" t="s">
        <v>901</v>
      </c>
      <c r="C73" s="196">
        <f>(D73-$C$66)*$C$71</f>
        <v>61040</v>
      </c>
      <c r="D73">
        <v>85</v>
      </c>
      <c r="E73" t="s">
        <v>909</v>
      </c>
      <c r="F73" s="205">
        <f>C73/'Master P&amp;L'!$AD$7*10000</f>
        <v>0.24180381938220166</v>
      </c>
    </row>
    <row r="76" spans="2:6">
      <c r="B76" t="s">
        <v>906</v>
      </c>
    </row>
    <row r="77" spans="2:6">
      <c r="B77" t="s">
        <v>907</v>
      </c>
    </row>
  </sheetData>
  <conditionalFormatting sqref="F52:F53">
    <cfRule type="cellIs" dxfId="4" priority="1" operator="equal">
      <formula>0</formula>
    </cfRule>
  </conditionalFormatting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D71FC-500B-4D1B-880B-C04D9D09B9D2}">
  <sheetPr codeName="Sheet26"/>
  <dimension ref="A1:W165"/>
  <sheetViews>
    <sheetView workbookViewId="0">
      <selection activeCell="A33" sqref="A33"/>
    </sheetView>
  </sheetViews>
  <sheetFormatPr defaultRowHeight="15"/>
  <cols>
    <col min="1" max="1" width="10.42578125" bestFit="1" customWidth="1"/>
    <col min="2" max="2" width="14.140625" bestFit="1" customWidth="1"/>
    <col min="3" max="3" width="33.42578125" customWidth="1"/>
    <col min="4" max="4" width="30.7109375" bestFit="1" customWidth="1"/>
    <col min="5" max="5" width="10.85546875" bestFit="1" customWidth="1"/>
    <col min="7" max="7" width="16.42578125" bestFit="1" customWidth="1"/>
    <col min="18" max="18" width="36" bestFit="1" customWidth="1"/>
    <col min="20" max="20" width="15.42578125" bestFit="1" customWidth="1"/>
    <col min="21" max="21" width="15.42578125" customWidth="1"/>
    <col min="22" max="22" width="11.28515625" bestFit="1" customWidth="1"/>
  </cols>
  <sheetData>
    <row r="1" spans="1:23">
      <c r="A1" s="256" t="s">
        <v>343</v>
      </c>
      <c r="B1" s="256" t="s">
        <v>239</v>
      </c>
      <c r="C1" s="256" t="s">
        <v>344</v>
      </c>
      <c r="D1" s="256" t="s">
        <v>118</v>
      </c>
      <c r="E1" s="256" t="s">
        <v>96</v>
      </c>
      <c r="F1" s="256" t="s">
        <v>315</v>
      </c>
      <c r="G1" t="s">
        <v>361</v>
      </c>
      <c r="R1" t="s">
        <v>349</v>
      </c>
      <c r="S1" t="s">
        <v>359</v>
      </c>
      <c r="T1" t="s">
        <v>360</v>
      </c>
      <c r="U1" t="s">
        <v>369</v>
      </c>
      <c r="V1" t="s">
        <v>350</v>
      </c>
      <c r="W1" t="s">
        <v>315</v>
      </c>
    </row>
    <row r="2" spans="1:23">
      <c r="A2" s="257">
        <v>45840</v>
      </c>
      <c r="B2" s="258" t="s">
        <v>208</v>
      </c>
      <c r="C2" s="258" t="s">
        <v>251</v>
      </c>
      <c r="D2" s="258" t="s">
        <v>406</v>
      </c>
      <c r="E2" s="259">
        <v>-2009465</v>
      </c>
      <c r="F2" s="258">
        <v>-1.78</v>
      </c>
      <c r="G2" s="196">
        <f>+E2/F2*10000</f>
        <v>11289129213.483145</v>
      </c>
      <c r="R2" t="str">
        <f>D2</f>
        <v>TSM US 10/17/25 C230</v>
      </c>
      <c r="S2">
        <f>VLOOKUP(R2,$D$2:$F$156,2,FALSE)</f>
        <v>-2009465</v>
      </c>
      <c r="T2" s="197">
        <f>IF(R2="","",IF(LEN(R2)&gt;9,SUMIFS(Options!$AZ$3:$AZ$28,Options!$B$3:$B$28,'Check result'!R2),SUMIFS('Master P&amp;L'!$AE$11:$AE$101,'Master P&amp;L'!$B$11:$B$101,'Check result'!R2)))</f>
        <v>0</v>
      </c>
      <c r="U2" s="197">
        <f>T2/2</f>
        <v>0</v>
      </c>
      <c r="V2" s="196">
        <f>+S2-U2</f>
        <v>-2009465</v>
      </c>
      <c r="W2">
        <f>+V2/G2*10000</f>
        <v>-1.7800000000000002</v>
      </c>
    </row>
    <row r="3" spans="1:23">
      <c r="A3" s="257">
        <v>45840</v>
      </c>
      <c r="B3" s="258" t="s">
        <v>208</v>
      </c>
      <c r="C3" s="258" t="s">
        <v>251</v>
      </c>
      <c r="D3" s="258" t="s">
        <v>498</v>
      </c>
      <c r="E3" s="259">
        <v>-754078</v>
      </c>
      <c r="F3" s="258">
        <v>-0.67</v>
      </c>
      <c r="G3" s="196">
        <f t="shared" ref="G3:G66" si="0">+E3/F3*10000</f>
        <v>11254895522.38806</v>
      </c>
      <c r="R3" t="str">
        <f t="shared" ref="R3:R66" si="1">D3</f>
        <v>TSM US 07/18/25 C240</v>
      </c>
      <c r="S3">
        <f t="shared" ref="S3:S66" si="2">VLOOKUP(R3,$D$2:$F$156,2,FALSE)</f>
        <v>-754078</v>
      </c>
      <c r="T3" s="197">
        <f>IF(R3="","",IF(LEN(R3)&gt;9,SUMIFS(Options!$AZ$3:$AZ$28,Options!$B$3:$B$28,'Check result'!R3),SUMIFS('Master P&amp;L'!$AE$11:$AE$101,'Master P&amp;L'!$B$11:$B$101,'Check result'!R3)))</f>
        <v>0</v>
      </c>
      <c r="U3" s="197">
        <f t="shared" ref="U3:U66" si="3">T3/2</f>
        <v>0</v>
      </c>
      <c r="V3" s="196">
        <f t="shared" ref="V3:V66" si="4">+S3-U3</f>
        <v>-754078</v>
      </c>
      <c r="W3">
        <f t="shared" ref="W3:W66" si="5">+V3/G3*10000</f>
        <v>-0.67</v>
      </c>
    </row>
    <row r="4" spans="1:23">
      <c r="A4" s="257">
        <v>45840</v>
      </c>
      <c r="B4" s="258" t="s">
        <v>208</v>
      </c>
      <c r="C4" s="258" t="s">
        <v>244</v>
      </c>
      <c r="D4" s="258" t="s">
        <v>474</v>
      </c>
      <c r="E4" s="259">
        <v>-662125</v>
      </c>
      <c r="F4" s="258">
        <v>-0.59</v>
      </c>
      <c r="G4" s="196">
        <f t="shared" si="0"/>
        <v>11222457627.118645</v>
      </c>
      <c r="R4" t="str">
        <f t="shared" si="1"/>
        <v>HOOD US 07/18/25 C100</v>
      </c>
      <c r="S4">
        <f t="shared" si="2"/>
        <v>-662125</v>
      </c>
      <c r="T4" s="197">
        <f>IF(R4="","",IF(LEN(R4)&gt;9,SUMIFS(Options!$AZ$3:$AZ$28,Options!$B$3:$B$28,'Check result'!R4),SUMIFS('Master P&amp;L'!$AE$11:$AE$101,'Master P&amp;L'!$B$11:$B$101,'Check result'!R4)))</f>
        <v>0</v>
      </c>
      <c r="U4" s="197">
        <f t="shared" si="3"/>
        <v>0</v>
      </c>
      <c r="V4" s="196">
        <f t="shared" si="4"/>
        <v>-662125</v>
      </c>
      <c r="W4">
        <f t="shared" si="5"/>
        <v>-0.59</v>
      </c>
    </row>
    <row r="5" spans="1:23">
      <c r="A5" s="257">
        <v>45840</v>
      </c>
      <c r="B5" s="258" t="s">
        <v>208</v>
      </c>
      <c r="C5" s="258" t="s">
        <v>244</v>
      </c>
      <c r="D5" s="258" t="s">
        <v>410</v>
      </c>
      <c r="E5" s="259">
        <v>-621079</v>
      </c>
      <c r="F5" s="258">
        <v>-0.55000000000000004</v>
      </c>
      <c r="G5" s="196">
        <f t="shared" si="0"/>
        <v>11292345454.545454</v>
      </c>
      <c r="R5" t="str">
        <f t="shared" si="1"/>
        <v>NVDA US 07/18/25 C155</v>
      </c>
      <c r="S5">
        <f t="shared" si="2"/>
        <v>-621079</v>
      </c>
      <c r="T5" s="197">
        <f>IF(R5="","",IF(LEN(R5)&gt;9,SUMIFS(Options!$AZ$3:$AZ$28,Options!$B$3:$B$28,'Check result'!R5),SUMIFS('Master P&amp;L'!$AE$11:$AE$101,'Master P&amp;L'!$B$11:$B$101,'Check result'!R5)))</f>
        <v>0</v>
      </c>
      <c r="U5" s="197">
        <f t="shared" si="3"/>
        <v>0</v>
      </c>
      <c r="V5" s="196">
        <f t="shared" si="4"/>
        <v>-621079</v>
      </c>
      <c r="W5">
        <f t="shared" si="5"/>
        <v>-0.55000000000000004</v>
      </c>
    </row>
    <row r="6" spans="1:23">
      <c r="A6" s="257">
        <v>45840</v>
      </c>
      <c r="B6" s="258" t="s">
        <v>208</v>
      </c>
      <c r="C6" s="258" t="s">
        <v>8</v>
      </c>
      <c r="D6" s="258" t="s">
        <v>357</v>
      </c>
      <c r="E6" s="259">
        <v>-396008</v>
      </c>
      <c r="F6" s="258">
        <v>-0.35</v>
      </c>
      <c r="G6" s="196">
        <f t="shared" si="0"/>
        <v>11314514285.714287</v>
      </c>
      <c r="R6" t="str">
        <f t="shared" si="1"/>
        <v>TTE</v>
      </c>
      <c r="S6">
        <f t="shared" si="2"/>
        <v>-396008</v>
      </c>
      <c r="T6" s="197">
        <f>IF(R6="","",IF(LEN(R6)&gt;9,SUMIFS(Options!$AZ$3:$AZ$28,Options!$B$3:$B$28,'Check result'!R6),SUMIFS('Master P&amp;L'!$AE$11:$AE$101,'Master P&amp;L'!$B$11:$B$101,'Check result'!R6)))</f>
        <v>0</v>
      </c>
      <c r="U6" s="197">
        <f t="shared" si="3"/>
        <v>0</v>
      </c>
      <c r="V6" s="196">
        <f t="shared" si="4"/>
        <v>-396008</v>
      </c>
      <c r="W6">
        <f t="shared" si="5"/>
        <v>-0.35</v>
      </c>
    </row>
    <row r="7" spans="1:23">
      <c r="A7" s="257">
        <v>45840</v>
      </c>
      <c r="B7" s="258" t="s">
        <v>208</v>
      </c>
      <c r="C7" s="258" t="s">
        <v>244</v>
      </c>
      <c r="D7" s="258" t="s">
        <v>396</v>
      </c>
      <c r="E7" s="259">
        <v>-380764</v>
      </c>
      <c r="F7" s="258">
        <v>-0.34</v>
      </c>
      <c r="G7" s="196">
        <f t="shared" si="0"/>
        <v>11198941176.470589</v>
      </c>
      <c r="R7" t="str">
        <f t="shared" si="1"/>
        <v>NVDA US 07/18/25 C160</v>
      </c>
      <c r="S7">
        <f t="shared" si="2"/>
        <v>-380764</v>
      </c>
      <c r="T7" s="197">
        <f>IF(R7="","",IF(LEN(R7)&gt;9,SUMIFS(Options!$AZ$3:$AZ$28,Options!$B$3:$B$28,'Check result'!R7),SUMIFS('Master P&amp;L'!$AE$11:$AE$101,'Master P&amp;L'!$B$11:$B$101,'Check result'!R7)))</f>
        <v>0</v>
      </c>
      <c r="U7" s="197">
        <f t="shared" si="3"/>
        <v>0</v>
      </c>
      <c r="V7" s="196">
        <f t="shared" si="4"/>
        <v>-380764</v>
      </c>
      <c r="W7">
        <f t="shared" si="5"/>
        <v>-0.34</v>
      </c>
    </row>
    <row r="8" spans="1:23">
      <c r="A8" s="257">
        <v>45840</v>
      </c>
      <c r="B8" s="258" t="s">
        <v>208</v>
      </c>
      <c r="C8" s="258" t="s">
        <v>8</v>
      </c>
      <c r="D8" s="258" t="s">
        <v>44</v>
      </c>
      <c r="E8" s="259">
        <v>-347251</v>
      </c>
      <c r="F8" s="258">
        <v>-0.31</v>
      </c>
      <c r="G8" s="196">
        <f t="shared" si="0"/>
        <v>11201645161.290323</v>
      </c>
      <c r="R8" t="str">
        <f t="shared" si="1"/>
        <v>TSM</v>
      </c>
      <c r="S8">
        <f t="shared" si="2"/>
        <v>-347251</v>
      </c>
      <c r="T8" s="197">
        <f>IF(R8="","",IF(LEN(R8)&gt;9,SUMIFS(Options!$AZ$3:$AZ$28,Options!$B$3:$B$28,'Check result'!R8),SUMIFS('Master P&amp;L'!$AE$11:$AE$101,'Master P&amp;L'!$B$11:$B$101,'Check result'!R8)))</f>
        <v>0</v>
      </c>
      <c r="U8" s="197">
        <f t="shared" si="3"/>
        <v>0</v>
      </c>
      <c r="V8" s="196">
        <f t="shared" si="4"/>
        <v>-347251</v>
      </c>
      <c r="W8">
        <f t="shared" si="5"/>
        <v>-0.31</v>
      </c>
    </row>
    <row r="9" spans="1:23">
      <c r="A9" s="257">
        <v>45840</v>
      </c>
      <c r="B9" s="258" t="s">
        <v>208</v>
      </c>
      <c r="C9" s="258" t="s">
        <v>242</v>
      </c>
      <c r="D9" s="258" t="s">
        <v>411</v>
      </c>
      <c r="E9" s="259">
        <v>-317791</v>
      </c>
      <c r="F9" s="258">
        <v>-0.28000000000000003</v>
      </c>
      <c r="G9" s="196">
        <f t="shared" si="0"/>
        <v>11349678571.42857</v>
      </c>
      <c r="R9" t="str">
        <f t="shared" si="1"/>
        <v>HOOD</v>
      </c>
      <c r="S9">
        <f t="shared" si="2"/>
        <v>-317791</v>
      </c>
      <c r="T9" s="197">
        <f>IF(R9="","",IF(LEN(R9)&gt;9,SUMIFS(Options!$AZ$3:$AZ$28,Options!$B$3:$B$28,'Check result'!R9),SUMIFS('Master P&amp;L'!$AE$11:$AE$101,'Master P&amp;L'!$B$11:$B$101,'Check result'!R9)))</f>
        <v>0</v>
      </c>
      <c r="U9" s="197">
        <f t="shared" si="3"/>
        <v>0</v>
      </c>
      <c r="V9" s="196">
        <f t="shared" si="4"/>
        <v>-317791</v>
      </c>
      <c r="W9">
        <f t="shared" si="5"/>
        <v>-0.28000000000000003</v>
      </c>
    </row>
    <row r="10" spans="1:23">
      <c r="A10" s="257">
        <v>45840</v>
      </c>
      <c r="B10" s="258" t="s">
        <v>208</v>
      </c>
      <c r="C10" s="258" t="s">
        <v>248</v>
      </c>
      <c r="D10" s="258" t="s">
        <v>500</v>
      </c>
      <c r="E10" s="259">
        <v>-203405</v>
      </c>
      <c r="F10" s="258">
        <v>-0.18</v>
      </c>
      <c r="G10" s="196">
        <f t="shared" si="0"/>
        <v>11300277777.777777</v>
      </c>
      <c r="R10" t="str">
        <f t="shared" si="1"/>
        <v>QQQ US 07/03/25 P546</v>
      </c>
      <c r="S10">
        <f t="shared" si="2"/>
        <v>-203405</v>
      </c>
      <c r="T10" s="197">
        <f>IF(R10="","",IF(LEN(R10)&gt;9,SUMIFS(Options!$AZ$3:$AZ$28,Options!$B$3:$B$28,'Check result'!R10),SUMIFS('Master P&amp;L'!$AE$11:$AE$101,'Master P&amp;L'!$B$11:$B$101,'Check result'!R10)))</f>
        <v>0</v>
      </c>
      <c r="U10" s="197">
        <f t="shared" si="3"/>
        <v>0</v>
      </c>
      <c r="V10" s="196">
        <f t="shared" si="4"/>
        <v>-203405</v>
      </c>
      <c r="W10">
        <f t="shared" si="5"/>
        <v>-0.18</v>
      </c>
    </row>
    <row r="11" spans="1:23">
      <c r="A11" s="257">
        <v>45840</v>
      </c>
      <c r="B11" s="258" t="s">
        <v>208</v>
      </c>
      <c r="C11" s="258" t="s">
        <v>248</v>
      </c>
      <c r="D11" s="258" t="s">
        <v>383</v>
      </c>
      <c r="E11" s="259">
        <v>-189723</v>
      </c>
      <c r="F11" s="258">
        <v>-0.17</v>
      </c>
      <c r="G11" s="196">
        <f t="shared" si="0"/>
        <v>11160176470.588234</v>
      </c>
      <c r="R11" t="str">
        <f t="shared" si="1"/>
        <v>GDX US 09/19/25 C59</v>
      </c>
      <c r="S11">
        <f t="shared" si="2"/>
        <v>-189723</v>
      </c>
      <c r="T11" s="197">
        <f>IF(R11="","",IF(LEN(R11)&gt;9,SUMIFS(Options!$AZ$3:$AZ$28,Options!$B$3:$B$28,'Check result'!R11),SUMIFS('Master P&amp;L'!$AE$11:$AE$101,'Master P&amp;L'!$B$11:$B$101,'Check result'!R11)))</f>
        <v>0</v>
      </c>
      <c r="U11" s="197">
        <f t="shared" si="3"/>
        <v>0</v>
      </c>
      <c r="V11" s="196">
        <f t="shared" si="4"/>
        <v>-189723</v>
      </c>
      <c r="W11">
        <f t="shared" si="5"/>
        <v>-0.17000000000000004</v>
      </c>
    </row>
    <row r="12" spans="1:23">
      <c r="A12" s="257">
        <v>45840</v>
      </c>
      <c r="B12" s="258" t="s">
        <v>208</v>
      </c>
      <c r="C12" s="258" t="s">
        <v>242</v>
      </c>
      <c r="D12" s="258" t="s">
        <v>250</v>
      </c>
      <c r="E12" s="259">
        <v>-179126</v>
      </c>
      <c r="F12" s="258">
        <v>-0.16</v>
      </c>
      <c r="G12" s="196">
        <f t="shared" si="0"/>
        <v>11195375000</v>
      </c>
      <c r="R12" t="str">
        <f t="shared" si="1"/>
        <v>META US</v>
      </c>
      <c r="S12">
        <f t="shared" si="2"/>
        <v>-179126</v>
      </c>
      <c r="T12" s="197">
        <f>IF(R12="","",IF(LEN(R12)&gt;9,SUMIFS(Options!$AZ$3:$AZ$28,Options!$B$3:$B$28,'Check result'!R12),SUMIFS('Master P&amp;L'!$AE$11:$AE$101,'Master P&amp;L'!$B$11:$B$101,'Check result'!R12)))</f>
        <v>0</v>
      </c>
      <c r="U12" s="197">
        <f t="shared" si="3"/>
        <v>0</v>
      </c>
      <c r="V12" s="196">
        <f t="shared" si="4"/>
        <v>-179126</v>
      </c>
      <c r="W12">
        <f t="shared" si="5"/>
        <v>-0.16</v>
      </c>
    </row>
    <row r="13" spans="1:23">
      <c r="A13" s="257">
        <v>45840</v>
      </c>
      <c r="B13" s="258" t="s">
        <v>208</v>
      </c>
      <c r="C13" s="258" t="s">
        <v>248</v>
      </c>
      <c r="D13" s="258" t="s">
        <v>398</v>
      </c>
      <c r="E13" s="259">
        <v>-173338</v>
      </c>
      <c r="F13" s="258">
        <v>-0.15</v>
      </c>
      <c r="G13" s="196">
        <f t="shared" si="0"/>
        <v>11555866666.666668</v>
      </c>
      <c r="R13" t="str">
        <f t="shared" si="1"/>
        <v>SOXX US 07/18/25 C240</v>
      </c>
      <c r="S13">
        <f t="shared" si="2"/>
        <v>-173338</v>
      </c>
      <c r="T13" s="197">
        <f>IF(R13="","",IF(LEN(R13)&gt;9,SUMIFS(Options!$AZ$3:$AZ$28,Options!$B$3:$B$28,'Check result'!R13),SUMIFS('Master P&amp;L'!$AE$11:$AE$101,'Master P&amp;L'!$B$11:$B$101,'Check result'!R13)))</f>
        <v>0</v>
      </c>
      <c r="U13" s="197">
        <f t="shared" si="3"/>
        <v>0</v>
      </c>
      <c r="V13" s="196">
        <f t="shared" si="4"/>
        <v>-173338</v>
      </c>
      <c r="W13">
        <f t="shared" si="5"/>
        <v>-0.15</v>
      </c>
    </row>
    <row r="14" spans="1:23">
      <c r="A14" s="257">
        <v>45840</v>
      </c>
      <c r="B14" s="258" t="s">
        <v>208</v>
      </c>
      <c r="C14" s="258" t="s">
        <v>248</v>
      </c>
      <c r="D14" s="258" t="s">
        <v>458</v>
      </c>
      <c r="E14" s="259">
        <v>-172999</v>
      </c>
      <c r="F14" s="258">
        <v>-0.15</v>
      </c>
      <c r="G14" s="196">
        <f t="shared" si="0"/>
        <v>11533266666.666668</v>
      </c>
      <c r="R14" t="str">
        <f t="shared" si="1"/>
        <v>EWT US 09/19/25 C58</v>
      </c>
      <c r="S14">
        <f t="shared" si="2"/>
        <v>-172999</v>
      </c>
      <c r="T14" s="197">
        <f>IF(R14="","",IF(LEN(R14)&gt;9,SUMIFS(Options!$AZ$3:$AZ$28,Options!$B$3:$B$28,'Check result'!R14),SUMIFS('Master P&amp;L'!$AE$11:$AE$101,'Master P&amp;L'!$B$11:$B$101,'Check result'!R14)))</f>
        <v>0</v>
      </c>
      <c r="U14" s="197">
        <f t="shared" si="3"/>
        <v>0</v>
      </c>
      <c r="V14" s="196">
        <f t="shared" si="4"/>
        <v>-172999</v>
      </c>
      <c r="W14">
        <f t="shared" si="5"/>
        <v>-0.15</v>
      </c>
    </row>
    <row r="15" spans="1:23">
      <c r="A15" s="257">
        <v>45840</v>
      </c>
      <c r="B15" s="258" t="s">
        <v>208</v>
      </c>
      <c r="C15" s="258" t="s">
        <v>248</v>
      </c>
      <c r="D15" s="258" t="s">
        <v>486</v>
      </c>
      <c r="E15" s="259">
        <v>-164934</v>
      </c>
      <c r="F15" s="258">
        <v>-0.15</v>
      </c>
      <c r="G15" s="196">
        <f t="shared" si="0"/>
        <v>10995600000</v>
      </c>
      <c r="R15" t="str">
        <f t="shared" si="1"/>
        <v>SOXX US 07/18/25 C250</v>
      </c>
      <c r="S15">
        <f t="shared" si="2"/>
        <v>-164934</v>
      </c>
      <c r="T15" s="197">
        <f>IF(R15="","",IF(LEN(R15)&gt;9,SUMIFS(Options!$AZ$3:$AZ$28,Options!$B$3:$B$28,'Check result'!R15),SUMIFS('Master P&amp;L'!$AE$11:$AE$101,'Master P&amp;L'!$B$11:$B$101,'Check result'!R15)))</f>
        <v>0</v>
      </c>
      <c r="U15" s="197">
        <f t="shared" si="3"/>
        <v>0</v>
      </c>
      <c r="V15" s="196">
        <f t="shared" si="4"/>
        <v>-164934</v>
      </c>
      <c r="W15">
        <f t="shared" si="5"/>
        <v>-0.15</v>
      </c>
    </row>
    <row r="16" spans="1:23">
      <c r="A16" s="257">
        <v>45840</v>
      </c>
      <c r="B16" s="258" t="s">
        <v>208</v>
      </c>
      <c r="C16" s="258" t="s">
        <v>244</v>
      </c>
      <c r="D16" s="258" t="s">
        <v>482</v>
      </c>
      <c r="E16" s="259">
        <v>-161071</v>
      </c>
      <c r="F16" s="258">
        <v>-0.14000000000000001</v>
      </c>
      <c r="G16" s="196">
        <f t="shared" si="0"/>
        <v>11505071428.571426</v>
      </c>
      <c r="R16" t="str">
        <f t="shared" si="1"/>
        <v>NVDA US 07/18/25 P150</v>
      </c>
      <c r="S16">
        <f t="shared" si="2"/>
        <v>-161071</v>
      </c>
      <c r="T16" s="197">
        <f>IF(R16="","",IF(LEN(R16)&gt;9,SUMIFS(Options!$AZ$3:$AZ$28,Options!$B$3:$B$28,'Check result'!R16),SUMIFS('Master P&amp;L'!$AE$11:$AE$101,'Master P&amp;L'!$B$11:$B$101,'Check result'!R16)))</f>
        <v>0</v>
      </c>
      <c r="U16" s="197">
        <f t="shared" si="3"/>
        <v>0</v>
      </c>
      <c r="V16" s="196">
        <f t="shared" si="4"/>
        <v>-161071</v>
      </c>
      <c r="W16">
        <f t="shared" si="5"/>
        <v>-0.14000000000000004</v>
      </c>
    </row>
    <row r="17" spans="1:23">
      <c r="A17" s="257">
        <v>45840</v>
      </c>
      <c r="B17" s="258" t="s">
        <v>208</v>
      </c>
      <c r="C17" s="258" t="s">
        <v>242</v>
      </c>
      <c r="D17" s="258" t="s">
        <v>38</v>
      </c>
      <c r="E17" s="259">
        <v>-159060</v>
      </c>
      <c r="F17" s="258">
        <v>-0.14000000000000001</v>
      </c>
      <c r="G17" s="196">
        <f t="shared" si="0"/>
        <v>11361428571.42857</v>
      </c>
      <c r="R17" t="str">
        <f t="shared" si="1"/>
        <v>MSFT</v>
      </c>
      <c r="S17">
        <f t="shared" si="2"/>
        <v>-159060</v>
      </c>
      <c r="T17" s="197">
        <f>IF(R17="","",IF(LEN(R17)&gt;9,SUMIFS(Options!$AZ$3:$AZ$28,Options!$B$3:$B$28,'Check result'!R17),SUMIFS('Master P&amp;L'!$AE$11:$AE$101,'Master P&amp;L'!$B$11:$B$101,'Check result'!R17)))</f>
        <v>0</v>
      </c>
      <c r="U17" s="197">
        <f t="shared" si="3"/>
        <v>0</v>
      </c>
      <c r="V17" s="196">
        <f t="shared" si="4"/>
        <v>-159060</v>
      </c>
      <c r="W17">
        <f t="shared" si="5"/>
        <v>-0.14000000000000001</v>
      </c>
    </row>
    <row r="18" spans="1:23">
      <c r="A18" s="257">
        <v>45840</v>
      </c>
      <c r="B18" s="258" t="s">
        <v>208</v>
      </c>
      <c r="C18" s="258" t="s">
        <v>244</v>
      </c>
      <c r="D18" s="258" t="s">
        <v>394</v>
      </c>
      <c r="E18" s="259">
        <v>-150729</v>
      </c>
      <c r="F18" s="258">
        <v>-0.13</v>
      </c>
      <c r="G18" s="196">
        <f t="shared" si="0"/>
        <v>11594538461.53846</v>
      </c>
      <c r="R18" t="str">
        <f t="shared" si="1"/>
        <v>NVDA US 07/18/25 P140</v>
      </c>
      <c r="S18">
        <f t="shared" si="2"/>
        <v>-150729</v>
      </c>
      <c r="T18" s="197">
        <f>IF(R18="","",IF(LEN(R18)&gt;9,SUMIFS(Options!$AZ$3:$AZ$28,Options!$B$3:$B$28,'Check result'!R18),SUMIFS('Master P&amp;L'!$AE$11:$AE$101,'Master P&amp;L'!$B$11:$B$101,'Check result'!R18)))</f>
        <v>0</v>
      </c>
      <c r="U18" s="197">
        <f t="shared" si="3"/>
        <v>0</v>
      </c>
      <c r="V18" s="196">
        <f t="shared" si="4"/>
        <v>-150729</v>
      </c>
      <c r="W18">
        <f t="shared" si="5"/>
        <v>-0.13000000000000003</v>
      </c>
    </row>
    <row r="19" spans="1:23">
      <c r="A19" s="257">
        <v>45840</v>
      </c>
      <c r="B19" s="258" t="s">
        <v>208</v>
      </c>
      <c r="C19" s="258" t="s">
        <v>242</v>
      </c>
      <c r="D19" s="258" t="s">
        <v>28</v>
      </c>
      <c r="E19" s="259">
        <v>-140779</v>
      </c>
      <c r="F19" s="258">
        <v>-0.12</v>
      </c>
      <c r="G19" s="196">
        <f t="shared" si="0"/>
        <v>11731583333.333334</v>
      </c>
      <c r="R19" t="str">
        <f t="shared" si="1"/>
        <v>COIN</v>
      </c>
      <c r="S19">
        <f t="shared" si="2"/>
        <v>-140779</v>
      </c>
      <c r="T19" s="197">
        <f>IF(R19="","",IF(LEN(R19)&gt;9,SUMIFS(Options!$AZ$3:$AZ$28,Options!$B$3:$B$28,'Check result'!R19),SUMIFS('Master P&amp;L'!$AE$11:$AE$101,'Master P&amp;L'!$B$11:$B$101,'Check result'!R19)))</f>
        <v>0</v>
      </c>
      <c r="U19" s="197">
        <f t="shared" si="3"/>
        <v>0</v>
      </c>
      <c r="V19" s="196">
        <f t="shared" si="4"/>
        <v>-140779</v>
      </c>
      <c r="W19">
        <f t="shared" si="5"/>
        <v>-0.11999999999999998</v>
      </c>
    </row>
    <row r="20" spans="1:23">
      <c r="A20" s="257">
        <v>45840</v>
      </c>
      <c r="B20" s="258" t="s">
        <v>208</v>
      </c>
      <c r="C20" s="258" t="s">
        <v>248</v>
      </c>
      <c r="D20" s="258" t="s">
        <v>407</v>
      </c>
      <c r="E20" s="259">
        <v>-128119</v>
      </c>
      <c r="F20" s="258">
        <v>-0.11</v>
      </c>
      <c r="G20" s="196">
        <f t="shared" si="0"/>
        <v>11647181818.181818</v>
      </c>
      <c r="R20" t="str">
        <f t="shared" si="1"/>
        <v>SPY US 07/18/25 P595</v>
      </c>
      <c r="S20">
        <f t="shared" si="2"/>
        <v>-128119</v>
      </c>
      <c r="T20" s="197">
        <f>IF(R20="","",IF(LEN(R20)&gt;9,SUMIFS(Options!$AZ$3:$AZ$28,Options!$B$3:$B$28,'Check result'!R20),SUMIFS('Master P&amp;L'!$AE$11:$AE$101,'Master P&amp;L'!$B$11:$B$101,'Check result'!R20)))</f>
        <v>0</v>
      </c>
      <c r="U20" s="197">
        <f t="shared" si="3"/>
        <v>0</v>
      </c>
      <c r="V20" s="196">
        <f t="shared" si="4"/>
        <v>-128119</v>
      </c>
      <c r="W20">
        <f t="shared" si="5"/>
        <v>-0.11</v>
      </c>
    </row>
    <row r="21" spans="1:23">
      <c r="A21" s="257">
        <v>45840</v>
      </c>
      <c r="B21" s="258" t="s">
        <v>208</v>
      </c>
      <c r="C21" s="258" t="s">
        <v>248</v>
      </c>
      <c r="D21" s="258" t="s">
        <v>409</v>
      </c>
      <c r="E21" s="259">
        <v>-127659</v>
      </c>
      <c r="F21" s="258">
        <v>-0.11</v>
      </c>
      <c r="G21" s="196">
        <f t="shared" si="0"/>
        <v>11605363636.363636</v>
      </c>
      <c r="R21" t="str">
        <f t="shared" si="1"/>
        <v>SPY US 07/18/25 C625</v>
      </c>
      <c r="S21">
        <f t="shared" si="2"/>
        <v>-127659</v>
      </c>
      <c r="T21" s="197">
        <f>IF(R21="","",IF(LEN(R21)&gt;9,SUMIFS(Options!$AZ$3:$AZ$28,Options!$B$3:$B$28,'Check result'!R21),SUMIFS('Master P&amp;L'!$AE$11:$AE$101,'Master P&amp;L'!$B$11:$B$101,'Check result'!R21)))</f>
        <v>0</v>
      </c>
      <c r="U21" s="197">
        <f t="shared" si="3"/>
        <v>0</v>
      </c>
      <c r="V21" s="196">
        <f t="shared" si="4"/>
        <v>-127659</v>
      </c>
      <c r="W21">
        <f t="shared" si="5"/>
        <v>-0.11</v>
      </c>
    </row>
    <row r="22" spans="1:23">
      <c r="A22" s="257">
        <v>45840</v>
      </c>
      <c r="B22" s="258" t="s">
        <v>208</v>
      </c>
      <c r="C22" s="258" t="s">
        <v>248</v>
      </c>
      <c r="D22" s="258" t="s">
        <v>492</v>
      </c>
      <c r="E22" s="259">
        <v>-123172</v>
      </c>
      <c r="F22" s="258">
        <v>-0.11</v>
      </c>
      <c r="G22" s="196">
        <f t="shared" si="0"/>
        <v>11197454545.454546</v>
      </c>
      <c r="R22" t="str">
        <f t="shared" si="1"/>
        <v>EWT US 09/19/25 C60</v>
      </c>
      <c r="S22">
        <f t="shared" si="2"/>
        <v>-123172</v>
      </c>
      <c r="T22" s="197">
        <f>IF(R22="","",IF(LEN(R22)&gt;9,SUMIFS(Options!$AZ$3:$AZ$28,Options!$B$3:$B$28,'Check result'!R22),SUMIFS('Master P&amp;L'!$AE$11:$AE$101,'Master P&amp;L'!$B$11:$B$101,'Check result'!R22)))</f>
        <v>0</v>
      </c>
      <c r="U22" s="197">
        <f t="shared" si="3"/>
        <v>0</v>
      </c>
      <c r="V22" s="196">
        <f t="shared" si="4"/>
        <v>-123172</v>
      </c>
      <c r="W22">
        <f t="shared" si="5"/>
        <v>-0.11</v>
      </c>
    </row>
    <row r="23" spans="1:23">
      <c r="A23" s="257">
        <v>45840</v>
      </c>
      <c r="B23" s="258" t="s">
        <v>208</v>
      </c>
      <c r="C23" s="258" t="s">
        <v>244</v>
      </c>
      <c r="D23" s="258" t="s">
        <v>367</v>
      </c>
      <c r="E23" s="259">
        <v>-114511</v>
      </c>
      <c r="F23" s="258">
        <v>-0.1</v>
      </c>
      <c r="G23" s="196">
        <f t="shared" si="0"/>
        <v>11451100000</v>
      </c>
      <c r="R23" t="str">
        <f t="shared" si="1"/>
        <v>UBER US 07/18/25 C95</v>
      </c>
      <c r="S23">
        <f t="shared" si="2"/>
        <v>-114511</v>
      </c>
      <c r="T23" s="197">
        <f>IF(R23="","",IF(LEN(R23)&gt;9,SUMIFS(Options!$AZ$3:$AZ$28,Options!$B$3:$B$28,'Check result'!R23),SUMIFS('Master P&amp;L'!$AE$11:$AE$101,'Master P&amp;L'!$B$11:$B$101,'Check result'!R23)))</f>
        <v>0</v>
      </c>
      <c r="U23" s="197">
        <f t="shared" si="3"/>
        <v>0</v>
      </c>
      <c r="V23" s="196">
        <f t="shared" si="4"/>
        <v>-114511</v>
      </c>
      <c r="W23">
        <f t="shared" si="5"/>
        <v>-0.1</v>
      </c>
    </row>
    <row r="24" spans="1:23">
      <c r="A24" s="257">
        <v>45840</v>
      </c>
      <c r="B24" s="258" t="s">
        <v>208</v>
      </c>
      <c r="C24" s="258" t="s">
        <v>245</v>
      </c>
      <c r="D24" s="258" t="s">
        <v>318</v>
      </c>
      <c r="E24" s="259">
        <v>-104979</v>
      </c>
      <c r="F24" s="258">
        <v>-0.09</v>
      </c>
      <c r="G24" s="196">
        <f t="shared" si="0"/>
        <v>11664333333.333334</v>
      </c>
      <c r="R24" t="str">
        <f t="shared" si="1"/>
        <v>XRT</v>
      </c>
      <c r="S24">
        <f t="shared" si="2"/>
        <v>-104979</v>
      </c>
      <c r="T24" s="197">
        <f>IF(R24="","",IF(LEN(R24)&gt;9,SUMIFS(Options!$AZ$3:$AZ$28,Options!$B$3:$B$28,'Check result'!R24),SUMIFS('Master P&amp;L'!$AE$11:$AE$101,'Master P&amp;L'!$B$11:$B$101,'Check result'!R24)))</f>
        <v>0</v>
      </c>
      <c r="U24" s="197">
        <f t="shared" si="3"/>
        <v>0</v>
      </c>
      <c r="V24" s="196">
        <f t="shared" si="4"/>
        <v>-104979</v>
      </c>
      <c r="W24">
        <f t="shared" si="5"/>
        <v>-0.09</v>
      </c>
    </row>
    <row r="25" spans="1:23">
      <c r="A25" s="257">
        <v>45840</v>
      </c>
      <c r="B25" s="258" t="s">
        <v>208</v>
      </c>
      <c r="C25" s="258" t="s">
        <v>248</v>
      </c>
      <c r="D25" s="258" t="s">
        <v>484</v>
      </c>
      <c r="E25" s="259">
        <v>-103084</v>
      </c>
      <c r="F25" s="258">
        <v>-0.09</v>
      </c>
      <c r="G25" s="196">
        <f t="shared" si="0"/>
        <v>11453777777.777777</v>
      </c>
      <c r="R25" t="str">
        <f t="shared" si="1"/>
        <v>SOXX US 07/18/25 P235</v>
      </c>
      <c r="S25">
        <f t="shared" si="2"/>
        <v>-103084</v>
      </c>
      <c r="T25" s="197">
        <f>IF(R25="","",IF(LEN(R25)&gt;9,SUMIFS(Options!$AZ$3:$AZ$28,Options!$B$3:$B$28,'Check result'!R25),SUMIFS('Master P&amp;L'!$AE$11:$AE$101,'Master P&amp;L'!$B$11:$B$101,'Check result'!R25)))</f>
        <v>0</v>
      </c>
      <c r="U25" s="197">
        <f t="shared" si="3"/>
        <v>0</v>
      </c>
      <c r="V25" s="196">
        <f t="shared" si="4"/>
        <v>-103084</v>
      </c>
      <c r="W25">
        <f t="shared" si="5"/>
        <v>-0.09</v>
      </c>
    </row>
    <row r="26" spans="1:23">
      <c r="A26" s="257">
        <v>45840</v>
      </c>
      <c r="B26" s="258" t="s">
        <v>208</v>
      </c>
      <c r="C26" s="258" t="s">
        <v>242</v>
      </c>
      <c r="D26" s="258" t="s">
        <v>76</v>
      </c>
      <c r="E26" s="259">
        <v>-99741</v>
      </c>
      <c r="F26" s="258">
        <v>-0.09</v>
      </c>
      <c r="G26" s="196">
        <f t="shared" si="0"/>
        <v>11082333333.333334</v>
      </c>
      <c r="R26" t="str">
        <f t="shared" si="1"/>
        <v>BKNG</v>
      </c>
      <c r="S26">
        <f t="shared" si="2"/>
        <v>-99741</v>
      </c>
      <c r="T26" s="197">
        <f>IF(R26="","",IF(LEN(R26)&gt;9,SUMIFS(Options!$AZ$3:$AZ$28,Options!$B$3:$B$28,'Check result'!R26),SUMIFS('Master P&amp;L'!$AE$11:$AE$101,'Master P&amp;L'!$B$11:$B$101,'Check result'!R26)))</f>
        <v>0</v>
      </c>
      <c r="U26" s="197">
        <f t="shared" si="3"/>
        <v>0</v>
      </c>
      <c r="V26" s="196">
        <f t="shared" si="4"/>
        <v>-99741</v>
      </c>
      <c r="W26">
        <f t="shared" si="5"/>
        <v>-0.09</v>
      </c>
    </row>
    <row r="27" spans="1:23">
      <c r="A27" s="257">
        <v>45840</v>
      </c>
      <c r="B27" s="258" t="s">
        <v>208</v>
      </c>
      <c r="C27" s="258" t="s">
        <v>244</v>
      </c>
      <c r="D27" s="258" t="s">
        <v>496</v>
      </c>
      <c r="E27" s="259">
        <v>-92037</v>
      </c>
      <c r="F27" s="258">
        <v>-0.08</v>
      </c>
      <c r="G27" s="196">
        <f t="shared" si="0"/>
        <v>11504625000</v>
      </c>
      <c r="R27" t="str">
        <f t="shared" si="1"/>
        <v>COIN US 07/18/25 C400</v>
      </c>
      <c r="S27">
        <f t="shared" si="2"/>
        <v>-92037</v>
      </c>
      <c r="T27" s="197">
        <f>IF(R27="","",IF(LEN(R27)&gt;9,SUMIFS(Options!$AZ$3:$AZ$28,Options!$B$3:$B$28,'Check result'!R27),SUMIFS('Master P&amp;L'!$AE$11:$AE$101,'Master P&amp;L'!$B$11:$B$101,'Check result'!R27)))</f>
        <v>0</v>
      </c>
      <c r="U27" s="197">
        <f t="shared" si="3"/>
        <v>0</v>
      </c>
      <c r="V27" s="196">
        <f t="shared" si="4"/>
        <v>-92037</v>
      </c>
      <c r="W27">
        <f t="shared" si="5"/>
        <v>-0.08</v>
      </c>
    </row>
    <row r="28" spans="1:23">
      <c r="A28" s="257">
        <v>45840</v>
      </c>
      <c r="B28" s="258" t="s">
        <v>208</v>
      </c>
      <c r="C28" s="258" t="s">
        <v>244</v>
      </c>
      <c r="D28" s="258" t="s">
        <v>483</v>
      </c>
      <c r="E28" s="259">
        <v>-73586</v>
      </c>
      <c r="F28" s="258">
        <v>-7.0000000000000007E-2</v>
      </c>
      <c r="G28" s="196">
        <f t="shared" si="0"/>
        <v>10512285714.285713</v>
      </c>
      <c r="R28" t="str">
        <f t="shared" si="1"/>
        <v>NVDA US 07/18/25 C165</v>
      </c>
      <c r="S28">
        <f t="shared" si="2"/>
        <v>-73586</v>
      </c>
      <c r="T28" s="197">
        <f>IF(R28="","",IF(LEN(R28)&gt;9,SUMIFS(Options!$AZ$3:$AZ$28,Options!$B$3:$B$28,'Check result'!R28),SUMIFS('Master P&amp;L'!$AE$11:$AE$101,'Master P&amp;L'!$B$11:$B$101,'Check result'!R28)))</f>
        <v>0</v>
      </c>
      <c r="U28" s="197">
        <f t="shared" si="3"/>
        <v>0</v>
      </c>
      <c r="V28" s="196">
        <f t="shared" si="4"/>
        <v>-73586</v>
      </c>
      <c r="W28">
        <f t="shared" si="5"/>
        <v>-7.0000000000000007E-2</v>
      </c>
    </row>
    <row r="29" spans="1:23">
      <c r="A29" s="257">
        <v>45840</v>
      </c>
      <c r="B29" s="258" t="s">
        <v>208</v>
      </c>
      <c r="C29" s="258" t="s">
        <v>248</v>
      </c>
      <c r="D29" s="258" t="s">
        <v>442</v>
      </c>
      <c r="E29" s="259">
        <v>-71135</v>
      </c>
      <c r="F29" s="258">
        <v>-0.06</v>
      </c>
      <c r="G29" s="196">
        <f t="shared" si="0"/>
        <v>11855833333.333334</v>
      </c>
      <c r="R29" t="str">
        <f t="shared" si="1"/>
        <v>QQQ US 07/11/25 C550</v>
      </c>
      <c r="S29">
        <f t="shared" si="2"/>
        <v>-71135</v>
      </c>
      <c r="T29" s="197">
        <f>IF(R29="","",IF(LEN(R29)&gt;9,SUMIFS(Options!$AZ$3:$AZ$28,Options!$B$3:$B$28,'Check result'!R29),SUMIFS('Master P&amp;L'!$AE$11:$AE$101,'Master P&amp;L'!$B$11:$B$101,'Check result'!R29)))</f>
        <v>0</v>
      </c>
      <c r="U29" s="197">
        <f t="shared" si="3"/>
        <v>0</v>
      </c>
      <c r="V29" s="196">
        <f t="shared" si="4"/>
        <v>-71135</v>
      </c>
      <c r="W29">
        <f t="shared" si="5"/>
        <v>-5.9999999999999991E-2</v>
      </c>
    </row>
    <row r="30" spans="1:23">
      <c r="A30" s="257">
        <v>45840</v>
      </c>
      <c r="B30" s="258" t="s">
        <v>208</v>
      </c>
      <c r="C30" s="258" t="s">
        <v>244</v>
      </c>
      <c r="D30" s="258" t="s">
        <v>503</v>
      </c>
      <c r="E30" s="259">
        <v>-70821</v>
      </c>
      <c r="F30" s="258">
        <v>-0.06</v>
      </c>
      <c r="G30" s="196">
        <f t="shared" si="0"/>
        <v>11803500000</v>
      </c>
      <c r="R30" t="str">
        <f t="shared" si="1"/>
        <v>MU US 08/15/25 C135</v>
      </c>
      <c r="S30">
        <f t="shared" si="2"/>
        <v>-70821</v>
      </c>
      <c r="T30" s="197">
        <f>IF(R30="","",IF(LEN(R30)&gt;9,SUMIFS(Options!$AZ$3:$AZ$28,Options!$B$3:$B$28,'Check result'!R30),SUMIFS('Master P&amp;L'!$AE$11:$AE$101,'Master P&amp;L'!$B$11:$B$101,'Check result'!R30)))</f>
        <v>0</v>
      </c>
      <c r="U30" s="197">
        <f t="shared" si="3"/>
        <v>0</v>
      </c>
      <c r="V30" s="196">
        <f t="shared" si="4"/>
        <v>-70821</v>
      </c>
      <c r="W30">
        <f t="shared" si="5"/>
        <v>-6.0000000000000005E-2</v>
      </c>
    </row>
    <row r="31" spans="1:23">
      <c r="A31" s="257">
        <v>45840</v>
      </c>
      <c r="B31" s="258" t="s">
        <v>208</v>
      </c>
      <c r="C31" s="258" t="s">
        <v>244</v>
      </c>
      <c r="D31" s="258" t="s">
        <v>412</v>
      </c>
      <c r="E31" s="259">
        <v>-69837</v>
      </c>
      <c r="F31" s="258">
        <v>-0.06</v>
      </c>
      <c r="G31" s="196">
        <f t="shared" si="0"/>
        <v>11639500000</v>
      </c>
      <c r="R31" t="str">
        <f t="shared" si="1"/>
        <v>AAPL US 07/18/25 C215</v>
      </c>
      <c r="S31">
        <f t="shared" si="2"/>
        <v>-69837</v>
      </c>
      <c r="T31" s="197">
        <f>IF(R31="","",IF(LEN(R31)&gt;9,SUMIFS(Options!$AZ$3:$AZ$28,Options!$B$3:$B$28,'Check result'!R31),SUMIFS('Master P&amp;L'!$AE$11:$AE$101,'Master P&amp;L'!$B$11:$B$101,'Check result'!R31)))</f>
        <v>0</v>
      </c>
      <c r="U31" s="197">
        <f t="shared" si="3"/>
        <v>0</v>
      </c>
      <c r="V31" s="196">
        <f t="shared" si="4"/>
        <v>-69837</v>
      </c>
      <c r="W31">
        <f t="shared" si="5"/>
        <v>-6.0000000000000005E-2</v>
      </c>
    </row>
    <row r="32" spans="1:23">
      <c r="A32" s="257">
        <v>45840</v>
      </c>
      <c r="B32" s="258" t="s">
        <v>208</v>
      </c>
      <c r="C32" s="258" t="s">
        <v>248</v>
      </c>
      <c r="D32" s="258" t="s">
        <v>459</v>
      </c>
      <c r="E32" s="259">
        <v>-68578</v>
      </c>
      <c r="F32" s="258">
        <v>-0.06</v>
      </c>
      <c r="G32" s="196">
        <f t="shared" si="0"/>
        <v>11429666666.666668</v>
      </c>
      <c r="R32" t="str">
        <f t="shared" si="1"/>
        <v>EWT US 09/19/25 P55</v>
      </c>
      <c r="S32">
        <f t="shared" si="2"/>
        <v>-68578</v>
      </c>
      <c r="T32" s="197">
        <f>IF(R32="","",IF(LEN(R32)&gt;9,SUMIFS(Options!$AZ$3:$AZ$28,Options!$B$3:$B$28,'Check result'!R32),SUMIFS('Master P&amp;L'!$AE$11:$AE$101,'Master P&amp;L'!$B$11:$B$101,'Check result'!R32)))</f>
        <v>0</v>
      </c>
      <c r="U32" s="197">
        <f t="shared" si="3"/>
        <v>0</v>
      </c>
      <c r="V32" s="196">
        <f t="shared" si="4"/>
        <v>-68578</v>
      </c>
      <c r="W32">
        <f t="shared" si="5"/>
        <v>-5.9999999999999991E-2</v>
      </c>
    </row>
    <row r="33" spans="1:23">
      <c r="A33" s="257">
        <v>45840</v>
      </c>
      <c r="B33" s="258" t="s">
        <v>208</v>
      </c>
      <c r="C33" s="258" t="s">
        <v>242</v>
      </c>
      <c r="D33" s="258" t="s">
        <v>231</v>
      </c>
      <c r="E33" s="259">
        <v>-63399</v>
      </c>
      <c r="F33" s="258">
        <v>-0.06</v>
      </c>
      <c r="G33" s="196">
        <f t="shared" si="0"/>
        <v>10566500000</v>
      </c>
      <c r="R33" t="str">
        <f t="shared" si="1"/>
        <v>NTGR</v>
      </c>
      <c r="S33">
        <f t="shared" si="2"/>
        <v>-63399</v>
      </c>
      <c r="T33" s="197">
        <f>IF(R33="","",IF(LEN(R33)&gt;9,SUMIFS(Options!$AZ$3:$AZ$28,Options!$B$3:$B$28,'Check result'!R33),SUMIFS('Master P&amp;L'!$AE$11:$AE$101,'Master P&amp;L'!$B$11:$B$101,'Check result'!R33)))</f>
        <v>0</v>
      </c>
      <c r="U33" s="197">
        <f t="shared" si="3"/>
        <v>0</v>
      </c>
      <c r="V33" s="196">
        <f t="shared" si="4"/>
        <v>-63399</v>
      </c>
      <c r="W33">
        <f t="shared" si="5"/>
        <v>-6.0000000000000005E-2</v>
      </c>
    </row>
    <row r="34" spans="1:23">
      <c r="A34" s="257">
        <v>45840</v>
      </c>
      <c r="B34" s="258" t="s">
        <v>208</v>
      </c>
      <c r="C34" s="258" t="s">
        <v>248</v>
      </c>
      <c r="D34" s="258" t="s">
        <v>449</v>
      </c>
      <c r="E34" s="259">
        <v>-58329</v>
      </c>
      <c r="F34" s="258">
        <v>-0.05</v>
      </c>
      <c r="G34" s="196">
        <f t="shared" si="0"/>
        <v>11665800000</v>
      </c>
      <c r="R34" t="str">
        <f t="shared" si="1"/>
        <v>QQQ US 07/18/25 P525</v>
      </c>
      <c r="S34">
        <f t="shared" si="2"/>
        <v>-58329</v>
      </c>
      <c r="T34" s="197">
        <f>IF(R34="","",IF(LEN(R34)&gt;9,SUMIFS(Options!$AZ$3:$AZ$28,Options!$B$3:$B$28,'Check result'!R34),SUMIFS('Master P&amp;L'!$AE$11:$AE$101,'Master P&amp;L'!$B$11:$B$101,'Check result'!R34)))</f>
        <v>0</v>
      </c>
      <c r="U34" s="197">
        <f t="shared" si="3"/>
        <v>0</v>
      </c>
      <c r="V34" s="196">
        <f t="shared" si="4"/>
        <v>-58329</v>
      </c>
      <c r="W34">
        <f t="shared" si="5"/>
        <v>-0.05</v>
      </c>
    </row>
    <row r="35" spans="1:23">
      <c r="A35" s="257">
        <v>45840</v>
      </c>
      <c r="B35" s="258" t="s">
        <v>208</v>
      </c>
      <c r="C35" s="258" t="s">
        <v>242</v>
      </c>
      <c r="D35" s="258" t="s">
        <v>27</v>
      </c>
      <c r="E35" s="259">
        <v>-56191</v>
      </c>
      <c r="F35" s="258">
        <v>-0.05</v>
      </c>
      <c r="G35" s="196">
        <f t="shared" si="0"/>
        <v>11238200000</v>
      </c>
      <c r="R35" t="str">
        <f t="shared" si="1"/>
        <v>AAPL</v>
      </c>
      <c r="S35">
        <f t="shared" si="2"/>
        <v>-56191</v>
      </c>
      <c r="T35" s="197">
        <f>IF(R35="","",IF(LEN(R35)&gt;9,SUMIFS(Options!$AZ$3:$AZ$28,Options!$B$3:$B$28,'Check result'!R35),SUMIFS('Master P&amp;L'!$AE$11:$AE$101,'Master P&amp;L'!$B$11:$B$101,'Check result'!R35)))</f>
        <v>0</v>
      </c>
      <c r="U35" s="197">
        <f t="shared" si="3"/>
        <v>0</v>
      </c>
      <c r="V35" s="196">
        <f t="shared" si="4"/>
        <v>-56191</v>
      </c>
      <c r="W35">
        <f t="shared" si="5"/>
        <v>-0.05</v>
      </c>
    </row>
    <row r="36" spans="1:23">
      <c r="A36" s="257">
        <v>45840</v>
      </c>
      <c r="B36" s="258" t="s">
        <v>208</v>
      </c>
      <c r="C36" s="258" t="s">
        <v>249</v>
      </c>
      <c r="D36" s="258" t="s">
        <v>230</v>
      </c>
      <c r="E36" s="259">
        <v>-55901</v>
      </c>
      <c r="F36" s="258">
        <v>-0.05</v>
      </c>
      <c r="G36" s="196">
        <f t="shared" si="0"/>
        <v>11180200000</v>
      </c>
      <c r="R36" t="str">
        <f t="shared" si="1"/>
        <v>GSC1000P 03/20/26 C79.50</v>
      </c>
      <c r="S36">
        <f t="shared" si="2"/>
        <v>-55901</v>
      </c>
      <c r="T36" s="197">
        <f>IF(R36="","",IF(LEN(R36)&gt;9,SUMIFS(Options!$AZ$3:$AZ$28,Options!$B$3:$B$28,'Check result'!R36),SUMIFS('Master P&amp;L'!$AE$11:$AE$101,'Master P&amp;L'!$B$11:$B$101,'Check result'!R36)))</f>
        <v>0</v>
      </c>
      <c r="U36" s="197">
        <f t="shared" si="3"/>
        <v>0</v>
      </c>
      <c r="V36" s="196">
        <f t="shared" si="4"/>
        <v>-55901</v>
      </c>
      <c r="W36">
        <f t="shared" si="5"/>
        <v>-0.05</v>
      </c>
    </row>
    <row r="37" spans="1:23">
      <c r="A37" s="257">
        <v>45840</v>
      </c>
      <c r="B37" s="258" t="s">
        <v>208</v>
      </c>
      <c r="C37" s="258" t="s">
        <v>248</v>
      </c>
      <c r="D37" s="258" t="s">
        <v>494</v>
      </c>
      <c r="E37" s="259">
        <v>-53690</v>
      </c>
      <c r="F37" s="258">
        <v>-0.05</v>
      </c>
      <c r="G37" s="196">
        <f t="shared" si="0"/>
        <v>10738000000</v>
      </c>
      <c r="R37" t="str">
        <f t="shared" si="1"/>
        <v>EWT US 09/19/25 P57</v>
      </c>
      <c r="S37">
        <f t="shared" si="2"/>
        <v>-53690</v>
      </c>
      <c r="T37" s="197">
        <f>IF(R37="","",IF(LEN(R37)&gt;9,SUMIFS(Options!$AZ$3:$AZ$28,Options!$B$3:$B$28,'Check result'!R37),SUMIFS('Master P&amp;L'!$AE$11:$AE$101,'Master P&amp;L'!$B$11:$B$101,'Check result'!R37)))</f>
        <v>0</v>
      </c>
      <c r="U37" s="197">
        <f t="shared" si="3"/>
        <v>0</v>
      </c>
      <c r="V37" s="196">
        <f t="shared" si="4"/>
        <v>-53690</v>
      </c>
      <c r="W37">
        <f t="shared" si="5"/>
        <v>-0.05</v>
      </c>
    </row>
    <row r="38" spans="1:23">
      <c r="A38" s="257">
        <v>45840</v>
      </c>
      <c r="B38" s="258" t="s">
        <v>208</v>
      </c>
      <c r="C38" s="258" t="s">
        <v>248</v>
      </c>
      <c r="D38" s="258" t="s">
        <v>489</v>
      </c>
      <c r="E38" s="259">
        <v>-51969</v>
      </c>
      <c r="F38" s="258">
        <v>-0.05</v>
      </c>
      <c r="G38" s="196">
        <f t="shared" si="0"/>
        <v>10393800000</v>
      </c>
      <c r="R38" t="str">
        <f t="shared" si="1"/>
        <v>QQQ US 07/18/25 P540</v>
      </c>
      <c r="S38">
        <f t="shared" si="2"/>
        <v>-51969</v>
      </c>
      <c r="T38" s="197">
        <f>IF(R38="","",IF(LEN(R38)&gt;9,SUMIFS(Options!$AZ$3:$AZ$28,Options!$B$3:$B$28,'Check result'!R38),SUMIFS('Master P&amp;L'!$AE$11:$AE$101,'Master P&amp;L'!$B$11:$B$101,'Check result'!R38)))</f>
        <v>0</v>
      </c>
      <c r="U38" s="197">
        <f t="shared" si="3"/>
        <v>0</v>
      </c>
      <c r="V38" s="196">
        <f t="shared" si="4"/>
        <v>-51969</v>
      </c>
      <c r="W38">
        <f t="shared" si="5"/>
        <v>-0.05</v>
      </c>
    </row>
    <row r="39" spans="1:23">
      <c r="A39" s="257">
        <v>45840</v>
      </c>
      <c r="B39" s="258" t="s">
        <v>208</v>
      </c>
      <c r="C39" s="258" t="s">
        <v>248</v>
      </c>
      <c r="D39" s="258" t="s">
        <v>487</v>
      </c>
      <c r="E39" s="259">
        <v>-50505</v>
      </c>
      <c r="F39" s="258">
        <v>-0.04</v>
      </c>
      <c r="G39" s="196">
        <f t="shared" si="0"/>
        <v>12626250000</v>
      </c>
      <c r="R39" t="str">
        <f t="shared" si="1"/>
        <v>QQQ US 07/18/25 C555</v>
      </c>
      <c r="S39">
        <f t="shared" si="2"/>
        <v>-50505</v>
      </c>
      <c r="T39" s="197">
        <f>IF(R39="","",IF(LEN(R39)&gt;9,SUMIFS(Options!$AZ$3:$AZ$28,Options!$B$3:$B$28,'Check result'!R39),SUMIFS('Master P&amp;L'!$AE$11:$AE$101,'Master P&amp;L'!$B$11:$B$101,'Check result'!R39)))</f>
        <v>0</v>
      </c>
      <c r="U39" s="197">
        <f t="shared" si="3"/>
        <v>0</v>
      </c>
      <c r="V39" s="196">
        <f t="shared" si="4"/>
        <v>-50505</v>
      </c>
      <c r="W39">
        <f t="shared" si="5"/>
        <v>-0.04</v>
      </c>
    </row>
    <row r="40" spans="1:23">
      <c r="A40" s="257">
        <v>45840</v>
      </c>
      <c r="B40" s="258" t="s">
        <v>208</v>
      </c>
      <c r="C40" s="258" t="s">
        <v>248</v>
      </c>
      <c r="D40" s="258" t="s">
        <v>389</v>
      </c>
      <c r="E40" s="259">
        <v>-47699</v>
      </c>
      <c r="F40" s="258">
        <v>-0.04</v>
      </c>
      <c r="G40" s="196">
        <f t="shared" si="0"/>
        <v>11924750000</v>
      </c>
      <c r="R40" t="str">
        <f t="shared" si="1"/>
        <v>GLD US 09/19/25 C335</v>
      </c>
      <c r="S40">
        <f t="shared" si="2"/>
        <v>-47699</v>
      </c>
      <c r="T40" s="197">
        <f>IF(R40="","",IF(LEN(R40)&gt;9,SUMIFS(Options!$AZ$3:$AZ$28,Options!$B$3:$B$28,'Check result'!R40),SUMIFS('Master P&amp;L'!$AE$11:$AE$101,'Master P&amp;L'!$B$11:$B$101,'Check result'!R40)))</f>
        <v>0</v>
      </c>
      <c r="U40" s="197">
        <f t="shared" si="3"/>
        <v>0</v>
      </c>
      <c r="V40" s="196">
        <f t="shared" si="4"/>
        <v>-47699</v>
      </c>
      <c r="W40">
        <f t="shared" si="5"/>
        <v>-0.04</v>
      </c>
    </row>
    <row r="41" spans="1:23">
      <c r="A41" s="257">
        <v>45840</v>
      </c>
      <c r="B41" s="258" t="s">
        <v>208</v>
      </c>
      <c r="C41" s="258" t="s">
        <v>8</v>
      </c>
      <c r="D41" s="258" t="s">
        <v>40</v>
      </c>
      <c r="E41" s="259">
        <v>-46605</v>
      </c>
      <c r="F41" s="258">
        <v>-0.04</v>
      </c>
      <c r="G41" s="196">
        <f t="shared" si="0"/>
        <v>11651250000</v>
      </c>
      <c r="R41" t="str">
        <f t="shared" si="1"/>
        <v>LYSDY</v>
      </c>
      <c r="S41">
        <f t="shared" si="2"/>
        <v>-46605</v>
      </c>
      <c r="T41" s="197">
        <f>IF(R41="","",IF(LEN(R41)&gt;9,SUMIFS(Options!$AZ$3:$AZ$28,Options!$B$3:$B$28,'Check result'!R41),SUMIFS('Master P&amp;L'!$AE$11:$AE$101,'Master P&amp;L'!$B$11:$B$101,'Check result'!R41)))</f>
        <v>0</v>
      </c>
      <c r="U41" s="197">
        <f t="shared" si="3"/>
        <v>0</v>
      </c>
      <c r="V41" s="196">
        <f t="shared" si="4"/>
        <v>-46605</v>
      </c>
      <c r="W41">
        <f t="shared" si="5"/>
        <v>-0.04</v>
      </c>
    </row>
    <row r="42" spans="1:23">
      <c r="A42" s="257">
        <v>45840</v>
      </c>
      <c r="B42" s="258" t="s">
        <v>208</v>
      </c>
      <c r="C42" s="258" t="s">
        <v>8</v>
      </c>
      <c r="D42" s="258" t="s">
        <v>356</v>
      </c>
      <c r="E42" s="259">
        <v>-41345</v>
      </c>
      <c r="F42" s="258">
        <v>-0.04</v>
      </c>
      <c r="G42" s="196">
        <f t="shared" si="0"/>
        <v>10336250000</v>
      </c>
      <c r="R42" t="str">
        <f t="shared" si="1"/>
        <v>SHEL</v>
      </c>
      <c r="S42">
        <f t="shared" si="2"/>
        <v>-41345</v>
      </c>
      <c r="T42" s="197">
        <f>IF(R42="","",IF(LEN(R42)&gt;9,SUMIFS(Options!$AZ$3:$AZ$28,Options!$B$3:$B$28,'Check result'!R42),SUMIFS('Master P&amp;L'!$AE$11:$AE$101,'Master P&amp;L'!$B$11:$B$101,'Check result'!R42)))</f>
        <v>0</v>
      </c>
      <c r="U42" s="197">
        <f t="shared" si="3"/>
        <v>0</v>
      </c>
      <c r="V42" s="196">
        <f t="shared" si="4"/>
        <v>-41345</v>
      </c>
      <c r="W42">
        <f t="shared" si="5"/>
        <v>-0.04</v>
      </c>
    </row>
    <row r="43" spans="1:23">
      <c r="A43" s="257">
        <v>45840</v>
      </c>
      <c r="B43" s="258" t="s">
        <v>208</v>
      </c>
      <c r="C43" s="258" t="s">
        <v>245</v>
      </c>
      <c r="D43" s="258" t="s">
        <v>3</v>
      </c>
      <c r="E43" s="259">
        <v>-39567</v>
      </c>
      <c r="F43" s="258">
        <v>-0.03</v>
      </c>
      <c r="G43" s="196">
        <f t="shared" si="0"/>
        <v>13189000000</v>
      </c>
      <c r="R43" t="str">
        <f t="shared" si="1"/>
        <v>RSP</v>
      </c>
      <c r="S43">
        <f t="shared" si="2"/>
        <v>-39567</v>
      </c>
      <c r="T43" s="197">
        <f>IF(R43="","",IF(LEN(R43)&gt;9,SUMIFS(Options!$AZ$3:$AZ$28,Options!$B$3:$B$28,'Check result'!R43),SUMIFS('Master P&amp;L'!$AE$11:$AE$101,'Master P&amp;L'!$B$11:$B$101,'Check result'!R43)))</f>
        <v>0</v>
      </c>
      <c r="U43" s="197">
        <f t="shared" si="3"/>
        <v>0</v>
      </c>
      <c r="V43" s="196">
        <f t="shared" si="4"/>
        <v>-39567</v>
      </c>
      <c r="W43">
        <f t="shared" si="5"/>
        <v>-3.0000000000000002E-2</v>
      </c>
    </row>
    <row r="44" spans="1:23">
      <c r="A44" s="257">
        <v>45840</v>
      </c>
      <c r="B44" s="258" t="s">
        <v>208</v>
      </c>
      <c r="C44" s="258" t="s">
        <v>245</v>
      </c>
      <c r="D44" s="258" t="s">
        <v>37</v>
      </c>
      <c r="E44" s="259">
        <v>-37821</v>
      </c>
      <c r="F44" s="258">
        <v>-0.03</v>
      </c>
      <c r="G44" s="196">
        <f t="shared" si="0"/>
        <v>12607000000</v>
      </c>
      <c r="R44" t="str">
        <f t="shared" si="1"/>
        <v>IGV</v>
      </c>
      <c r="S44">
        <f t="shared" si="2"/>
        <v>-37821</v>
      </c>
      <c r="T44" s="197">
        <f>IF(R44="","",IF(LEN(R44)&gt;9,SUMIFS(Options!$AZ$3:$AZ$28,Options!$B$3:$B$28,'Check result'!R44),SUMIFS('Master P&amp;L'!$AE$11:$AE$101,'Master P&amp;L'!$B$11:$B$101,'Check result'!R44)))</f>
        <v>0</v>
      </c>
      <c r="U44" s="197">
        <f t="shared" si="3"/>
        <v>0</v>
      </c>
      <c r="V44" s="196">
        <f t="shared" si="4"/>
        <v>-37821</v>
      </c>
      <c r="W44">
        <f t="shared" si="5"/>
        <v>-3.0000000000000002E-2</v>
      </c>
    </row>
    <row r="45" spans="1:23">
      <c r="A45" s="257">
        <v>45840</v>
      </c>
      <c r="B45" s="258" t="s">
        <v>208</v>
      </c>
      <c r="C45" s="258" t="s">
        <v>245</v>
      </c>
      <c r="D45" s="258" t="s">
        <v>362</v>
      </c>
      <c r="E45" s="259">
        <v>-32666</v>
      </c>
      <c r="F45" s="258">
        <v>-0.03</v>
      </c>
      <c r="G45" s="196">
        <f t="shared" si="0"/>
        <v>10888666666.666668</v>
      </c>
      <c r="R45" t="str">
        <f t="shared" si="1"/>
        <v>XHB</v>
      </c>
      <c r="S45">
        <f t="shared" si="2"/>
        <v>-32666</v>
      </c>
      <c r="T45" s="197">
        <f>IF(R45="","",IF(LEN(R45)&gt;9,SUMIFS(Options!$AZ$3:$AZ$28,Options!$B$3:$B$28,'Check result'!R45),SUMIFS('Master P&amp;L'!$AE$11:$AE$101,'Master P&amp;L'!$B$11:$B$101,'Check result'!R45)))</f>
        <v>0</v>
      </c>
      <c r="U45" s="197">
        <f t="shared" si="3"/>
        <v>0</v>
      </c>
      <c r="V45" s="196">
        <f t="shared" si="4"/>
        <v>-32666</v>
      </c>
      <c r="W45">
        <f t="shared" si="5"/>
        <v>-2.9999999999999995E-2</v>
      </c>
    </row>
    <row r="46" spans="1:23">
      <c r="A46" s="257">
        <v>45840</v>
      </c>
      <c r="B46" s="258" t="s">
        <v>208</v>
      </c>
      <c r="C46" s="258" t="s">
        <v>248</v>
      </c>
      <c r="D46" s="258" t="s">
        <v>466</v>
      </c>
      <c r="E46" s="259">
        <v>-32490</v>
      </c>
      <c r="F46" s="258">
        <v>-0.03</v>
      </c>
      <c r="G46" s="196">
        <f t="shared" si="0"/>
        <v>10830000000</v>
      </c>
      <c r="R46" t="str">
        <f t="shared" si="1"/>
        <v>XLF US 07/18/25 P51.5</v>
      </c>
      <c r="S46">
        <f t="shared" si="2"/>
        <v>-32490</v>
      </c>
      <c r="T46" s="197">
        <f>IF(R46="","",IF(LEN(R46)&gt;9,SUMIFS(Options!$AZ$3:$AZ$28,Options!$B$3:$B$28,'Check result'!R46),SUMIFS('Master P&amp;L'!$AE$11:$AE$101,'Master P&amp;L'!$B$11:$B$101,'Check result'!R46)))</f>
        <v>0</v>
      </c>
      <c r="U46" s="197">
        <f t="shared" si="3"/>
        <v>0</v>
      </c>
      <c r="V46" s="196">
        <f t="shared" si="4"/>
        <v>-32490</v>
      </c>
      <c r="W46">
        <f t="shared" si="5"/>
        <v>-3.0000000000000002E-2</v>
      </c>
    </row>
    <row r="47" spans="1:23">
      <c r="A47" s="257">
        <v>45840</v>
      </c>
      <c r="B47" s="258" t="s">
        <v>208</v>
      </c>
      <c r="C47" s="258" t="s">
        <v>245</v>
      </c>
      <c r="D47" s="258" t="s">
        <v>366</v>
      </c>
      <c r="E47" s="259">
        <v>-29155</v>
      </c>
      <c r="F47" s="258">
        <v>-0.03</v>
      </c>
      <c r="G47" s="196">
        <f t="shared" si="0"/>
        <v>9718333333.333334</v>
      </c>
      <c r="R47" t="str">
        <f t="shared" si="1"/>
        <v>ITB</v>
      </c>
      <c r="S47">
        <f t="shared" si="2"/>
        <v>-29155</v>
      </c>
      <c r="T47" s="197">
        <f>IF(R47="","",IF(LEN(R47)&gt;9,SUMIFS(Options!$AZ$3:$AZ$28,Options!$B$3:$B$28,'Check result'!R47),SUMIFS('Master P&amp;L'!$AE$11:$AE$101,'Master P&amp;L'!$B$11:$B$101,'Check result'!R47)))</f>
        <v>0</v>
      </c>
      <c r="U47" s="197">
        <f t="shared" si="3"/>
        <v>0</v>
      </c>
      <c r="V47" s="196">
        <f t="shared" si="4"/>
        <v>-29155</v>
      </c>
      <c r="W47">
        <f t="shared" si="5"/>
        <v>-2.9999999999999995E-2</v>
      </c>
    </row>
    <row r="48" spans="1:23">
      <c r="A48" s="257">
        <v>45840</v>
      </c>
      <c r="B48" s="258" t="s">
        <v>208</v>
      </c>
      <c r="C48" s="258" t="s">
        <v>245</v>
      </c>
      <c r="D48" s="258" t="s">
        <v>19</v>
      </c>
      <c r="E48" s="259">
        <v>-27555</v>
      </c>
      <c r="F48" s="258">
        <v>-0.02</v>
      </c>
      <c r="G48" s="196">
        <f t="shared" si="0"/>
        <v>13777500000</v>
      </c>
      <c r="R48" t="str">
        <f t="shared" si="1"/>
        <v>KRE</v>
      </c>
      <c r="S48">
        <f t="shared" si="2"/>
        <v>-27555</v>
      </c>
      <c r="T48" s="197">
        <f>IF(R48="","",IF(LEN(R48)&gt;9,SUMIFS(Options!$AZ$3:$AZ$28,Options!$B$3:$B$28,'Check result'!R48),SUMIFS('Master P&amp;L'!$AE$11:$AE$101,'Master P&amp;L'!$B$11:$B$101,'Check result'!R48)))</f>
        <v>0</v>
      </c>
      <c r="U48" s="197">
        <f t="shared" si="3"/>
        <v>0</v>
      </c>
      <c r="V48" s="196">
        <f t="shared" si="4"/>
        <v>-27555</v>
      </c>
      <c r="W48">
        <f t="shared" si="5"/>
        <v>-0.02</v>
      </c>
    </row>
    <row r="49" spans="1:23">
      <c r="A49" s="257">
        <v>45840</v>
      </c>
      <c r="B49" s="258" t="s">
        <v>208</v>
      </c>
      <c r="C49" s="258" t="s">
        <v>248</v>
      </c>
      <c r="D49" s="258" t="s">
        <v>384</v>
      </c>
      <c r="E49" s="259">
        <v>-22013</v>
      </c>
      <c r="F49" s="258">
        <v>-0.02</v>
      </c>
      <c r="G49" s="196">
        <f t="shared" si="0"/>
        <v>11006500000</v>
      </c>
      <c r="R49" t="str">
        <f t="shared" si="1"/>
        <v>SMH US 07/18/25 P240</v>
      </c>
      <c r="S49">
        <f t="shared" si="2"/>
        <v>-22013</v>
      </c>
      <c r="T49" s="197">
        <f>IF(R49="","",IF(LEN(R49)&gt;9,SUMIFS(Options!$AZ$3:$AZ$28,Options!$B$3:$B$28,'Check result'!R49),SUMIFS('Master P&amp;L'!$AE$11:$AE$101,'Master P&amp;L'!$B$11:$B$101,'Check result'!R49)))</f>
        <v>0</v>
      </c>
      <c r="U49" s="197">
        <f t="shared" si="3"/>
        <v>0</v>
      </c>
      <c r="V49" s="196">
        <f t="shared" si="4"/>
        <v>-22013</v>
      </c>
      <c r="W49">
        <f t="shared" si="5"/>
        <v>-0.02</v>
      </c>
    </row>
    <row r="50" spans="1:23">
      <c r="A50" s="257">
        <v>45840</v>
      </c>
      <c r="B50" s="258" t="s">
        <v>208</v>
      </c>
      <c r="C50" s="258" t="s">
        <v>245</v>
      </c>
      <c r="D50" s="258" t="s">
        <v>4</v>
      </c>
      <c r="E50" s="259">
        <v>-18023</v>
      </c>
      <c r="F50" s="258">
        <v>-0.02</v>
      </c>
      <c r="G50" s="196">
        <f t="shared" si="0"/>
        <v>9011500000</v>
      </c>
      <c r="R50" t="str">
        <f t="shared" si="1"/>
        <v>XLP</v>
      </c>
      <c r="S50">
        <f t="shared" si="2"/>
        <v>-18023</v>
      </c>
      <c r="T50" s="197">
        <f>IF(R50="","",IF(LEN(R50)&gt;9,SUMIFS(Options!$AZ$3:$AZ$28,Options!$B$3:$B$28,'Check result'!R50),SUMIFS('Master P&amp;L'!$AE$11:$AE$101,'Master P&amp;L'!$B$11:$B$101,'Check result'!R50)))</f>
        <v>0</v>
      </c>
      <c r="U50" s="197">
        <f t="shared" si="3"/>
        <v>0</v>
      </c>
      <c r="V50" s="196">
        <f t="shared" si="4"/>
        <v>-18023</v>
      </c>
      <c r="W50">
        <f t="shared" si="5"/>
        <v>-0.02</v>
      </c>
    </row>
    <row r="51" spans="1:23">
      <c r="A51" s="257">
        <v>45840</v>
      </c>
      <c r="B51" s="258" t="s">
        <v>208</v>
      </c>
      <c r="C51" s="258" t="s">
        <v>341</v>
      </c>
      <c r="D51" s="258" t="s">
        <v>402</v>
      </c>
      <c r="E51" s="259">
        <v>-17992</v>
      </c>
      <c r="F51" s="258">
        <v>-0.02</v>
      </c>
      <c r="G51" s="196">
        <f t="shared" si="0"/>
        <v>8996000000</v>
      </c>
      <c r="R51" t="str">
        <f t="shared" si="1"/>
        <v>SWAP CGCPRSPX 06JUN2025 05NOV2025 97.2738</v>
      </c>
      <c r="S51">
        <f t="shared" si="2"/>
        <v>-17992</v>
      </c>
      <c r="T51" s="197">
        <f>IF(R51="","",IF(LEN(R51)&gt;9,SUMIFS(Options!$AZ$3:$AZ$28,Options!$B$3:$B$28,'Check result'!R51),SUMIFS('Master P&amp;L'!$AE$11:$AE$101,'Master P&amp;L'!$B$11:$B$101,'Check result'!R51)))</f>
        <v>0</v>
      </c>
      <c r="U51" s="197">
        <f t="shared" si="3"/>
        <v>0</v>
      </c>
      <c r="V51" s="196">
        <f t="shared" si="4"/>
        <v>-17992</v>
      </c>
      <c r="W51">
        <f t="shared" si="5"/>
        <v>-0.02</v>
      </c>
    </row>
    <row r="52" spans="1:23">
      <c r="A52" s="257">
        <v>45840</v>
      </c>
      <c r="B52" s="258" t="s">
        <v>208</v>
      </c>
      <c r="C52" s="258" t="s">
        <v>248</v>
      </c>
      <c r="D52" s="258" t="s">
        <v>185</v>
      </c>
      <c r="E52" s="259">
        <v>-17250</v>
      </c>
      <c r="F52" s="258">
        <v>-0.02</v>
      </c>
      <c r="G52" s="196">
        <f t="shared" si="0"/>
        <v>8625000000</v>
      </c>
      <c r="R52" t="str">
        <f t="shared" si="1"/>
        <v>GDX US 07/18/25 C55</v>
      </c>
      <c r="S52">
        <f t="shared" si="2"/>
        <v>-17250</v>
      </c>
      <c r="T52" s="197">
        <f>IF(R52="","",IF(LEN(R52)&gt;9,SUMIFS(Options!$AZ$3:$AZ$28,Options!$B$3:$B$28,'Check result'!R52),SUMIFS('Master P&amp;L'!$AE$11:$AE$101,'Master P&amp;L'!$B$11:$B$101,'Check result'!R52)))</f>
        <v>0</v>
      </c>
      <c r="U52" s="197">
        <f t="shared" si="3"/>
        <v>0</v>
      </c>
      <c r="V52" s="196">
        <f t="shared" si="4"/>
        <v>-17250</v>
      </c>
      <c r="W52">
        <f t="shared" si="5"/>
        <v>-0.02</v>
      </c>
    </row>
    <row r="53" spans="1:23">
      <c r="A53" s="257">
        <v>45840</v>
      </c>
      <c r="B53" s="258" t="s">
        <v>208</v>
      </c>
      <c r="C53" s="258" t="s">
        <v>242</v>
      </c>
      <c r="D53" s="258" t="s">
        <v>30</v>
      </c>
      <c r="E53" s="259">
        <v>-16945</v>
      </c>
      <c r="F53" s="258">
        <v>-0.01</v>
      </c>
      <c r="G53" s="196">
        <f t="shared" si="0"/>
        <v>16945000000</v>
      </c>
      <c r="R53" t="str">
        <f t="shared" si="1"/>
        <v>TTWO</v>
      </c>
      <c r="S53">
        <f t="shared" si="2"/>
        <v>-16945</v>
      </c>
      <c r="T53" s="197">
        <f>IF(R53="","",IF(LEN(R53)&gt;9,SUMIFS(Options!$AZ$3:$AZ$28,Options!$B$3:$B$28,'Check result'!R53),SUMIFS('Master P&amp;L'!$AE$11:$AE$101,'Master P&amp;L'!$B$11:$B$101,'Check result'!R53)))</f>
        <v>0</v>
      </c>
      <c r="U53" s="197">
        <f t="shared" si="3"/>
        <v>0</v>
      </c>
      <c r="V53" s="196">
        <f t="shared" si="4"/>
        <v>-16945</v>
      </c>
      <c r="W53">
        <f t="shared" si="5"/>
        <v>-0.01</v>
      </c>
    </row>
    <row r="54" spans="1:23">
      <c r="A54" s="257">
        <v>45840</v>
      </c>
      <c r="B54" s="258" t="s">
        <v>208</v>
      </c>
      <c r="C54" s="258" t="s">
        <v>244</v>
      </c>
      <c r="D54" s="258" t="s">
        <v>475</v>
      </c>
      <c r="E54" s="259">
        <v>-16069</v>
      </c>
      <c r="F54" s="258">
        <v>-0.01</v>
      </c>
      <c r="G54" s="196">
        <f t="shared" si="0"/>
        <v>16069000000</v>
      </c>
      <c r="R54" t="str">
        <f t="shared" si="1"/>
        <v>PINS US 07/18/25 C36</v>
      </c>
      <c r="S54">
        <f t="shared" si="2"/>
        <v>-16069</v>
      </c>
      <c r="T54" s="197">
        <f>IF(R54="","",IF(LEN(R54)&gt;9,SUMIFS(Options!$AZ$3:$AZ$28,Options!$B$3:$B$28,'Check result'!R54),SUMIFS('Master P&amp;L'!$AE$11:$AE$101,'Master P&amp;L'!$B$11:$B$101,'Check result'!R54)))</f>
        <v>0</v>
      </c>
      <c r="U54" s="197">
        <f t="shared" si="3"/>
        <v>0</v>
      </c>
      <c r="V54" s="196">
        <f t="shared" si="4"/>
        <v>-16069</v>
      </c>
      <c r="W54">
        <f t="shared" si="5"/>
        <v>-0.01</v>
      </c>
    </row>
    <row r="55" spans="1:23">
      <c r="A55" s="257">
        <v>45840</v>
      </c>
      <c r="B55" s="258" t="s">
        <v>208</v>
      </c>
      <c r="C55" s="258" t="s">
        <v>244</v>
      </c>
      <c r="D55" s="258" t="s">
        <v>386</v>
      </c>
      <c r="E55" s="259">
        <v>-13837</v>
      </c>
      <c r="F55" s="258">
        <v>-0.01</v>
      </c>
      <c r="G55" s="196">
        <f t="shared" si="0"/>
        <v>13837000000</v>
      </c>
      <c r="R55" t="str">
        <f t="shared" si="1"/>
        <v>NVDA US 07/18/25 P135</v>
      </c>
      <c r="S55">
        <f t="shared" si="2"/>
        <v>-13837</v>
      </c>
      <c r="T55" s="197">
        <f>IF(R55="","",IF(LEN(R55)&gt;9,SUMIFS(Options!$AZ$3:$AZ$28,Options!$B$3:$B$28,'Check result'!R55),SUMIFS('Master P&amp;L'!$AE$11:$AE$101,'Master P&amp;L'!$B$11:$B$101,'Check result'!R55)))</f>
        <v>0</v>
      </c>
      <c r="U55" s="197">
        <f t="shared" si="3"/>
        <v>0</v>
      </c>
      <c r="V55" s="196">
        <f t="shared" si="4"/>
        <v>-13837</v>
      </c>
      <c r="W55">
        <f t="shared" si="5"/>
        <v>-0.01</v>
      </c>
    </row>
    <row r="56" spans="1:23">
      <c r="A56" s="257">
        <v>45840</v>
      </c>
      <c r="B56" s="258" t="s">
        <v>208</v>
      </c>
      <c r="C56" s="258" t="s">
        <v>245</v>
      </c>
      <c r="D56" s="258" t="s">
        <v>339</v>
      </c>
      <c r="E56" s="259">
        <v>-11755</v>
      </c>
      <c r="F56" s="258">
        <v>-0.01</v>
      </c>
      <c r="G56" s="196">
        <f t="shared" si="0"/>
        <v>11755000000</v>
      </c>
      <c r="R56" t="str">
        <f t="shared" si="1"/>
        <v>EWT</v>
      </c>
      <c r="S56">
        <f t="shared" si="2"/>
        <v>-11755</v>
      </c>
      <c r="T56" s="197">
        <f>IF(R56="","",IF(LEN(R56)&gt;9,SUMIFS(Options!$AZ$3:$AZ$28,Options!$B$3:$B$28,'Check result'!R56),SUMIFS('Master P&amp;L'!$AE$11:$AE$101,'Master P&amp;L'!$B$11:$B$101,'Check result'!R56)))</f>
        <v>0</v>
      </c>
      <c r="U56" s="197">
        <f t="shared" si="3"/>
        <v>0</v>
      </c>
      <c r="V56" s="196">
        <f t="shared" si="4"/>
        <v>-11755</v>
      </c>
      <c r="W56">
        <f t="shared" si="5"/>
        <v>-0.01</v>
      </c>
    </row>
    <row r="57" spans="1:23">
      <c r="A57" s="257">
        <v>45840</v>
      </c>
      <c r="B57" s="258" t="s">
        <v>208</v>
      </c>
      <c r="C57" s="258" t="s">
        <v>244</v>
      </c>
      <c r="D57" s="258" t="s">
        <v>504</v>
      </c>
      <c r="E57" s="259">
        <v>-11370</v>
      </c>
      <c r="F57" s="258">
        <v>-0.01</v>
      </c>
      <c r="G57" s="196">
        <f t="shared" si="0"/>
        <v>11370000000</v>
      </c>
      <c r="R57" t="str">
        <f t="shared" si="1"/>
        <v>CPNG US 09/19/25 C30</v>
      </c>
      <c r="S57">
        <f t="shared" si="2"/>
        <v>-11370</v>
      </c>
      <c r="T57" s="197">
        <f>IF(R57="","",IF(LEN(R57)&gt;9,SUMIFS(Options!$AZ$3:$AZ$28,Options!$B$3:$B$28,'Check result'!R57),SUMIFS('Master P&amp;L'!$AE$11:$AE$101,'Master P&amp;L'!$B$11:$B$101,'Check result'!R57)))</f>
        <v>0</v>
      </c>
      <c r="U57" s="197">
        <f t="shared" si="3"/>
        <v>0</v>
      </c>
      <c r="V57" s="196">
        <f t="shared" si="4"/>
        <v>-11370</v>
      </c>
      <c r="W57">
        <f t="shared" si="5"/>
        <v>-0.01</v>
      </c>
    </row>
    <row r="58" spans="1:23">
      <c r="A58" s="257">
        <v>45840</v>
      </c>
      <c r="B58" s="258" t="s">
        <v>208</v>
      </c>
      <c r="C58" s="258" t="s">
        <v>248</v>
      </c>
      <c r="D58" s="258" t="s">
        <v>399</v>
      </c>
      <c r="E58" s="259">
        <v>-10288</v>
      </c>
      <c r="F58" s="258">
        <v>-0.01</v>
      </c>
      <c r="G58" s="196">
        <f t="shared" si="0"/>
        <v>10288000000</v>
      </c>
      <c r="R58" t="str">
        <f t="shared" si="1"/>
        <v>SOXX US 07/18/25 P215</v>
      </c>
      <c r="S58">
        <f t="shared" si="2"/>
        <v>-10288</v>
      </c>
      <c r="T58" s="197">
        <f>IF(R58="","",IF(LEN(R58)&gt;9,SUMIFS(Options!$AZ$3:$AZ$28,Options!$B$3:$B$28,'Check result'!R58),SUMIFS('Master P&amp;L'!$AE$11:$AE$101,'Master P&amp;L'!$B$11:$B$101,'Check result'!R58)))</f>
        <v>0</v>
      </c>
      <c r="U58" s="197">
        <f t="shared" si="3"/>
        <v>0</v>
      </c>
      <c r="V58" s="196">
        <f t="shared" si="4"/>
        <v>-10288</v>
      </c>
      <c r="W58">
        <f t="shared" si="5"/>
        <v>-0.01</v>
      </c>
    </row>
    <row r="59" spans="1:23">
      <c r="A59" s="257">
        <v>45840</v>
      </c>
      <c r="B59" s="258" t="s">
        <v>208</v>
      </c>
      <c r="C59" s="258" t="s">
        <v>244</v>
      </c>
      <c r="D59" s="258" t="s">
        <v>478</v>
      </c>
      <c r="E59" s="259">
        <v>-10085</v>
      </c>
      <c r="F59" s="258">
        <v>-0.01</v>
      </c>
      <c r="G59" s="196">
        <f t="shared" si="0"/>
        <v>10085000000</v>
      </c>
      <c r="R59" t="str">
        <f t="shared" si="1"/>
        <v>MSFT US 08/15/25 P470</v>
      </c>
      <c r="S59">
        <f t="shared" si="2"/>
        <v>-10085</v>
      </c>
      <c r="T59" s="197">
        <f>IF(R59="","",IF(LEN(R59)&gt;9,SUMIFS(Options!$AZ$3:$AZ$28,Options!$B$3:$B$28,'Check result'!R59),SUMIFS('Master P&amp;L'!$AE$11:$AE$101,'Master P&amp;L'!$B$11:$B$101,'Check result'!R59)))</f>
        <v>0</v>
      </c>
      <c r="U59" s="197">
        <f t="shared" si="3"/>
        <v>0</v>
      </c>
      <c r="V59" s="196">
        <f t="shared" si="4"/>
        <v>-10085</v>
      </c>
      <c r="W59">
        <f t="shared" si="5"/>
        <v>-0.01</v>
      </c>
    </row>
    <row r="60" spans="1:23">
      <c r="A60" s="257">
        <v>45840</v>
      </c>
      <c r="B60" s="258" t="s">
        <v>208</v>
      </c>
      <c r="C60" s="258" t="s">
        <v>244</v>
      </c>
      <c r="D60" s="258" t="s">
        <v>374</v>
      </c>
      <c r="E60" s="259">
        <v>-9651</v>
      </c>
      <c r="F60" s="258">
        <v>-0.01</v>
      </c>
      <c r="G60" s="196">
        <f t="shared" si="0"/>
        <v>9651000000</v>
      </c>
      <c r="R60" t="str">
        <f t="shared" si="1"/>
        <v>UBER US 07/18/25 C90</v>
      </c>
      <c r="S60">
        <f t="shared" si="2"/>
        <v>-9651</v>
      </c>
      <c r="T60" s="197">
        <f>IF(R60="","",IF(LEN(R60)&gt;9,SUMIFS(Options!$AZ$3:$AZ$28,Options!$B$3:$B$28,'Check result'!R60),SUMIFS('Master P&amp;L'!$AE$11:$AE$101,'Master P&amp;L'!$B$11:$B$101,'Check result'!R60)))</f>
        <v>0</v>
      </c>
      <c r="U60" s="197">
        <f t="shared" si="3"/>
        <v>0</v>
      </c>
      <c r="V60" s="196">
        <f t="shared" si="4"/>
        <v>-9651</v>
      </c>
      <c r="W60">
        <f t="shared" si="5"/>
        <v>-0.01</v>
      </c>
    </row>
    <row r="61" spans="1:23">
      <c r="A61" s="257">
        <v>45840</v>
      </c>
      <c r="B61" s="258" t="s">
        <v>208</v>
      </c>
      <c r="C61" s="258" t="s">
        <v>242</v>
      </c>
      <c r="D61" s="258" t="s">
        <v>34</v>
      </c>
      <c r="E61" s="259">
        <v>-9135</v>
      </c>
      <c r="F61" s="258">
        <v>-0.01</v>
      </c>
      <c r="G61" s="196">
        <f t="shared" si="0"/>
        <v>9135000000</v>
      </c>
      <c r="R61" t="str">
        <f t="shared" si="1"/>
        <v>MA</v>
      </c>
      <c r="S61">
        <f t="shared" si="2"/>
        <v>-9135</v>
      </c>
      <c r="T61" s="197">
        <f>IF(R61="","",IF(LEN(R61)&gt;9,SUMIFS(Options!$AZ$3:$AZ$28,Options!$B$3:$B$28,'Check result'!R61),SUMIFS('Master P&amp;L'!$AE$11:$AE$101,'Master P&amp;L'!$B$11:$B$101,'Check result'!R61)))</f>
        <v>0</v>
      </c>
      <c r="U61" s="197">
        <f t="shared" si="3"/>
        <v>0</v>
      </c>
      <c r="V61" s="196">
        <f t="shared" si="4"/>
        <v>-9135</v>
      </c>
      <c r="W61">
        <f t="shared" si="5"/>
        <v>-0.01</v>
      </c>
    </row>
    <row r="62" spans="1:23">
      <c r="A62" s="257">
        <v>45840</v>
      </c>
      <c r="B62" s="258" t="s">
        <v>208</v>
      </c>
      <c r="C62" s="258" t="s">
        <v>336</v>
      </c>
      <c r="D62" s="258" t="s">
        <v>443</v>
      </c>
      <c r="E62" s="259">
        <v>-8852</v>
      </c>
      <c r="F62" s="258">
        <v>-0.01</v>
      </c>
      <c r="G62" s="196">
        <f t="shared" si="0"/>
        <v>8852000000</v>
      </c>
      <c r="R62" t="str">
        <f t="shared" si="1"/>
        <v>CHINAGOV 06/20/30</v>
      </c>
      <c r="S62">
        <f t="shared" si="2"/>
        <v>-8852</v>
      </c>
      <c r="T62" s="197">
        <f>IF(R62="","",IF(LEN(R62)&gt;9,SUMIFS(Options!$AZ$3:$AZ$28,Options!$B$3:$B$28,'Check result'!R62),SUMIFS('Master P&amp;L'!$AE$11:$AE$101,'Master P&amp;L'!$B$11:$B$101,'Check result'!R62)))</f>
        <v>0</v>
      </c>
      <c r="U62" s="197">
        <f t="shared" si="3"/>
        <v>0</v>
      </c>
      <c r="V62" s="196">
        <f t="shared" si="4"/>
        <v>-8852</v>
      </c>
      <c r="W62">
        <f t="shared" si="5"/>
        <v>-0.01</v>
      </c>
    </row>
    <row r="63" spans="1:23">
      <c r="A63" s="257">
        <v>45840</v>
      </c>
      <c r="B63" s="258" t="s">
        <v>208</v>
      </c>
      <c r="C63" s="258" t="s">
        <v>251</v>
      </c>
      <c r="D63" s="258" t="s">
        <v>365</v>
      </c>
      <c r="E63" s="259">
        <v>-8458</v>
      </c>
      <c r="F63" s="258">
        <v>-0.01</v>
      </c>
      <c r="G63" s="196">
        <f t="shared" si="0"/>
        <v>8458000000</v>
      </c>
      <c r="R63" t="str">
        <f t="shared" si="1"/>
        <v>TEVA US 07/18/25 C19</v>
      </c>
      <c r="S63">
        <f t="shared" si="2"/>
        <v>-8458</v>
      </c>
      <c r="T63" s="197">
        <f>IF(R63="","",IF(LEN(R63)&gt;9,SUMIFS(Options!$AZ$3:$AZ$28,Options!$B$3:$B$28,'Check result'!R63),SUMIFS('Master P&amp;L'!$AE$11:$AE$101,'Master P&amp;L'!$B$11:$B$101,'Check result'!R63)))</f>
        <v>0</v>
      </c>
      <c r="U63" s="197">
        <f t="shared" si="3"/>
        <v>0</v>
      </c>
      <c r="V63" s="196">
        <f t="shared" si="4"/>
        <v>-8458</v>
      </c>
      <c r="W63">
        <f t="shared" si="5"/>
        <v>-0.01</v>
      </c>
    </row>
    <row r="64" spans="1:23">
      <c r="A64" s="257">
        <v>45840</v>
      </c>
      <c r="B64" s="258" t="s">
        <v>208</v>
      </c>
      <c r="C64" s="258" t="s">
        <v>244</v>
      </c>
      <c r="D64" s="258" t="s">
        <v>380</v>
      </c>
      <c r="E64" s="259">
        <v>-8344</v>
      </c>
      <c r="F64" s="258">
        <v>-0.01</v>
      </c>
      <c r="G64" s="196">
        <f t="shared" si="0"/>
        <v>8344000000</v>
      </c>
      <c r="R64" t="str">
        <f t="shared" si="1"/>
        <v>MSFT US 07/18/25 P455</v>
      </c>
      <c r="S64">
        <f t="shared" si="2"/>
        <v>-8344</v>
      </c>
      <c r="T64" s="197">
        <f>IF(R64="","",IF(LEN(R64)&gt;9,SUMIFS(Options!$AZ$3:$AZ$28,Options!$B$3:$B$28,'Check result'!R64),SUMIFS('Master P&amp;L'!$AE$11:$AE$101,'Master P&amp;L'!$B$11:$B$101,'Check result'!R64)))</f>
        <v>0</v>
      </c>
      <c r="U64" s="197">
        <f t="shared" si="3"/>
        <v>0</v>
      </c>
      <c r="V64" s="196">
        <f t="shared" si="4"/>
        <v>-8344</v>
      </c>
      <c r="W64">
        <f t="shared" si="5"/>
        <v>-0.01</v>
      </c>
    </row>
    <row r="65" spans="1:23">
      <c r="A65" s="257">
        <v>45840</v>
      </c>
      <c r="B65" s="258" t="s">
        <v>208</v>
      </c>
      <c r="C65" s="258" t="s">
        <v>248</v>
      </c>
      <c r="D65" s="258" t="s">
        <v>404</v>
      </c>
      <c r="E65" s="259">
        <v>-7523</v>
      </c>
      <c r="F65" s="258">
        <v>-0.01</v>
      </c>
      <c r="G65" s="196">
        <f t="shared" si="0"/>
        <v>7523000000</v>
      </c>
      <c r="R65" t="str">
        <f t="shared" si="1"/>
        <v>XLF US 07/18/25 P48</v>
      </c>
      <c r="S65">
        <f t="shared" si="2"/>
        <v>-7523</v>
      </c>
      <c r="T65" s="197">
        <f>IF(R65="","",IF(LEN(R65)&gt;9,SUMIFS(Options!$AZ$3:$AZ$28,Options!$B$3:$B$28,'Check result'!R65),SUMIFS('Master P&amp;L'!$AE$11:$AE$101,'Master P&amp;L'!$B$11:$B$101,'Check result'!R65)))</f>
        <v>0</v>
      </c>
      <c r="U65" s="197">
        <f t="shared" si="3"/>
        <v>0</v>
      </c>
      <c r="V65" s="196">
        <f t="shared" si="4"/>
        <v>-7523</v>
      </c>
      <c r="W65">
        <f t="shared" si="5"/>
        <v>-0.01</v>
      </c>
    </row>
    <row r="66" spans="1:23">
      <c r="A66" s="257">
        <v>45840</v>
      </c>
      <c r="B66" s="258" t="s">
        <v>208</v>
      </c>
      <c r="C66" s="258" t="s">
        <v>244</v>
      </c>
      <c r="D66" s="258" t="s">
        <v>416</v>
      </c>
      <c r="E66" s="259">
        <v>-6029</v>
      </c>
      <c r="F66" s="258">
        <v>-0.01</v>
      </c>
      <c r="G66" s="196">
        <f t="shared" si="0"/>
        <v>6029000000</v>
      </c>
      <c r="R66" t="str">
        <f t="shared" si="1"/>
        <v>MSFT US 07/18/25 P465</v>
      </c>
      <c r="S66">
        <f t="shared" si="2"/>
        <v>-6029</v>
      </c>
      <c r="T66" s="197">
        <f>IF(R66="","",IF(LEN(R66)&gt;9,SUMIFS(Options!$AZ$3:$AZ$28,Options!$B$3:$B$28,'Check result'!R66),SUMIFS('Master P&amp;L'!$AE$11:$AE$101,'Master P&amp;L'!$B$11:$B$101,'Check result'!R66)))</f>
        <v>0</v>
      </c>
      <c r="U66" s="197">
        <f t="shared" si="3"/>
        <v>0</v>
      </c>
      <c r="V66" s="196">
        <f t="shared" si="4"/>
        <v>-6029</v>
      </c>
      <c r="W66">
        <f t="shared" si="5"/>
        <v>-0.01</v>
      </c>
    </row>
    <row r="67" spans="1:23">
      <c r="A67" s="257">
        <v>45840</v>
      </c>
      <c r="B67" s="258" t="s">
        <v>208</v>
      </c>
      <c r="C67" s="258" t="s">
        <v>248</v>
      </c>
      <c r="D67" s="258" t="s">
        <v>444</v>
      </c>
      <c r="E67" s="259">
        <v>-6029</v>
      </c>
      <c r="F67" s="258">
        <v>-0.01</v>
      </c>
      <c r="G67" s="196">
        <f t="shared" ref="G67:G130" si="6">+E67/F67*10000</f>
        <v>6029000000</v>
      </c>
      <c r="R67" t="str">
        <f t="shared" ref="R67:R88" si="7">D67</f>
        <v>GLD US 07/18/25 C325</v>
      </c>
      <c r="S67">
        <f t="shared" ref="S67:S112" si="8">VLOOKUP(R67,$D$2:$F$156,2,FALSE)</f>
        <v>-6029</v>
      </c>
      <c r="T67" s="197">
        <f>IF(R67="","",IF(LEN(R67)&gt;9,SUMIFS(Options!$AZ$3:$AZ$28,Options!$B$3:$B$28,'Check result'!R67),SUMIFS('Master P&amp;L'!$AE$11:$AE$101,'Master P&amp;L'!$B$11:$B$101,'Check result'!R67)))</f>
        <v>0</v>
      </c>
      <c r="U67" s="197">
        <f t="shared" ref="U67:U112" si="9">T67/2</f>
        <v>0</v>
      </c>
      <c r="V67" s="196">
        <f t="shared" ref="V67:V112" si="10">+S67-U67</f>
        <v>-6029</v>
      </c>
      <c r="W67">
        <f t="shared" ref="W67:W112" si="11">+V67/G67*10000</f>
        <v>-0.01</v>
      </c>
    </row>
    <row r="68" spans="1:23">
      <c r="A68" s="257">
        <v>45840</v>
      </c>
      <c r="B68" s="258" t="s">
        <v>208</v>
      </c>
      <c r="C68" s="258" t="s">
        <v>244</v>
      </c>
      <c r="D68" s="258" t="s">
        <v>177</v>
      </c>
      <c r="E68" s="259">
        <v>-5618</v>
      </c>
      <c r="F68" s="258">
        <v>0</v>
      </c>
      <c r="G68" s="196" t="e">
        <f t="shared" si="6"/>
        <v>#DIV/0!</v>
      </c>
      <c r="R68" t="str">
        <f t="shared" si="7"/>
        <v>INTC US 12/19/25 P10</v>
      </c>
      <c r="S68">
        <f t="shared" si="8"/>
        <v>-5618</v>
      </c>
      <c r="T68" s="197">
        <f>IF(R68="","",IF(LEN(R68)&gt;9,SUMIFS(Options!$AZ$3:$AZ$28,Options!$B$3:$B$28,'Check result'!R68),SUMIFS('Master P&amp;L'!$AE$11:$AE$101,'Master P&amp;L'!$B$11:$B$101,'Check result'!R68)))</f>
        <v>0</v>
      </c>
      <c r="U68" s="197">
        <f t="shared" si="9"/>
        <v>0</v>
      </c>
      <c r="V68" s="196">
        <f t="shared" si="10"/>
        <v>-5618</v>
      </c>
      <c r="W68" t="e">
        <f t="shared" si="11"/>
        <v>#DIV/0!</v>
      </c>
    </row>
    <row r="69" spans="1:23">
      <c r="A69" s="257">
        <v>45840</v>
      </c>
      <c r="B69" s="258" t="s">
        <v>208</v>
      </c>
      <c r="C69" s="258" t="s">
        <v>244</v>
      </c>
      <c r="D69" s="258" t="s">
        <v>463</v>
      </c>
      <c r="E69" s="259">
        <v>-5612</v>
      </c>
      <c r="F69" s="258">
        <v>0</v>
      </c>
      <c r="G69" s="196" t="e">
        <f t="shared" si="6"/>
        <v>#DIV/0!</v>
      </c>
      <c r="R69" t="str">
        <f t="shared" si="7"/>
        <v>MSFT US 08/15/25 P460</v>
      </c>
      <c r="S69">
        <f t="shared" si="8"/>
        <v>-5612</v>
      </c>
      <c r="T69" s="197">
        <f>IF(R69="","",IF(LEN(R69)&gt;9,SUMIFS(Options!$AZ$3:$AZ$28,Options!$B$3:$B$28,'Check result'!R69),SUMIFS('Master P&amp;L'!$AE$11:$AE$101,'Master P&amp;L'!$B$11:$B$101,'Check result'!R69)))</f>
        <v>0</v>
      </c>
      <c r="U69" s="197">
        <f t="shared" si="9"/>
        <v>0</v>
      </c>
      <c r="V69" s="196">
        <f t="shared" si="10"/>
        <v>-5612</v>
      </c>
      <c r="W69" t="e">
        <f t="shared" si="11"/>
        <v>#DIV/0!</v>
      </c>
    </row>
    <row r="70" spans="1:23">
      <c r="A70" s="257">
        <v>45840</v>
      </c>
      <c r="B70" s="258" t="s">
        <v>208</v>
      </c>
      <c r="C70" s="258" t="s">
        <v>244</v>
      </c>
      <c r="D70" s="258" t="s">
        <v>468</v>
      </c>
      <c r="E70" s="259">
        <v>-3475</v>
      </c>
      <c r="F70" s="258">
        <v>0</v>
      </c>
      <c r="G70" s="196" t="e">
        <f t="shared" si="6"/>
        <v>#DIV/0!</v>
      </c>
      <c r="R70" t="str">
        <f t="shared" si="7"/>
        <v>MU US 07/18/25 C140</v>
      </c>
      <c r="S70">
        <f t="shared" si="8"/>
        <v>-3475</v>
      </c>
      <c r="T70" s="197">
        <f>IF(R70="","",IF(LEN(R70)&gt;9,SUMIFS(Options!$AZ$3:$AZ$28,Options!$B$3:$B$28,'Check result'!R70),SUMIFS('Master P&amp;L'!$AE$11:$AE$101,'Master P&amp;L'!$B$11:$B$101,'Check result'!R70)))</f>
        <v>0</v>
      </c>
      <c r="U70" s="197">
        <f t="shared" si="9"/>
        <v>0</v>
      </c>
      <c r="V70" s="196">
        <f t="shared" si="10"/>
        <v>-3475</v>
      </c>
      <c r="W70" t="e">
        <f t="shared" si="11"/>
        <v>#DIV/0!</v>
      </c>
    </row>
    <row r="71" spans="1:23">
      <c r="A71" s="257">
        <v>45840</v>
      </c>
      <c r="B71" s="258" t="s">
        <v>208</v>
      </c>
      <c r="C71" s="258" t="s">
        <v>242</v>
      </c>
      <c r="D71" s="258" t="s">
        <v>471</v>
      </c>
      <c r="E71" s="259">
        <v>-2977</v>
      </c>
      <c r="F71" s="258">
        <v>0</v>
      </c>
      <c r="G71" s="196" t="e">
        <f t="shared" si="6"/>
        <v>#DIV/0!</v>
      </c>
      <c r="R71" t="str">
        <f t="shared" si="7"/>
        <v>KKR</v>
      </c>
      <c r="S71">
        <f t="shared" si="8"/>
        <v>-2977</v>
      </c>
      <c r="T71" s="197">
        <f>IF(R71="","",IF(LEN(R71)&gt;9,SUMIFS(Options!$AZ$3:$AZ$28,Options!$B$3:$B$28,'Check result'!R71),SUMIFS('Master P&amp;L'!$AE$11:$AE$101,'Master P&amp;L'!$B$11:$B$101,'Check result'!R71)))</f>
        <v>0</v>
      </c>
      <c r="U71" s="197">
        <f t="shared" si="9"/>
        <v>0</v>
      </c>
      <c r="V71" s="196">
        <f t="shared" si="10"/>
        <v>-2977</v>
      </c>
      <c r="W71" t="e">
        <f t="shared" si="11"/>
        <v>#DIV/0!</v>
      </c>
    </row>
    <row r="72" spans="1:23">
      <c r="A72" s="257">
        <v>45840</v>
      </c>
      <c r="B72" s="258" t="s">
        <v>208</v>
      </c>
      <c r="C72" s="258" t="s">
        <v>244</v>
      </c>
      <c r="D72" s="258" t="s">
        <v>423</v>
      </c>
      <c r="E72" s="259">
        <v>-2451</v>
      </c>
      <c r="F72" s="258">
        <v>0</v>
      </c>
      <c r="G72" s="196" t="e">
        <f t="shared" si="6"/>
        <v>#DIV/0!</v>
      </c>
      <c r="R72" t="str">
        <f t="shared" si="7"/>
        <v>MU US 07/18/25 C135</v>
      </c>
      <c r="S72">
        <f t="shared" si="8"/>
        <v>-2451</v>
      </c>
      <c r="T72" s="197">
        <f>IF(R72="","",IF(LEN(R72)&gt;9,SUMIFS(Options!$AZ$3:$AZ$28,Options!$B$3:$B$28,'Check result'!R72),SUMIFS('Master P&amp;L'!$AE$11:$AE$101,'Master P&amp;L'!$B$11:$B$101,'Check result'!R72)))</f>
        <v>0</v>
      </c>
      <c r="U72" s="197">
        <f t="shared" si="9"/>
        <v>0</v>
      </c>
      <c r="V72" s="196">
        <f t="shared" si="10"/>
        <v>-2451</v>
      </c>
      <c r="W72" t="e">
        <f t="shared" si="11"/>
        <v>#DIV/0!</v>
      </c>
    </row>
    <row r="73" spans="1:23">
      <c r="A73" s="257">
        <v>45840</v>
      </c>
      <c r="B73" s="258" t="s">
        <v>208</v>
      </c>
      <c r="C73" s="258" t="s">
        <v>244</v>
      </c>
      <c r="D73" s="258" t="s">
        <v>419</v>
      </c>
      <c r="E73" s="259">
        <v>-2120</v>
      </c>
      <c r="F73" s="258">
        <v>0</v>
      </c>
      <c r="G73" s="196" t="e">
        <f t="shared" si="6"/>
        <v>#DIV/0!</v>
      </c>
      <c r="R73" t="str">
        <f t="shared" si="7"/>
        <v>META US 07/18/25 P655</v>
      </c>
      <c r="S73">
        <f t="shared" si="8"/>
        <v>-2120</v>
      </c>
      <c r="T73" s="197">
        <f>IF(R73="","",IF(LEN(R73)&gt;9,SUMIFS(Options!$AZ$3:$AZ$28,Options!$B$3:$B$28,'Check result'!R73),SUMIFS('Master P&amp;L'!$AE$11:$AE$101,'Master P&amp;L'!$B$11:$B$101,'Check result'!R73)))</f>
        <v>0</v>
      </c>
      <c r="U73" s="197">
        <f t="shared" si="9"/>
        <v>0</v>
      </c>
      <c r="V73" s="196">
        <f t="shared" si="10"/>
        <v>-2120</v>
      </c>
      <c r="W73" t="e">
        <f t="shared" si="11"/>
        <v>#DIV/0!</v>
      </c>
    </row>
    <row r="74" spans="1:23">
      <c r="A74" s="257">
        <v>45840</v>
      </c>
      <c r="B74" s="258" t="s">
        <v>208</v>
      </c>
      <c r="C74" s="258" t="s">
        <v>248</v>
      </c>
      <c r="D74" s="258" t="s">
        <v>465</v>
      </c>
      <c r="E74" s="259">
        <v>-1937</v>
      </c>
      <c r="F74" s="258">
        <v>0</v>
      </c>
      <c r="G74" s="196" t="e">
        <f t="shared" si="6"/>
        <v>#DIV/0!</v>
      </c>
      <c r="R74" t="str">
        <f t="shared" si="7"/>
        <v>XLF US 07/18/25 P49</v>
      </c>
      <c r="S74">
        <f t="shared" si="8"/>
        <v>-1937</v>
      </c>
      <c r="T74" s="197">
        <f>IF(R74="","",IF(LEN(R74)&gt;9,SUMIFS(Options!$AZ$3:$AZ$28,Options!$B$3:$B$28,'Check result'!R74),SUMIFS('Master P&amp;L'!$AE$11:$AE$101,'Master P&amp;L'!$B$11:$B$101,'Check result'!R74)))</f>
        <v>0</v>
      </c>
      <c r="U74" s="197">
        <f t="shared" si="9"/>
        <v>0</v>
      </c>
      <c r="V74" s="196">
        <f t="shared" si="10"/>
        <v>-1937</v>
      </c>
      <c r="W74" t="e">
        <f t="shared" si="11"/>
        <v>#DIV/0!</v>
      </c>
    </row>
    <row r="75" spans="1:23">
      <c r="A75" s="257">
        <v>45840</v>
      </c>
      <c r="B75" s="258" t="s">
        <v>208</v>
      </c>
      <c r="C75" s="258" t="s">
        <v>244</v>
      </c>
      <c r="D75" s="258" t="s">
        <v>505</v>
      </c>
      <c r="E75" s="259">
        <v>-1895</v>
      </c>
      <c r="F75" s="258">
        <v>0</v>
      </c>
      <c r="G75" s="196" t="e">
        <f t="shared" si="6"/>
        <v>#DIV/0!</v>
      </c>
      <c r="R75" t="str">
        <f t="shared" si="7"/>
        <v>CPNG US 09/19/25 C33</v>
      </c>
      <c r="S75">
        <f t="shared" si="8"/>
        <v>-1895</v>
      </c>
      <c r="T75" s="197">
        <f>IF(R75="","",IF(LEN(R75)&gt;9,SUMIFS(Options!$AZ$3:$AZ$28,Options!$B$3:$B$28,'Check result'!R75),SUMIFS('Master P&amp;L'!$AE$11:$AE$101,'Master P&amp;L'!$B$11:$B$101,'Check result'!R75)))</f>
        <v>0</v>
      </c>
      <c r="U75" s="197">
        <f t="shared" si="9"/>
        <v>0</v>
      </c>
      <c r="V75" s="196">
        <f t="shared" si="10"/>
        <v>-1895</v>
      </c>
      <c r="W75" t="e">
        <f t="shared" si="11"/>
        <v>#DIV/0!</v>
      </c>
    </row>
    <row r="76" spans="1:23">
      <c r="A76" s="257">
        <v>45840</v>
      </c>
      <c r="B76" s="258" t="s">
        <v>208</v>
      </c>
      <c r="C76" s="258" t="s">
        <v>248</v>
      </c>
      <c r="D76" s="258" t="s">
        <v>460</v>
      </c>
      <c r="E76" s="259">
        <v>-1518</v>
      </c>
      <c r="F76" s="258">
        <v>0</v>
      </c>
      <c r="G76" s="196" t="e">
        <f t="shared" si="6"/>
        <v>#DIV/0!</v>
      </c>
      <c r="R76" t="str">
        <f t="shared" si="7"/>
        <v>QQQ US 07/03/25 P525</v>
      </c>
      <c r="S76">
        <f t="shared" si="8"/>
        <v>-1518</v>
      </c>
      <c r="T76" s="197">
        <f>IF(R76="","",IF(LEN(R76)&gt;9,SUMIFS(Options!$AZ$3:$AZ$28,Options!$B$3:$B$28,'Check result'!R76),SUMIFS('Master P&amp;L'!$AE$11:$AE$101,'Master P&amp;L'!$B$11:$B$101,'Check result'!R76)))</f>
        <v>0</v>
      </c>
      <c r="U76" s="197">
        <f t="shared" si="9"/>
        <v>0</v>
      </c>
      <c r="V76" s="196">
        <f t="shared" si="10"/>
        <v>-1518</v>
      </c>
      <c r="W76" t="e">
        <f t="shared" si="11"/>
        <v>#DIV/0!</v>
      </c>
    </row>
    <row r="77" spans="1:23">
      <c r="A77" s="257">
        <v>45840</v>
      </c>
      <c r="B77" s="258" t="s">
        <v>208</v>
      </c>
      <c r="C77" s="258" t="s">
        <v>244</v>
      </c>
      <c r="D77" s="258" t="s">
        <v>454</v>
      </c>
      <c r="E77" s="258">
        <v>-640</v>
      </c>
      <c r="F77" s="258">
        <v>0</v>
      </c>
      <c r="G77" s="196" t="e">
        <f t="shared" si="6"/>
        <v>#DIV/0!</v>
      </c>
      <c r="R77" t="str">
        <f t="shared" si="7"/>
        <v>V US 07/11/25 P335</v>
      </c>
      <c r="S77">
        <f t="shared" si="8"/>
        <v>-640</v>
      </c>
      <c r="T77" s="197">
        <f>IF(R77="","",IF(LEN(R77)&gt;9,SUMIFS(Options!$AZ$3:$AZ$28,Options!$B$3:$B$28,'Check result'!R77),SUMIFS('Master P&amp;L'!$AE$11:$AE$101,'Master P&amp;L'!$B$11:$B$101,'Check result'!R77)))</f>
        <v>0</v>
      </c>
      <c r="U77" s="197">
        <f t="shared" si="9"/>
        <v>0</v>
      </c>
      <c r="V77" s="196">
        <f t="shared" si="10"/>
        <v>-640</v>
      </c>
      <c r="W77" t="e">
        <f t="shared" si="11"/>
        <v>#DIV/0!</v>
      </c>
    </row>
    <row r="78" spans="1:23">
      <c r="A78" s="257">
        <v>45840</v>
      </c>
      <c r="B78" s="258" t="s">
        <v>208</v>
      </c>
      <c r="C78" s="258" t="s">
        <v>251</v>
      </c>
      <c r="D78" s="258" t="s">
        <v>379</v>
      </c>
      <c r="E78" s="258">
        <v>-530</v>
      </c>
      <c r="F78" s="258">
        <v>0</v>
      </c>
      <c r="G78" s="196" t="e">
        <f t="shared" si="6"/>
        <v>#DIV/0!</v>
      </c>
      <c r="R78" t="str">
        <f t="shared" si="7"/>
        <v>TEVA US 07/18/25 C20</v>
      </c>
      <c r="S78">
        <f t="shared" si="8"/>
        <v>-530</v>
      </c>
      <c r="T78" s="197">
        <f>IF(R78="","",IF(LEN(R78)&gt;9,SUMIFS(Options!$AZ$3:$AZ$28,Options!$B$3:$B$28,'Check result'!R78),SUMIFS('Master P&amp;L'!$AE$11:$AE$101,'Master P&amp;L'!$B$11:$B$101,'Check result'!R78)))</f>
        <v>0</v>
      </c>
      <c r="U78" s="197">
        <f t="shared" si="9"/>
        <v>0</v>
      </c>
      <c r="V78" s="196">
        <f t="shared" si="10"/>
        <v>-530</v>
      </c>
      <c r="W78" t="e">
        <f t="shared" si="11"/>
        <v>#DIV/0!</v>
      </c>
    </row>
    <row r="79" spans="1:23">
      <c r="A79" s="257">
        <v>45840</v>
      </c>
      <c r="B79" s="258" t="s">
        <v>208</v>
      </c>
      <c r="C79" s="258" t="s">
        <v>246</v>
      </c>
      <c r="D79" s="258" t="s">
        <v>222</v>
      </c>
      <c r="E79" s="258">
        <v>-417</v>
      </c>
      <c r="F79" s="258">
        <v>0</v>
      </c>
      <c r="G79" s="196" t="e">
        <f t="shared" si="6"/>
        <v>#DIV/0!</v>
      </c>
      <c r="R79" t="str">
        <f t="shared" si="7"/>
        <v>Cash CHF</v>
      </c>
      <c r="S79">
        <f t="shared" si="8"/>
        <v>-417</v>
      </c>
      <c r="T79" s="197">
        <f>IF(R79="","",IF(LEN(R79)&gt;9,SUMIFS(Options!$AZ$3:$AZ$28,Options!$B$3:$B$28,'Check result'!R79),SUMIFS('Master P&amp;L'!$AE$11:$AE$101,'Master P&amp;L'!$B$11:$B$101,'Check result'!R79)))</f>
        <v>0</v>
      </c>
      <c r="U79" s="197">
        <f t="shared" si="9"/>
        <v>0</v>
      </c>
      <c r="V79" s="196">
        <f t="shared" si="10"/>
        <v>-417</v>
      </c>
      <c r="W79" t="e">
        <f t="shared" si="11"/>
        <v>#DIV/0!</v>
      </c>
    </row>
    <row r="80" spans="1:23">
      <c r="A80" s="257">
        <v>45840</v>
      </c>
      <c r="B80" s="258" t="s">
        <v>208</v>
      </c>
      <c r="C80" s="258" t="s">
        <v>244</v>
      </c>
      <c r="D80" s="258" t="s">
        <v>392</v>
      </c>
      <c r="E80" s="258">
        <v>-255</v>
      </c>
      <c r="F80" s="258">
        <v>0</v>
      </c>
      <c r="G80" s="196" t="e">
        <f t="shared" si="6"/>
        <v>#DIV/0!</v>
      </c>
      <c r="R80" t="str">
        <f t="shared" si="7"/>
        <v>META US 07/18/25 P645</v>
      </c>
      <c r="S80">
        <f t="shared" si="8"/>
        <v>-255</v>
      </c>
      <c r="T80" s="197">
        <f>IF(R80="","",IF(LEN(R80)&gt;9,SUMIFS(Options!$AZ$3:$AZ$28,Options!$B$3:$B$28,'Check result'!R80),SUMIFS('Master P&amp;L'!$AE$11:$AE$101,'Master P&amp;L'!$B$11:$B$101,'Check result'!R80)))</f>
        <v>0</v>
      </c>
      <c r="U80" s="197">
        <f t="shared" si="9"/>
        <v>0</v>
      </c>
      <c r="V80" s="196">
        <f t="shared" si="10"/>
        <v>-255</v>
      </c>
      <c r="W80" t="e">
        <f t="shared" si="11"/>
        <v>#DIV/0!</v>
      </c>
    </row>
    <row r="81" spans="1:23">
      <c r="A81" s="257">
        <v>45840</v>
      </c>
      <c r="B81" s="258" t="s">
        <v>208</v>
      </c>
      <c r="C81" s="258" t="s">
        <v>246</v>
      </c>
      <c r="D81" s="258" t="s">
        <v>221</v>
      </c>
      <c r="E81" s="258">
        <v>0</v>
      </c>
      <c r="F81" s="258">
        <v>0</v>
      </c>
      <c r="G81" s="196" t="e">
        <f t="shared" si="6"/>
        <v>#DIV/0!</v>
      </c>
      <c r="R81" t="str">
        <f t="shared" si="7"/>
        <v>Cash CAD</v>
      </c>
      <c r="S81">
        <f t="shared" si="8"/>
        <v>0</v>
      </c>
      <c r="T81" s="197">
        <f>IF(R81="","",IF(LEN(R81)&gt;9,SUMIFS(Options!$AZ$3:$AZ$28,Options!$B$3:$B$28,'Check result'!R81),SUMIFS('Master P&amp;L'!$AE$11:$AE$101,'Master P&amp;L'!$B$11:$B$101,'Check result'!R81)))</f>
        <v>0</v>
      </c>
      <c r="U81" s="197">
        <f t="shared" si="9"/>
        <v>0</v>
      </c>
      <c r="V81" s="196">
        <f t="shared" si="10"/>
        <v>0</v>
      </c>
      <c r="W81" t="e">
        <f t="shared" si="11"/>
        <v>#DIV/0!</v>
      </c>
    </row>
    <row r="82" spans="1:23">
      <c r="A82" s="257">
        <v>45840</v>
      </c>
      <c r="B82" s="258" t="s">
        <v>208</v>
      </c>
      <c r="C82" s="258" t="s">
        <v>244</v>
      </c>
      <c r="D82" s="258" t="s">
        <v>490</v>
      </c>
      <c r="E82" s="258">
        <v>0</v>
      </c>
      <c r="F82" s="258">
        <v>0</v>
      </c>
      <c r="G82" s="196" t="e">
        <f t="shared" si="6"/>
        <v>#DIV/0!</v>
      </c>
      <c r="R82" t="str">
        <f t="shared" si="7"/>
        <v>MU US 07/03/25 C140</v>
      </c>
      <c r="S82">
        <f t="shared" si="8"/>
        <v>0</v>
      </c>
      <c r="T82" s="197">
        <f>IF(R82="","",IF(LEN(R82)&gt;9,SUMIFS(Options!$AZ$3:$AZ$28,Options!$B$3:$B$28,'Check result'!R82),SUMIFS('Master P&amp;L'!$AE$11:$AE$101,'Master P&amp;L'!$B$11:$B$101,'Check result'!R82)))</f>
        <v>0</v>
      </c>
      <c r="U82" s="197">
        <f t="shared" si="9"/>
        <v>0</v>
      </c>
      <c r="V82" s="196">
        <f t="shared" si="10"/>
        <v>0</v>
      </c>
      <c r="W82" t="e">
        <f t="shared" si="11"/>
        <v>#DIV/0!</v>
      </c>
    </row>
    <row r="83" spans="1:23">
      <c r="A83" s="257">
        <v>45840</v>
      </c>
      <c r="B83" s="258" t="s">
        <v>208</v>
      </c>
      <c r="C83" s="258" t="s">
        <v>243</v>
      </c>
      <c r="D83" s="258" t="s">
        <v>448</v>
      </c>
      <c r="E83" s="258">
        <v>0</v>
      </c>
      <c r="F83" s="258">
        <v>0</v>
      </c>
      <c r="G83" s="196" t="e">
        <f t="shared" si="6"/>
        <v>#DIV/0!</v>
      </c>
      <c r="R83" t="str">
        <f t="shared" si="7"/>
        <v>TTE DIVIDEND_</v>
      </c>
      <c r="S83">
        <f t="shared" si="8"/>
        <v>0</v>
      </c>
      <c r="T83" s="197">
        <f>IF(R83="","",IF(LEN(R83)&gt;9,SUMIFS(Options!$AZ$3:$AZ$28,Options!$B$3:$B$28,'Check result'!R83),SUMIFS('Master P&amp;L'!$AE$11:$AE$101,'Master P&amp;L'!$B$11:$B$101,'Check result'!R83)))</f>
        <v>0</v>
      </c>
      <c r="U83" s="197">
        <f t="shared" si="9"/>
        <v>0</v>
      </c>
      <c r="V83" s="196">
        <f t="shared" si="10"/>
        <v>0</v>
      </c>
      <c r="W83" t="e">
        <f t="shared" si="11"/>
        <v>#DIV/0!</v>
      </c>
    </row>
    <row r="84" spans="1:23">
      <c r="A84" s="257">
        <v>45840</v>
      </c>
      <c r="B84" s="258" t="s">
        <v>208</v>
      </c>
      <c r="C84" s="258" t="s">
        <v>243</v>
      </c>
      <c r="D84" s="258" t="s">
        <v>428</v>
      </c>
      <c r="E84" s="258">
        <v>0</v>
      </c>
      <c r="F84" s="258">
        <v>0</v>
      </c>
      <c r="G84" s="196" t="e">
        <f t="shared" si="6"/>
        <v>#DIV/0!</v>
      </c>
      <c r="R84" t="str">
        <f t="shared" si="7"/>
        <v>NVDA DIVIDEND_</v>
      </c>
      <c r="S84">
        <f t="shared" si="8"/>
        <v>0</v>
      </c>
      <c r="T84" s="197">
        <f>IF(R84="","",IF(LEN(R84)&gt;9,SUMIFS(Options!$AZ$3:$AZ$28,Options!$B$3:$B$28,'Check result'!R84),SUMIFS('Master P&amp;L'!$AE$11:$AE$101,'Master P&amp;L'!$B$11:$B$101,'Check result'!R84)))</f>
        <v>0</v>
      </c>
      <c r="U84" s="197">
        <f t="shared" si="9"/>
        <v>0</v>
      </c>
      <c r="V84" s="196">
        <f t="shared" si="10"/>
        <v>0</v>
      </c>
      <c r="W84" t="e">
        <f t="shared" si="11"/>
        <v>#DIV/0!</v>
      </c>
    </row>
    <row r="85" spans="1:23">
      <c r="A85" s="257">
        <v>45840</v>
      </c>
      <c r="B85" s="258" t="s">
        <v>208</v>
      </c>
      <c r="C85" s="258" t="s">
        <v>243</v>
      </c>
      <c r="D85" s="258" t="s">
        <v>430</v>
      </c>
      <c r="E85" s="258">
        <v>0</v>
      </c>
      <c r="F85" s="258">
        <v>0</v>
      </c>
      <c r="G85" s="196" t="e">
        <f t="shared" si="6"/>
        <v>#DIV/0!</v>
      </c>
      <c r="R85" t="str">
        <f t="shared" si="7"/>
        <v>TSM DIVIDEND_</v>
      </c>
      <c r="S85">
        <f t="shared" si="8"/>
        <v>0</v>
      </c>
      <c r="T85" s="197">
        <f>IF(R85="","",IF(LEN(R85)&gt;9,SUMIFS(Options!$AZ$3:$AZ$28,Options!$B$3:$B$28,'Check result'!R85),SUMIFS('Master P&amp;L'!$AE$11:$AE$101,'Master P&amp;L'!$B$11:$B$101,'Check result'!R85)))</f>
        <v>0</v>
      </c>
      <c r="U85" s="197">
        <f t="shared" si="9"/>
        <v>0</v>
      </c>
      <c r="V85" s="196">
        <f t="shared" si="10"/>
        <v>0</v>
      </c>
      <c r="W85" t="e">
        <f t="shared" si="11"/>
        <v>#DIV/0!</v>
      </c>
    </row>
    <row r="86" spans="1:23">
      <c r="A86" s="257">
        <v>45840</v>
      </c>
      <c r="B86" s="258" t="s">
        <v>208</v>
      </c>
      <c r="C86" s="258" t="s">
        <v>243</v>
      </c>
      <c r="D86" s="258" t="s">
        <v>501</v>
      </c>
      <c r="E86" s="258">
        <v>0</v>
      </c>
      <c r="F86" s="258">
        <v>0</v>
      </c>
      <c r="G86" s="196" t="e">
        <f t="shared" si="6"/>
        <v>#DIV/0!</v>
      </c>
      <c r="R86" t="str">
        <f t="shared" si="7"/>
        <v>COPX DIVIDEND_</v>
      </c>
      <c r="S86">
        <f t="shared" si="8"/>
        <v>0</v>
      </c>
      <c r="T86" s="197">
        <f>IF(R86="","",IF(LEN(R86)&gt;9,SUMIFS(Options!$AZ$3:$AZ$28,Options!$B$3:$B$28,'Check result'!R86),SUMIFS('Master P&amp;L'!$AE$11:$AE$101,'Master P&amp;L'!$B$11:$B$101,'Check result'!R86)))</f>
        <v>0</v>
      </c>
      <c r="U86" s="197">
        <f t="shared" si="9"/>
        <v>0</v>
      </c>
      <c r="V86" s="196">
        <f t="shared" si="10"/>
        <v>0</v>
      </c>
      <c r="W86" t="e">
        <f t="shared" si="11"/>
        <v>#DIV/0!</v>
      </c>
    </row>
    <row r="87" spans="1:23">
      <c r="A87" s="257">
        <v>45840</v>
      </c>
      <c r="B87" s="258" t="s">
        <v>208</v>
      </c>
      <c r="C87" s="258" t="s">
        <v>243</v>
      </c>
      <c r="D87" s="258" t="s">
        <v>261</v>
      </c>
      <c r="E87" s="258">
        <v>0</v>
      </c>
      <c r="F87" s="258">
        <v>0</v>
      </c>
      <c r="G87" s="196" t="e">
        <f t="shared" si="6"/>
        <v>#DIV/0!</v>
      </c>
      <c r="R87" t="str">
        <f t="shared" si="7"/>
        <v>Provision US Equity Options USD_</v>
      </c>
      <c r="S87">
        <f t="shared" si="8"/>
        <v>0</v>
      </c>
      <c r="T87" s="197">
        <f>IF(R87="","",IF(LEN(R87)&gt;9,SUMIFS(Options!$AZ$3:$AZ$28,Options!$B$3:$B$28,'Check result'!R87),SUMIFS('Master P&amp;L'!$AE$11:$AE$101,'Master P&amp;L'!$B$11:$B$101,'Check result'!R87)))</f>
        <v>0</v>
      </c>
      <c r="U87" s="197">
        <f t="shared" si="9"/>
        <v>0</v>
      </c>
      <c r="V87" s="196">
        <f t="shared" si="10"/>
        <v>0</v>
      </c>
      <c r="W87" t="e">
        <f t="shared" si="11"/>
        <v>#DIV/0!</v>
      </c>
    </row>
    <row r="88" spans="1:23">
      <c r="A88" s="257">
        <v>45840</v>
      </c>
      <c r="B88" s="258" t="s">
        <v>208</v>
      </c>
      <c r="C88" s="258" t="s">
        <v>243</v>
      </c>
      <c r="D88" s="258" t="s">
        <v>506</v>
      </c>
      <c r="E88" s="258">
        <v>0</v>
      </c>
      <c r="F88" s="258">
        <v>0</v>
      </c>
      <c r="G88" s="196" t="e">
        <f t="shared" si="6"/>
        <v>#DIV/0!</v>
      </c>
      <c r="R88" t="str">
        <f t="shared" si="7"/>
        <v>Total Return Swap Payment USD_</v>
      </c>
      <c r="S88">
        <f t="shared" si="8"/>
        <v>0</v>
      </c>
      <c r="T88" s="197">
        <f>IF(R88="","",IF(LEN(R88)&gt;9,SUMIFS(Options!$AZ$3:$AZ$28,Options!$B$3:$B$28,'Check result'!R88),SUMIFS('Master P&amp;L'!$AE$11:$AE$101,'Master P&amp;L'!$B$11:$B$101,'Check result'!R88)))</f>
        <v>0</v>
      </c>
      <c r="U88" s="197">
        <f t="shared" si="9"/>
        <v>0</v>
      </c>
      <c r="V88" s="196">
        <f t="shared" si="10"/>
        <v>0</v>
      </c>
      <c r="W88" t="e">
        <f t="shared" si="11"/>
        <v>#DIV/0!</v>
      </c>
    </row>
    <row r="89" spans="1:23">
      <c r="A89" s="257">
        <v>45840</v>
      </c>
      <c r="B89" s="258" t="s">
        <v>208</v>
      </c>
      <c r="C89" s="258" t="s">
        <v>243</v>
      </c>
      <c r="D89" s="258" t="s">
        <v>262</v>
      </c>
      <c r="E89" s="258">
        <v>0</v>
      </c>
      <c r="F89" s="258">
        <v>0</v>
      </c>
      <c r="G89" s="196" t="e">
        <f t="shared" si="6"/>
        <v>#DIV/0!</v>
      </c>
      <c r="R89" t="str">
        <f>D89</f>
        <v>QQQ DIVIDEND_</v>
      </c>
      <c r="S89">
        <f t="shared" si="8"/>
        <v>0</v>
      </c>
      <c r="T89" s="197">
        <f>IF(R89="","",IF(LEN(R89)&gt;9,SUMIFS(Options!$AZ$3:$AZ$28,Options!$B$3:$B$28,'Check result'!R89),SUMIFS('Master P&amp;L'!$AE$11:$AE$101,'Master P&amp;L'!$B$11:$B$101,'Check result'!R89)))</f>
        <v>0</v>
      </c>
      <c r="U89" s="197">
        <f t="shared" si="9"/>
        <v>0</v>
      </c>
      <c r="V89" s="196">
        <f t="shared" si="10"/>
        <v>0</v>
      </c>
      <c r="W89" t="e">
        <f t="shared" si="11"/>
        <v>#DIV/0!</v>
      </c>
    </row>
    <row r="90" spans="1:23">
      <c r="A90" s="257">
        <v>45840</v>
      </c>
      <c r="B90" s="258" t="s">
        <v>208</v>
      </c>
      <c r="C90" s="258" t="s">
        <v>243</v>
      </c>
      <c r="D90" s="258" t="s">
        <v>446</v>
      </c>
      <c r="E90" s="258">
        <v>0</v>
      </c>
      <c r="F90" s="258">
        <v>0</v>
      </c>
      <c r="G90" s="196" t="e">
        <f t="shared" si="6"/>
        <v>#DIV/0!</v>
      </c>
      <c r="R90" t="str">
        <f t="shared" ref="R90:R112" si="12">D90</f>
        <v>CRM DIVIDEND_</v>
      </c>
      <c r="S90">
        <f t="shared" si="8"/>
        <v>0</v>
      </c>
      <c r="T90" s="197">
        <f>IF(R90="","",IF(LEN(R90)&gt;9,SUMIFS(Options!$AZ$3:$AZ$28,Options!$B$3:$B$28,'Check result'!R90),SUMIFS('Master P&amp;L'!$AE$11:$AE$101,'Master P&amp;L'!$B$11:$B$101,'Check result'!R90)))</f>
        <v>0</v>
      </c>
      <c r="U90" s="197">
        <f t="shared" si="9"/>
        <v>0</v>
      </c>
      <c r="V90" s="196">
        <f t="shared" si="10"/>
        <v>0</v>
      </c>
      <c r="W90" t="e">
        <f t="shared" si="11"/>
        <v>#DIV/0!</v>
      </c>
    </row>
    <row r="91" spans="1:23">
      <c r="A91" s="257">
        <v>45840</v>
      </c>
      <c r="B91" s="258" t="s">
        <v>208</v>
      </c>
      <c r="C91" s="258" t="s">
        <v>243</v>
      </c>
      <c r="D91" s="258" t="s">
        <v>232</v>
      </c>
      <c r="E91" s="258">
        <v>0</v>
      </c>
      <c r="F91" s="258">
        <v>0</v>
      </c>
      <c r="G91" s="196" t="e">
        <f t="shared" si="6"/>
        <v>#DIV/0!</v>
      </c>
      <c r="R91" t="str">
        <f t="shared" si="12"/>
        <v>Provision ETF USD_</v>
      </c>
      <c r="S91">
        <f t="shared" si="8"/>
        <v>0</v>
      </c>
      <c r="T91" s="197">
        <f>IF(R91="","",IF(LEN(R91)&gt;9,SUMIFS(Options!$AZ$3:$AZ$28,Options!$B$3:$B$28,'Check result'!R91),SUMIFS('Master P&amp;L'!$AE$11:$AE$101,'Master P&amp;L'!$B$11:$B$101,'Check result'!R91)))</f>
        <v>0</v>
      </c>
      <c r="U91" s="197">
        <f t="shared" si="9"/>
        <v>0</v>
      </c>
      <c r="V91" s="196">
        <f t="shared" si="10"/>
        <v>0</v>
      </c>
      <c r="W91" t="e">
        <f t="shared" si="11"/>
        <v>#DIV/0!</v>
      </c>
    </row>
    <row r="92" spans="1:23">
      <c r="A92" s="257">
        <v>45840</v>
      </c>
      <c r="B92" s="258" t="s">
        <v>208</v>
      </c>
      <c r="C92" s="258" t="s">
        <v>243</v>
      </c>
      <c r="D92" s="258" t="s">
        <v>233</v>
      </c>
      <c r="E92" s="258">
        <v>0</v>
      </c>
      <c r="F92" s="258">
        <v>0</v>
      </c>
      <c r="G92" s="196" t="e">
        <f t="shared" si="6"/>
        <v>#DIV/0!</v>
      </c>
      <c r="R92" t="str">
        <f t="shared" si="12"/>
        <v>Provision US Equity USD_</v>
      </c>
      <c r="S92">
        <f t="shared" si="8"/>
        <v>0</v>
      </c>
      <c r="T92" s="197">
        <f>IF(R92="","",IF(LEN(R92)&gt;9,SUMIFS(Options!$AZ$3:$AZ$28,Options!$B$3:$B$28,'Check result'!R92),SUMIFS('Master P&amp;L'!$AE$11:$AE$101,'Master P&amp;L'!$B$11:$B$101,'Check result'!R92)))</f>
        <v>0</v>
      </c>
      <c r="U92" s="197">
        <f t="shared" si="9"/>
        <v>0</v>
      </c>
      <c r="V92" s="196">
        <f t="shared" si="10"/>
        <v>0</v>
      </c>
      <c r="W92" t="e">
        <f t="shared" si="11"/>
        <v>#DIV/0!</v>
      </c>
    </row>
    <row r="93" spans="1:23">
      <c r="A93" s="257">
        <v>45840</v>
      </c>
      <c r="B93" s="258" t="s">
        <v>208</v>
      </c>
      <c r="C93" s="258" t="s">
        <v>243</v>
      </c>
      <c r="D93" s="258" t="s">
        <v>345</v>
      </c>
      <c r="E93" s="258">
        <v>0</v>
      </c>
      <c r="F93" s="258">
        <v>0</v>
      </c>
      <c r="G93" s="196" t="e">
        <f t="shared" si="6"/>
        <v>#DIV/0!</v>
      </c>
      <c r="R93" t="str">
        <f t="shared" si="12"/>
        <v>Provision NYSE USD_</v>
      </c>
      <c r="S93">
        <f t="shared" si="8"/>
        <v>0</v>
      </c>
      <c r="T93" s="197">
        <f>IF(R93="","",IF(LEN(R93)&gt;9,SUMIFS(Options!$AZ$3:$AZ$28,Options!$B$3:$B$28,'Check result'!R93),SUMIFS('Master P&amp;L'!$AE$11:$AE$101,'Master P&amp;L'!$B$11:$B$101,'Check result'!R93)))</f>
        <v>0</v>
      </c>
      <c r="U93" s="197">
        <f t="shared" si="9"/>
        <v>0</v>
      </c>
      <c r="V93" s="196">
        <f t="shared" si="10"/>
        <v>0</v>
      </c>
      <c r="W93" t="e">
        <f t="shared" si="11"/>
        <v>#DIV/0!</v>
      </c>
    </row>
    <row r="94" spans="1:23">
      <c r="A94" s="257">
        <v>45840</v>
      </c>
      <c r="B94" s="258" t="s">
        <v>208</v>
      </c>
      <c r="C94" s="258" t="s">
        <v>248</v>
      </c>
      <c r="D94" s="258" t="s">
        <v>469</v>
      </c>
      <c r="E94" s="258">
        <v>0</v>
      </c>
      <c r="F94" s="258">
        <v>0</v>
      </c>
      <c r="G94" s="196" t="e">
        <f t="shared" si="6"/>
        <v>#DIV/0!</v>
      </c>
      <c r="R94" t="str">
        <f t="shared" si="12"/>
        <v>XLF US 07/18/25 C53.5</v>
      </c>
      <c r="S94">
        <f t="shared" si="8"/>
        <v>0</v>
      </c>
      <c r="T94" s="197">
        <f>IF(R94="","",IF(LEN(R94)&gt;9,SUMIFS(Options!$AZ$3:$AZ$28,Options!$B$3:$B$28,'Check result'!R94),SUMIFS('Master P&amp;L'!$AE$11:$AE$101,'Master P&amp;L'!$B$11:$B$101,'Check result'!R94)))</f>
        <v>0</v>
      </c>
      <c r="U94" s="197">
        <f t="shared" si="9"/>
        <v>0</v>
      </c>
      <c r="V94" s="196">
        <f t="shared" si="10"/>
        <v>0</v>
      </c>
      <c r="W94" t="e">
        <f t="shared" si="11"/>
        <v>#DIV/0!</v>
      </c>
    </row>
    <row r="95" spans="1:23">
      <c r="A95" s="257">
        <v>45840</v>
      </c>
      <c r="B95" s="258" t="s">
        <v>208</v>
      </c>
      <c r="C95" s="258" t="s">
        <v>246</v>
      </c>
      <c r="D95" s="258" t="s">
        <v>226</v>
      </c>
      <c r="E95" s="258">
        <v>0</v>
      </c>
      <c r="F95" s="258">
        <v>0</v>
      </c>
      <c r="G95" s="196" t="e">
        <f t="shared" si="6"/>
        <v>#DIV/0!</v>
      </c>
      <c r="R95" t="str">
        <f t="shared" si="12"/>
        <v>Cash HKD</v>
      </c>
      <c r="S95">
        <f t="shared" si="8"/>
        <v>0</v>
      </c>
      <c r="T95" s="197">
        <f>IF(R95="","",IF(LEN(R95)&gt;9,SUMIFS(Options!$AZ$3:$AZ$28,Options!$B$3:$B$28,'Check result'!R95),SUMIFS('Master P&amp;L'!$AE$11:$AE$101,'Master P&amp;L'!$B$11:$B$101,'Check result'!R95)))</f>
        <v>0</v>
      </c>
      <c r="U95" s="197">
        <f t="shared" si="9"/>
        <v>0</v>
      </c>
      <c r="V95" s="196">
        <f t="shared" si="10"/>
        <v>0</v>
      </c>
      <c r="W95" t="e">
        <f t="shared" si="11"/>
        <v>#DIV/0!</v>
      </c>
    </row>
    <row r="96" spans="1:23">
      <c r="A96" s="257">
        <v>45840</v>
      </c>
      <c r="B96" s="258" t="s">
        <v>208</v>
      </c>
      <c r="C96" s="258" t="s">
        <v>246</v>
      </c>
      <c r="D96" s="258" t="s">
        <v>228</v>
      </c>
      <c r="E96" s="258">
        <v>0</v>
      </c>
      <c r="F96" s="258">
        <v>0</v>
      </c>
      <c r="G96" s="196" t="e">
        <f t="shared" si="6"/>
        <v>#DIV/0!</v>
      </c>
      <c r="R96" t="str">
        <f t="shared" si="12"/>
        <v>Cash USD</v>
      </c>
      <c r="S96">
        <f t="shared" si="8"/>
        <v>0</v>
      </c>
      <c r="T96" s="197">
        <f>IF(R96="","",IF(LEN(R96)&gt;9,SUMIFS(Options!$AZ$3:$AZ$28,Options!$B$3:$B$28,'Check result'!R96),SUMIFS('Master P&amp;L'!$AE$11:$AE$101,'Master P&amp;L'!$B$11:$B$101,'Check result'!R96)))</f>
        <v>0</v>
      </c>
      <c r="U96" s="197">
        <f t="shared" si="9"/>
        <v>0</v>
      </c>
      <c r="V96" s="196">
        <f t="shared" si="10"/>
        <v>0</v>
      </c>
      <c r="W96" t="e">
        <f t="shared" si="11"/>
        <v>#DIV/0!</v>
      </c>
    </row>
    <row r="97" spans="1:23">
      <c r="A97" s="257">
        <v>45840</v>
      </c>
      <c r="B97" s="258" t="s">
        <v>346</v>
      </c>
      <c r="C97" s="258" t="s">
        <v>347</v>
      </c>
      <c r="D97" s="258" t="s">
        <v>348</v>
      </c>
      <c r="E97" s="258">
        <v>0</v>
      </c>
      <c r="F97" s="258">
        <v>0</v>
      </c>
      <c r="G97" s="196" t="e">
        <f t="shared" si="6"/>
        <v>#DIV/0!</v>
      </c>
      <c r="R97" t="str">
        <f t="shared" si="12"/>
        <v>Exposure Transfer USD_</v>
      </c>
      <c r="S97">
        <f t="shared" si="8"/>
        <v>0</v>
      </c>
      <c r="T97" s="197">
        <f>IF(R97="","",IF(LEN(R97)&gt;9,SUMIFS(Options!$AZ$3:$AZ$28,Options!$B$3:$B$28,'Check result'!R97),SUMIFS('Master P&amp;L'!$AE$11:$AE$101,'Master P&amp;L'!$B$11:$B$101,'Check result'!R97)))</f>
        <v>0</v>
      </c>
      <c r="U97" s="197">
        <f t="shared" si="9"/>
        <v>0</v>
      </c>
      <c r="V97" s="196">
        <f t="shared" si="10"/>
        <v>0</v>
      </c>
      <c r="W97" t="e">
        <f t="shared" si="11"/>
        <v>#DIV/0!</v>
      </c>
    </row>
    <row r="98" spans="1:23">
      <c r="A98" s="257">
        <v>45840</v>
      </c>
      <c r="B98" s="258" t="s">
        <v>208</v>
      </c>
      <c r="C98" s="258" t="s">
        <v>246</v>
      </c>
      <c r="D98" s="258" t="s">
        <v>227</v>
      </c>
      <c r="E98" s="258">
        <v>0</v>
      </c>
      <c r="F98" s="258">
        <v>0</v>
      </c>
      <c r="G98" s="196" t="e">
        <f t="shared" si="6"/>
        <v>#DIV/0!</v>
      </c>
      <c r="R98" t="str">
        <f t="shared" si="12"/>
        <v>Cash KRW</v>
      </c>
      <c r="S98">
        <f t="shared" si="8"/>
        <v>0</v>
      </c>
      <c r="T98" s="197">
        <f>IF(R98="","",IF(LEN(R98)&gt;9,SUMIFS(Options!$AZ$3:$AZ$28,Options!$B$3:$B$28,'Check result'!R98),SUMIFS('Master P&amp;L'!$AE$11:$AE$101,'Master P&amp;L'!$B$11:$B$101,'Check result'!R98)))</f>
        <v>0</v>
      </c>
      <c r="U98" s="197">
        <f t="shared" si="9"/>
        <v>0</v>
      </c>
      <c r="V98" s="196">
        <f t="shared" si="10"/>
        <v>0</v>
      </c>
      <c r="W98" t="e">
        <f t="shared" si="11"/>
        <v>#DIV/0!</v>
      </c>
    </row>
    <row r="99" spans="1:23">
      <c r="A99" s="257">
        <v>45840</v>
      </c>
      <c r="B99" s="258" t="s">
        <v>208</v>
      </c>
      <c r="C99" s="258" t="s">
        <v>246</v>
      </c>
      <c r="D99" s="258" t="s">
        <v>223</v>
      </c>
      <c r="E99" s="258">
        <v>0</v>
      </c>
      <c r="F99" s="258">
        <v>0</v>
      </c>
      <c r="G99" s="196" t="e">
        <f t="shared" si="6"/>
        <v>#DIV/0!</v>
      </c>
      <c r="R99" t="str">
        <f t="shared" si="12"/>
        <v>Cash CNH</v>
      </c>
      <c r="S99">
        <f t="shared" si="8"/>
        <v>0</v>
      </c>
      <c r="T99" s="197">
        <f>IF(R99="","",IF(LEN(R99)&gt;9,SUMIFS(Options!$AZ$3:$AZ$28,Options!$B$3:$B$28,'Check result'!R99),SUMIFS('Master P&amp;L'!$AE$11:$AE$101,'Master P&amp;L'!$B$11:$B$101,'Check result'!R99)))</f>
        <v>0</v>
      </c>
      <c r="U99" s="197">
        <f t="shared" si="9"/>
        <v>0</v>
      </c>
      <c r="V99" s="196">
        <f t="shared" si="10"/>
        <v>0</v>
      </c>
      <c r="W99" t="e">
        <f t="shared" si="11"/>
        <v>#DIV/0!</v>
      </c>
    </row>
    <row r="100" spans="1:23">
      <c r="A100" s="257">
        <v>45840</v>
      </c>
      <c r="B100" s="258" t="s">
        <v>208</v>
      </c>
      <c r="C100" s="258" t="s">
        <v>246</v>
      </c>
      <c r="D100" s="258" t="s">
        <v>225</v>
      </c>
      <c r="E100" s="258">
        <v>0</v>
      </c>
      <c r="F100" s="258">
        <v>0</v>
      </c>
      <c r="G100" s="196" t="e">
        <f t="shared" si="6"/>
        <v>#DIV/0!</v>
      </c>
      <c r="R100" t="str">
        <f t="shared" si="12"/>
        <v>Cash GBP</v>
      </c>
      <c r="S100">
        <f t="shared" si="8"/>
        <v>0</v>
      </c>
      <c r="T100" s="197">
        <f>IF(R100="","",IF(LEN(R100)&gt;9,SUMIFS(Options!$AZ$3:$AZ$28,Options!$B$3:$B$28,'Check result'!R100),SUMIFS('Master P&amp;L'!$AE$11:$AE$101,'Master P&amp;L'!$B$11:$B$101,'Check result'!R100)))</f>
        <v>0</v>
      </c>
      <c r="U100" s="197">
        <f t="shared" si="9"/>
        <v>0</v>
      </c>
      <c r="V100" s="196">
        <f t="shared" si="10"/>
        <v>0</v>
      </c>
      <c r="W100" t="e">
        <f t="shared" si="11"/>
        <v>#DIV/0!</v>
      </c>
    </row>
    <row r="101" spans="1:23">
      <c r="A101" s="257">
        <v>45840</v>
      </c>
      <c r="B101" s="258" t="s">
        <v>208</v>
      </c>
      <c r="C101" s="258" t="s">
        <v>244</v>
      </c>
      <c r="D101" s="258" t="s">
        <v>491</v>
      </c>
      <c r="E101" s="258">
        <v>11</v>
      </c>
      <c r="F101" s="258">
        <v>0</v>
      </c>
      <c r="G101" s="196" t="e">
        <f t="shared" si="6"/>
        <v>#DIV/0!</v>
      </c>
      <c r="R101" t="str">
        <f t="shared" si="12"/>
        <v>MU US 07/03/25 C150</v>
      </c>
      <c r="S101">
        <f t="shared" si="8"/>
        <v>11</v>
      </c>
      <c r="T101" s="197">
        <f>IF(R101="","",IF(LEN(R101)&gt;9,SUMIFS(Options!$AZ$3:$AZ$28,Options!$B$3:$B$28,'Check result'!R101),SUMIFS('Master P&amp;L'!$AE$11:$AE$101,'Master P&amp;L'!$B$11:$B$101,'Check result'!R101)))</f>
        <v>0</v>
      </c>
      <c r="U101" s="197">
        <f t="shared" si="9"/>
        <v>0</v>
      </c>
      <c r="V101" s="196">
        <f t="shared" si="10"/>
        <v>11</v>
      </c>
      <c r="W101" t="e">
        <f t="shared" si="11"/>
        <v>#DIV/0!</v>
      </c>
    </row>
    <row r="102" spans="1:23">
      <c r="A102" s="257">
        <v>45840</v>
      </c>
      <c r="B102" s="258" t="s">
        <v>208</v>
      </c>
      <c r="C102" s="258" t="s">
        <v>244</v>
      </c>
      <c r="D102" s="258" t="s">
        <v>455</v>
      </c>
      <c r="E102" s="258">
        <v>160</v>
      </c>
      <c r="F102" s="258">
        <v>0</v>
      </c>
      <c r="G102" s="196" t="e">
        <f t="shared" si="6"/>
        <v>#DIV/0!</v>
      </c>
      <c r="R102" t="str">
        <f t="shared" si="12"/>
        <v>V US 07/11/25 P325</v>
      </c>
      <c r="S102">
        <f t="shared" si="8"/>
        <v>160</v>
      </c>
      <c r="T102" s="197">
        <f>IF(R102="","",IF(LEN(R102)&gt;9,SUMIFS(Options!$AZ$3:$AZ$28,Options!$B$3:$B$28,'Check result'!R102),SUMIFS('Master P&amp;L'!$AE$11:$AE$101,'Master P&amp;L'!$B$11:$B$101,'Check result'!R102)))</f>
        <v>0</v>
      </c>
      <c r="U102" s="197">
        <f t="shared" si="9"/>
        <v>0</v>
      </c>
      <c r="V102" s="196">
        <f t="shared" si="10"/>
        <v>160</v>
      </c>
      <c r="W102" t="e">
        <f t="shared" si="11"/>
        <v>#DIV/0!</v>
      </c>
    </row>
    <row r="103" spans="1:23">
      <c r="A103" s="257">
        <v>45840</v>
      </c>
      <c r="B103" s="258" t="s">
        <v>208</v>
      </c>
      <c r="C103" s="258" t="s">
        <v>246</v>
      </c>
      <c r="D103" s="258" t="s">
        <v>224</v>
      </c>
      <c r="E103" s="258">
        <v>462</v>
      </c>
      <c r="F103" s="258">
        <v>0</v>
      </c>
      <c r="G103" s="196" t="e">
        <f t="shared" si="6"/>
        <v>#DIV/0!</v>
      </c>
      <c r="R103" t="str">
        <f t="shared" si="12"/>
        <v>Cash EUR</v>
      </c>
      <c r="S103">
        <f t="shared" si="8"/>
        <v>462</v>
      </c>
      <c r="T103" s="197">
        <f>IF(R103="","",IF(LEN(R103)&gt;9,SUMIFS(Options!$AZ$3:$AZ$28,Options!$B$3:$B$28,'Check result'!R103),SUMIFS('Master P&amp;L'!$AE$11:$AE$101,'Master P&amp;L'!$B$11:$B$101,'Check result'!R103)))</f>
        <v>0</v>
      </c>
      <c r="U103" s="197">
        <f t="shared" si="9"/>
        <v>0</v>
      </c>
      <c r="V103" s="196">
        <f t="shared" si="10"/>
        <v>462</v>
      </c>
      <c r="W103" t="e">
        <f t="shared" si="11"/>
        <v>#DIV/0!</v>
      </c>
    </row>
    <row r="104" spans="1:23">
      <c r="A104" s="257">
        <v>45840</v>
      </c>
      <c r="B104" s="258" t="s">
        <v>208</v>
      </c>
      <c r="C104" s="258" t="s">
        <v>248</v>
      </c>
      <c r="D104" s="258" t="s">
        <v>461</v>
      </c>
      <c r="E104" s="258">
        <v>759</v>
      </c>
      <c r="F104" s="258">
        <v>0</v>
      </c>
      <c r="G104" s="196" t="e">
        <f t="shared" si="6"/>
        <v>#DIV/0!</v>
      </c>
      <c r="R104" t="str">
        <f t="shared" si="12"/>
        <v>QQQ US 07/03/25 P520</v>
      </c>
      <c r="S104">
        <f t="shared" si="8"/>
        <v>759</v>
      </c>
      <c r="T104" s="197">
        <f>IF(R104="","",IF(LEN(R104)&gt;9,SUMIFS(Options!$AZ$3:$AZ$28,Options!$B$3:$B$28,'Check result'!R104),SUMIFS('Master P&amp;L'!$AE$11:$AE$101,'Master P&amp;L'!$B$11:$B$101,'Check result'!R104)))</f>
        <v>0</v>
      </c>
      <c r="U104" s="197">
        <f t="shared" si="9"/>
        <v>0</v>
      </c>
      <c r="V104" s="196">
        <f t="shared" si="10"/>
        <v>759</v>
      </c>
      <c r="W104" t="e">
        <f t="shared" si="11"/>
        <v>#DIV/0!</v>
      </c>
    </row>
    <row r="105" spans="1:23">
      <c r="A105" s="257">
        <v>45840</v>
      </c>
      <c r="B105" s="258" t="s">
        <v>208</v>
      </c>
      <c r="C105" s="258" t="s">
        <v>242</v>
      </c>
      <c r="D105" s="258" t="s">
        <v>77</v>
      </c>
      <c r="E105" s="258">
        <v>787</v>
      </c>
      <c r="F105" s="258">
        <v>0</v>
      </c>
      <c r="G105" s="196" t="e">
        <f t="shared" si="6"/>
        <v>#DIV/0!</v>
      </c>
      <c r="R105" t="str">
        <f t="shared" si="12"/>
        <v>ABNB</v>
      </c>
      <c r="S105">
        <f t="shared" si="8"/>
        <v>787</v>
      </c>
      <c r="T105" s="197">
        <f>IF(R105="","",IF(LEN(R105)&gt;9,SUMIFS(Options!$AZ$3:$AZ$28,Options!$B$3:$B$28,'Check result'!R105),SUMIFS('Master P&amp;L'!$AE$11:$AE$101,'Master P&amp;L'!$B$11:$B$101,'Check result'!R105)))</f>
        <v>0</v>
      </c>
      <c r="U105" s="197">
        <f t="shared" si="9"/>
        <v>0</v>
      </c>
      <c r="V105" s="196">
        <f t="shared" si="10"/>
        <v>787</v>
      </c>
      <c r="W105" t="e">
        <f t="shared" si="11"/>
        <v>#DIV/0!</v>
      </c>
    </row>
    <row r="106" spans="1:23">
      <c r="A106" s="257">
        <v>45840</v>
      </c>
      <c r="B106" s="258" t="s">
        <v>208</v>
      </c>
      <c r="C106" s="258" t="s">
        <v>244</v>
      </c>
      <c r="D106" s="258" t="s">
        <v>479</v>
      </c>
      <c r="E106" s="259">
        <v>1513</v>
      </c>
      <c r="F106" s="258">
        <v>0</v>
      </c>
      <c r="G106" s="196" t="e">
        <f t="shared" si="6"/>
        <v>#DIV/0!</v>
      </c>
      <c r="R106" t="str">
        <f t="shared" si="12"/>
        <v>MA US 07/18/25 P520</v>
      </c>
      <c r="S106">
        <f t="shared" si="8"/>
        <v>1513</v>
      </c>
      <c r="T106" s="197">
        <f>IF(R106="","",IF(LEN(R106)&gt;9,SUMIFS(Options!$AZ$3:$AZ$28,Options!$B$3:$B$28,'Check result'!R106),SUMIFS('Master P&amp;L'!$AE$11:$AE$101,'Master P&amp;L'!$B$11:$B$101,'Check result'!R106)))</f>
        <v>0</v>
      </c>
      <c r="U106" s="197">
        <f t="shared" si="9"/>
        <v>0</v>
      </c>
      <c r="V106" s="196">
        <f t="shared" si="10"/>
        <v>1513</v>
      </c>
      <c r="W106" t="e">
        <f t="shared" si="11"/>
        <v>#DIV/0!</v>
      </c>
    </row>
    <row r="107" spans="1:23">
      <c r="A107" s="257">
        <v>45840</v>
      </c>
      <c r="B107" s="258" t="s">
        <v>208</v>
      </c>
      <c r="C107" s="258" t="s">
        <v>242</v>
      </c>
      <c r="D107" s="258" t="s">
        <v>31</v>
      </c>
      <c r="E107" s="259">
        <v>1726</v>
      </c>
      <c r="F107" s="258">
        <v>0</v>
      </c>
      <c r="G107" s="196" t="e">
        <f t="shared" si="6"/>
        <v>#DIV/0!</v>
      </c>
      <c r="R107" t="str">
        <f t="shared" si="12"/>
        <v>UBER</v>
      </c>
      <c r="S107">
        <f t="shared" si="8"/>
        <v>1726</v>
      </c>
      <c r="T107" s="197">
        <f>IF(R107="","",IF(LEN(R107)&gt;9,SUMIFS(Options!$AZ$3:$AZ$28,Options!$B$3:$B$28,'Check result'!R107),SUMIFS('Master P&amp;L'!$AE$11:$AE$101,'Master P&amp;L'!$B$11:$B$101,'Check result'!R107)))</f>
        <v>0</v>
      </c>
      <c r="U107" s="197">
        <f t="shared" si="9"/>
        <v>0</v>
      </c>
      <c r="V107" s="196">
        <f t="shared" si="10"/>
        <v>1726</v>
      </c>
      <c r="W107" t="e">
        <f t="shared" si="11"/>
        <v>#DIV/0!</v>
      </c>
    </row>
    <row r="108" spans="1:23">
      <c r="A108" s="257">
        <v>45840</v>
      </c>
      <c r="B108" s="258" t="s">
        <v>208</v>
      </c>
      <c r="C108" s="258" t="s">
        <v>248</v>
      </c>
      <c r="D108" s="258" t="s">
        <v>403</v>
      </c>
      <c r="E108" s="259">
        <v>2508</v>
      </c>
      <c r="F108" s="258">
        <v>0</v>
      </c>
      <c r="G108" s="196" t="e">
        <f t="shared" si="6"/>
        <v>#DIV/0!</v>
      </c>
      <c r="R108" t="str">
        <f t="shared" si="12"/>
        <v>XLF US 07/18/25 P50</v>
      </c>
      <c r="S108">
        <f t="shared" si="8"/>
        <v>2508</v>
      </c>
      <c r="T108" s="197">
        <f>IF(R108="","",IF(LEN(R108)&gt;9,SUMIFS(Options!$AZ$3:$AZ$28,Options!$B$3:$B$28,'Check result'!R108),SUMIFS('Master P&amp;L'!$AE$11:$AE$101,'Master P&amp;L'!$B$11:$B$101,'Check result'!R108)))</f>
        <v>0</v>
      </c>
      <c r="U108" s="197">
        <f t="shared" si="9"/>
        <v>0</v>
      </c>
      <c r="V108" s="196">
        <f t="shared" si="10"/>
        <v>2508</v>
      </c>
      <c r="W108" t="e">
        <f t="shared" si="11"/>
        <v>#DIV/0!</v>
      </c>
    </row>
    <row r="109" spans="1:23">
      <c r="A109" s="257">
        <v>45840</v>
      </c>
      <c r="B109" s="258" t="s">
        <v>208</v>
      </c>
      <c r="C109" s="258" t="s">
        <v>244</v>
      </c>
      <c r="D109" s="258" t="s">
        <v>368</v>
      </c>
      <c r="E109" s="259">
        <v>2521</v>
      </c>
      <c r="F109" s="258">
        <v>0</v>
      </c>
      <c r="G109" s="196" t="e">
        <f t="shared" si="6"/>
        <v>#DIV/0!</v>
      </c>
      <c r="R109" t="str">
        <f t="shared" si="12"/>
        <v>UBER US 07/18/25 C105</v>
      </c>
      <c r="S109">
        <f t="shared" si="8"/>
        <v>2521</v>
      </c>
      <c r="T109" s="197">
        <f>IF(R109="","",IF(LEN(R109)&gt;9,SUMIFS(Options!$AZ$3:$AZ$28,Options!$B$3:$B$28,'Check result'!R109),SUMIFS('Master P&amp;L'!$AE$11:$AE$101,'Master P&amp;L'!$B$11:$B$101,'Check result'!R109)))</f>
        <v>0</v>
      </c>
      <c r="U109" s="197">
        <f t="shared" si="9"/>
        <v>0</v>
      </c>
      <c r="V109" s="196">
        <f t="shared" si="10"/>
        <v>2521</v>
      </c>
      <c r="W109" t="e">
        <f t="shared" si="11"/>
        <v>#DIV/0!</v>
      </c>
    </row>
    <row r="110" spans="1:23">
      <c r="A110" s="257">
        <v>45840</v>
      </c>
      <c r="B110" s="258" t="s">
        <v>208</v>
      </c>
      <c r="C110" s="258" t="s">
        <v>248</v>
      </c>
      <c r="D110" s="258" t="s">
        <v>400</v>
      </c>
      <c r="E110" s="259">
        <v>2806</v>
      </c>
      <c r="F110" s="258">
        <v>0</v>
      </c>
      <c r="G110" s="196" t="e">
        <f t="shared" si="6"/>
        <v>#DIV/0!</v>
      </c>
      <c r="R110" t="str">
        <f t="shared" si="12"/>
        <v>SOXX US 07/18/25 P200</v>
      </c>
      <c r="S110">
        <f t="shared" si="8"/>
        <v>2806</v>
      </c>
      <c r="T110" s="197">
        <f>IF(R110="","",IF(LEN(R110)&gt;9,SUMIFS(Options!$AZ$3:$AZ$28,Options!$B$3:$B$28,'Check result'!R110),SUMIFS('Master P&amp;L'!$AE$11:$AE$101,'Master P&amp;L'!$B$11:$B$101,'Check result'!R110)))</f>
        <v>0</v>
      </c>
      <c r="U110" s="197">
        <f t="shared" si="9"/>
        <v>0</v>
      </c>
      <c r="V110" s="196">
        <f t="shared" si="10"/>
        <v>2806</v>
      </c>
      <c r="W110" t="e">
        <f t="shared" si="11"/>
        <v>#DIV/0!</v>
      </c>
    </row>
    <row r="111" spans="1:23">
      <c r="A111" s="257">
        <v>45840</v>
      </c>
      <c r="B111" s="258" t="s">
        <v>208</v>
      </c>
      <c r="C111" s="258" t="s">
        <v>244</v>
      </c>
      <c r="D111" s="258" t="s">
        <v>387</v>
      </c>
      <c r="E111" s="259">
        <v>4403</v>
      </c>
      <c r="F111" s="258">
        <v>0</v>
      </c>
      <c r="G111" s="196" t="e">
        <f t="shared" si="6"/>
        <v>#DIV/0!</v>
      </c>
      <c r="R111" t="str">
        <f t="shared" si="12"/>
        <v>NVDA US 07/18/25 P125</v>
      </c>
      <c r="S111">
        <f t="shared" si="8"/>
        <v>4403</v>
      </c>
      <c r="T111" s="197">
        <f>IF(R111="","",IF(LEN(R111)&gt;9,SUMIFS(Options!$AZ$3:$AZ$28,Options!$B$3:$B$28,'Check result'!R111),SUMIFS('Master P&amp;L'!$AE$11:$AE$101,'Master P&amp;L'!$B$11:$B$101,'Check result'!R111)))</f>
        <v>0</v>
      </c>
      <c r="U111" s="197">
        <f t="shared" si="9"/>
        <v>0</v>
      </c>
      <c r="V111" s="196">
        <f t="shared" si="10"/>
        <v>4403</v>
      </c>
      <c r="W111" t="e">
        <f t="shared" si="11"/>
        <v>#DIV/0!</v>
      </c>
    </row>
    <row r="112" spans="1:23">
      <c r="A112" s="257">
        <v>45840</v>
      </c>
      <c r="B112" s="258" t="s">
        <v>208</v>
      </c>
      <c r="C112" s="258" t="s">
        <v>244</v>
      </c>
      <c r="D112" s="258" t="s">
        <v>417</v>
      </c>
      <c r="E112" s="259">
        <v>7108</v>
      </c>
      <c r="F112" s="258">
        <v>0.01</v>
      </c>
      <c r="G112" s="196">
        <f t="shared" si="6"/>
        <v>7108000000</v>
      </c>
      <c r="R112" t="str">
        <f t="shared" si="12"/>
        <v>MSFT US 07/18/25 P445</v>
      </c>
      <c r="S112">
        <f t="shared" si="8"/>
        <v>7108</v>
      </c>
      <c r="T112" s="197">
        <f>IF(R112="","",IF(LEN(R112)&gt;9,SUMIFS(Options!$AZ$3:$AZ$28,Options!$B$3:$B$28,'Check result'!R112),SUMIFS('Master P&amp;L'!$AE$11:$AE$101,'Master P&amp;L'!$B$11:$B$101,'Check result'!R112)))</f>
        <v>0</v>
      </c>
      <c r="U112" s="197">
        <f t="shared" si="9"/>
        <v>0</v>
      </c>
      <c r="V112" s="196">
        <f t="shared" si="10"/>
        <v>7108</v>
      </c>
      <c r="W112">
        <f t="shared" si="11"/>
        <v>0.01</v>
      </c>
    </row>
    <row r="113" spans="1:23">
      <c r="A113" s="257">
        <v>45840</v>
      </c>
      <c r="B113" s="258" t="s">
        <v>208</v>
      </c>
      <c r="C113" s="258" t="s">
        <v>244</v>
      </c>
      <c r="D113" s="258" t="s">
        <v>462</v>
      </c>
      <c r="E113" s="259">
        <v>10288</v>
      </c>
      <c r="F113" s="258">
        <v>0.01</v>
      </c>
      <c r="G113" s="196">
        <f t="shared" si="6"/>
        <v>10288000000</v>
      </c>
      <c r="R113" t="str">
        <f t="shared" ref="R113:R165" si="13">D113</f>
        <v>MSFT US 08/15/25 P480</v>
      </c>
      <c r="S113">
        <f t="shared" ref="S113:S155" si="14">VLOOKUP(R113,$D$2:$F$156,2,FALSE)</f>
        <v>10288</v>
      </c>
      <c r="T113" s="197">
        <f>IF(R113="","",IF(LEN(R113)&gt;9,SUMIFS(Options!$AZ$3:$AZ$28,Options!$B$3:$B$28,'Check result'!R113),SUMIFS('Master P&amp;L'!$AE$11:$AE$101,'Master P&amp;L'!$B$11:$B$101,'Check result'!R113)))</f>
        <v>0</v>
      </c>
      <c r="U113" s="197">
        <f t="shared" ref="U113:U165" si="15">T113/2</f>
        <v>0</v>
      </c>
      <c r="V113" s="196">
        <f t="shared" ref="V113:V165" si="16">+S113-U113</f>
        <v>10288</v>
      </c>
      <c r="W113">
        <f t="shared" ref="W113:W165" si="17">+V113/G113*10000</f>
        <v>0.01</v>
      </c>
    </row>
    <row r="114" spans="1:23">
      <c r="A114" s="257">
        <v>45840</v>
      </c>
      <c r="B114" s="258" t="s">
        <v>208</v>
      </c>
      <c r="C114" s="258" t="s">
        <v>244</v>
      </c>
      <c r="D114" s="258" t="s">
        <v>390</v>
      </c>
      <c r="E114" s="259">
        <v>10410</v>
      </c>
      <c r="F114" s="258">
        <v>0.01</v>
      </c>
      <c r="G114" s="196">
        <f t="shared" si="6"/>
        <v>10410000000</v>
      </c>
      <c r="R114" t="str">
        <f t="shared" si="13"/>
        <v>MA US 07/18/25 P550</v>
      </c>
      <c r="S114">
        <f t="shared" si="14"/>
        <v>10410</v>
      </c>
      <c r="T114" s="197">
        <f>IF(R114="","",IF(LEN(R114)&gt;9,SUMIFS(Options!$AZ$3:$AZ$28,Options!$B$3:$B$28,'Check result'!R114),SUMIFS('Master P&amp;L'!$AE$11:$AE$101,'Master P&amp;L'!$B$11:$B$101,'Check result'!R114)))</f>
        <v>0</v>
      </c>
      <c r="U114" s="197">
        <f t="shared" si="15"/>
        <v>0</v>
      </c>
      <c r="V114" s="196">
        <f t="shared" si="16"/>
        <v>10410</v>
      </c>
      <c r="W114">
        <f t="shared" si="17"/>
        <v>0.01</v>
      </c>
    </row>
    <row r="115" spans="1:23">
      <c r="A115" s="257">
        <v>45840</v>
      </c>
      <c r="B115" s="258" t="s">
        <v>208</v>
      </c>
      <c r="C115" s="258" t="s">
        <v>248</v>
      </c>
      <c r="D115" s="258" t="s">
        <v>385</v>
      </c>
      <c r="E115" s="259">
        <v>11950</v>
      </c>
      <c r="F115" s="258">
        <v>0.01</v>
      </c>
      <c r="G115" s="196">
        <f t="shared" si="6"/>
        <v>11950000000</v>
      </c>
      <c r="R115" t="str">
        <f t="shared" si="13"/>
        <v>SMH US 07/18/25 P225</v>
      </c>
      <c r="S115">
        <f t="shared" si="14"/>
        <v>11950</v>
      </c>
      <c r="T115" s="197">
        <f>IF(R115="","",IF(LEN(R115)&gt;9,SUMIFS(Options!$AZ$3:$AZ$28,Options!$B$3:$B$28,'Check result'!R115),SUMIFS('Master P&amp;L'!$AE$11:$AE$101,'Master P&amp;L'!$B$11:$B$101,'Check result'!R115)))</f>
        <v>0</v>
      </c>
      <c r="U115" s="197">
        <f t="shared" si="15"/>
        <v>0</v>
      </c>
      <c r="V115" s="196">
        <f t="shared" si="16"/>
        <v>11950</v>
      </c>
      <c r="W115">
        <f t="shared" si="17"/>
        <v>0.01</v>
      </c>
    </row>
    <row r="116" spans="1:23">
      <c r="A116" s="257">
        <v>45840</v>
      </c>
      <c r="B116" s="258" t="s">
        <v>208</v>
      </c>
      <c r="C116" s="258" t="s">
        <v>244</v>
      </c>
      <c r="D116" s="258" t="s">
        <v>464</v>
      </c>
      <c r="E116" s="259">
        <v>13284</v>
      </c>
      <c r="F116" s="258">
        <v>0.01</v>
      </c>
      <c r="G116" s="196">
        <f t="shared" si="6"/>
        <v>13284000000</v>
      </c>
      <c r="R116" t="str">
        <f t="shared" si="13"/>
        <v>MSFT US 08/15/25 C515</v>
      </c>
      <c r="S116">
        <f t="shared" si="14"/>
        <v>13284</v>
      </c>
      <c r="T116" s="197">
        <f>IF(R116="","",IF(LEN(R116)&gt;9,SUMIFS(Options!$AZ$3:$AZ$28,Options!$B$3:$B$28,'Check result'!R116),SUMIFS('Master P&amp;L'!$AE$11:$AE$101,'Master P&amp;L'!$B$11:$B$101,'Check result'!R116)))</f>
        <v>0</v>
      </c>
      <c r="U116" s="197">
        <f t="shared" si="15"/>
        <v>0</v>
      </c>
      <c r="V116" s="196">
        <f t="shared" si="16"/>
        <v>13284</v>
      </c>
      <c r="W116">
        <f t="shared" si="17"/>
        <v>0.01</v>
      </c>
    </row>
    <row r="117" spans="1:23">
      <c r="A117" s="257">
        <v>45840</v>
      </c>
      <c r="B117" s="258" t="s">
        <v>208</v>
      </c>
      <c r="C117" s="258" t="s">
        <v>245</v>
      </c>
      <c r="D117" s="258" t="s">
        <v>43</v>
      </c>
      <c r="E117" s="259">
        <v>15275</v>
      </c>
      <c r="F117" s="258">
        <v>0.01</v>
      </c>
      <c r="G117" s="196">
        <f t="shared" si="6"/>
        <v>15275000000</v>
      </c>
      <c r="R117" t="str">
        <f t="shared" si="13"/>
        <v>SOXX</v>
      </c>
      <c r="S117">
        <f t="shared" si="14"/>
        <v>15275</v>
      </c>
      <c r="T117" s="197">
        <f>IF(R117="","",IF(LEN(R117)&gt;9,SUMIFS(Options!$AZ$3:$AZ$28,Options!$B$3:$B$28,'Check result'!R117),SUMIFS('Master P&amp;L'!$AE$11:$AE$101,'Master P&amp;L'!$B$11:$B$101,'Check result'!R117)))</f>
        <v>0</v>
      </c>
      <c r="U117" s="197">
        <f t="shared" si="15"/>
        <v>0</v>
      </c>
      <c r="V117" s="196">
        <f t="shared" si="16"/>
        <v>15275</v>
      </c>
      <c r="W117">
        <f t="shared" si="17"/>
        <v>0.01</v>
      </c>
    </row>
    <row r="118" spans="1:23">
      <c r="A118" s="257">
        <v>45840</v>
      </c>
      <c r="B118" s="258" t="s">
        <v>208</v>
      </c>
      <c r="C118" s="258" t="s">
        <v>244</v>
      </c>
      <c r="D118" s="258" t="s">
        <v>476</v>
      </c>
      <c r="E118" s="259">
        <v>15290</v>
      </c>
      <c r="F118" s="258">
        <v>0.01</v>
      </c>
      <c r="G118" s="196">
        <f t="shared" si="6"/>
        <v>15290000000</v>
      </c>
      <c r="R118" t="str">
        <f t="shared" si="13"/>
        <v>MSFT US 08/15/25 C520</v>
      </c>
      <c r="S118">
        <f t="shared" si="14"/>
        <v>15290</v>
      </c>
      <c r="T118" s="197">
        <f>IF(R118="","",IF(LEN(R118)&gt;9,SUMIFS(Options!$AZ$3:$AZ$28,Options!$B$3:$B$28,'Check result'!R118),SUMIFS('Master P&amp;L'!$AE$11:$AE$101,'Master P&amp;L'!$B$11:$B$101,'Check result'!R118)))</f>
        <v>0</v>
      </c>
      <c r="U118" s="197">
        <f t="shared" si="15"/>
        <v>0</v>
      </c>
      <c r="V118" s="196">
        <f t="shared" si="16"/>
        <v>15290</v>
      </c>
      <c r="W118">
        <f t="shared" si="17"/>
        <v>0.01</v>
      </c>
    </row>
    <row r="119" spans="1:23">
      <c r="A119" s="257">
        <v>45840</v>
      </c>
      <c r="B119" s="258" t="s">
        <v>208</v>
      </c>
      <c r="C119" s="258" t="s">
        <v>244</v>
      </c>
      <c r="D119" s="258" t="s">
        <v>418</v>
      </c>
      <c r="E119" s="259">
        <v>16211</v>
      </c>
      <c r="F119" s="258">
        <v>0.01</v>
      </c>
      <c r="G119" s="196">
        <f t="shared" si="6"/>
        <v>16211000000</v>
      </c>
      <c r="R119" t="str">
        <f t="shared" si="13"/>
        <v>META US 07/18/25 P685</v>
      </c>
      <c r="S119">
        <f t="shared" si="14"/>
        <v>16211</v>
      </c>
      <c r="T119" s="197">
        <f>IF(R119="","",IF(LEN(R119)&gt;9,SUMIFS(Options!$AZ$3:$AZ$28,Options!$B$3:$B$28,'Check result'!R119),SUMIFS('Master P&amp;L'!$AE$11:$AE$101,'Master P&amp;L'!$B$11:$B$101,'Check result'!R119)))</f>
        <v>0</v>
      </c>
      <c r="U119" s="197">
        <f t="shared" si="15"/>
        <v>0</v>
      </c>
      <c r="V119" s="196">
        <f t="shared" si="16"/>
        <v>16211</v>
      </c>
      <c r="W119">
        <f t="shared" si="17"/>
        <v>0.01</v>
      </c>
    </row>
    <row r="120" spans="1:23">
      <c r="A120" s="257">
        <v>45840</v>
      </c>
      <c r="B120" s="258" t="s">
        <v>208</v>
      </c>
      <c r="C120" s="258" t="s">
        <v>245</v>
      </c>
      <c r="D120" s="258" t="s">
        <v>425</v>
      </c>
      <c r="E120" s="259">
        <v>16359</v>
      </c>
      <c r="F120" s="258">
        <v>0.01</v>
      </c>
      <c r="G120" s="196">
        <f t="shared" si="6"/>
        <v>16359000000</v>
      </c>
      <c r="R120" t="str">
        <f t="shared" si="13"/>
        <v>EWY</v>
      </c>
      <c r="S120">
        <f t="shared" si="14"/>
        <v>16359</v>
      </c>
      <c r="T120" s="197">
        <f>IF(R120="","",IF(LEN(R120)&gt;9,SUMIFS(Options!$AZ$3:$AZ$28,Options!$B$3:$B$28,'Check result'!R120),SUMIFS('Master P&amp;L'!$AE$11:$AE$101,'Master P&amp;L'!$B$11:$B$101,'Check result'!R120)))</f>
        <v>0</v>
      </c>
      <c r="U120" s="197">
        <f t="shared" si="15"/>
        <v>0</v>
      </c>
      <c r="V120" s="196">
        <f t="shared" si="16"/>
        <v>16359</v>
      </c>
      <c r="W120">
        <f t="shared" si="17"/>
        <v>0.01</v>
      </c>
    </row>
    <row r="121" spans="1:23">
      <c r="A121" s="257">
        <v>45840</v>
      </c>
      <c r="B121" s="258" t="s">
        <v>208</v>
      </c>
      <c r="C121" s="258" t="s">
        <v>248</v>
      </c>
      <c r="D121" s="258" t="s">
        <v>493</v>
      </c>
      <c r="E121" s="259">
        <v>19031</v>
      </c>
      <c r="F121" s="258">
        <v>0.02</v>
      </c>
      <c r="G121" s="196">
        <f t="shared" si="6"/>
        <v>9515500000</v>
      </c>
      <c r="R121" t="str">
        <f t="shared" si="13"/>
        <v>EWT US 09/19/25 P53</v>
      </c>
      <c r="S121">
        <f t="shared" si="14"/>
        <v>19031</v>
      </c>
      <c r="T121" s="197">
        <f>IF(R121="","",IF(LEN(R121)&gt;9,SUMIFS(Options!$AZ$3:$AZ$28,Options!$B$3:$B$28,'Check result'!R121),SUMIFS('Master P&amp;L'!$AE$11:$AE$101,'Master P&amp;L'!$B$11:$B$101,'Check result'!R121)))</f>
        <v>0</v>
      </c>
      <c r="U121" s="197">
        <f t="shared" si="15"/>
        <v>0</v>
      </c>
      <c r="V121" s="196">
        <f t="shared" si="16"/>
        <v>19031</v>
      </c>
      <c r="W121">
        <f t="shared" si="17"/>
        <v>0.02</v>
      </c>
    </row>
    <row r="122" spans="1:23">
      <c r="A122" s="257">
        <v>45840</v>
      </c>
      <c r="B122" s="258" t="s">
        <v>208</v>
      </c>
      <c r="C122" s="258" t="s">
        <v>248</v>
      </c>
      <c r="D122" s="258" t="s">
        <v>457</v>
      </c>
      <c r="E122" s="259">
        <v>21895</v>
      </c>
      <c r="F122" s="258">
        <v>0.02</v>
      </c>
      <c r="G122" s="196">
        <f t="shared" si="6"/>
        <v>10947500000</v>
      </c>
      <c r="R122" t="str">
        <f t="shared" si="13"/>
        <v>EWT US 09/19/25 P50</v>
      </c>
      <c r="S122">
        <f t="shared" si="14"/>
        <v>21895</v>
      </c>
      <c r="T122" s="197">
        <f>IF(R122="","",IF(LEN(R122)&gt;9,SUMIFS(Options!$AZ$3:$AZ$28,Options!$B$3:$B$28,'Check result'!R122),SUMIFS('Master P&amp;L'!$AE$11:$AE$101,'Master P&amp;L'!$B$11:$B$101,'Check result'!R122)))</f>
        <v>0</v>
      </c>
      <c r="U122" s="197">
        <f t="shared" si="15"/>
        <v>0</v>
      </c>
      <c r="V122" s="196">
        <f t="shared" si="16"/>
        <v>21895</v>
      </c>
      <c r="W122">
        <f t="shared" si="17"/>
        <v>0.02</v>
      </c>
    </row>
    <row r="123" spans="1:23">
      <c r="A123" s="257">
        <v>45840</v>
      </c>
      <c r="B123" s="258" t="s">
        <v>208</v>
      </c>
      <c r="C123" s="258" t="s">
        <v>242</v>
      </c>
      <c r="D123" s="258" t="s">
        <v>317</v>
      </c>
      <c r="E123" s="259">
        <v>22327</v>
      </c>
      <c r="F123" s="258">
        <v>0.02</v>
      </c>
      <c r="G123" s="196">
        <f t="shared" si="6"/>
        <v>11163500000</v>
      </c>
      <c r="R123" t="str">
        <f t="shared" si="13"/>
        <v>ACN</v>
      </c>
      <c r="S123">
        <f t="shared" si="14"/>
        <v>22327</v>
      </c>
      <c r="T123" s="197">
        <f>IF(R123="","",IF(LEN(R123)&gt;9,SUMIFS(Options!$AZ$3:$AZ$28,Options!$B$3:$B$28,'Check result'!R123),SUMIFS('Master P&amp;L'!$AE$11:$AE$101,'Master P&amp;L'!$B$11:$B$101,'Check result'!R123)))</f>
        <v>0</v>
      </c>
      <c r="U123" s="197">
        <f t="shared" si="15"/>
        <v>0</v>
      </c>
      <c r="V123" s="196">
        <f t="shared" si="16"/>
        <v>22327</v>
      </c>
      <c r="W123">
        <f t="shared" si="17"/>
        <v>0.02</v>
      </c>
    </row>
    <row r="124" spans="1:23">
      <c r="A124" s="257">
        <v>45840</v>
      </c>
      <c r="B124" s="258" t="s">
        <v>208</v>
      </c>
      <c r="C124" s="258" t="s">
        <v>244</v>
      </c>
      <c r="D124" s="258" t="s">
        <v>477</v>
      </c>
      <c r="E124" s="259">
        <v>24209</v>
      </c>
      <c r="F124" s="258">
        <v>0.02</v>
      </c>
      <c r="G124" s="196">
        <f t="shared" si="6"/>
        <v>12104500000</v>
      </c>
      <c r="R124" t="str">
        <f t="shared" si="13"/>
        <v>MSFT US 08/15/25 P490</v>
      </c>
      <c r="S124">
        <f t="shared" si="14"/>
        <v>24209</v>
      </c>
      <c r="T124" s="197">
        <f>IF(R124="","",IF(LEN(R124)&gt;9,SUMIFS(Options!$AZ$3:$AZ$28,Options!$B$3:$B$28,'Check result'!R124),SUMIFS('Master P&amp;L'!$AE$11:$AE$101,'Master P&amp;L'!$B$11:$B$101,'Check result'!R124)))</f>
        <v>0</v>
      </c>
      <c r="U124" s="197">
        <f t="shared" si="15"/>
        <v>0</v>
      </c>
      <c r="V124" s="196">
        <f t="shared" si="16"/>
        <v>24209</v>
      </c>
      <c r="W124">
        <f t="shared" si="17"/>
        <v>0.02</v>
      </c>
    </row>
    <row r="125" spans="1:23">
      <c r="A125" s="257">
        <v>45840</v>
      </c>
      <c r="B125" s="258" t="s">
        <v>208</v>
      </c>
      <c r="C125" s="258" t="s">
        <v>242</v>
      </c>
      <c r="D125" s="258" t="s">
        <v>35</v>
      </c>
      <c r="E125" s="259">
        <v>25173</v>
      </c>
      <c r="F125" s="258">
        <v>0.02</v>
      </c>
      <c r="G125" s="196">
        <f t="shared" si="6"/>
        <v>12586500000</v>
      </c>
      <c r="R125" t="str">
        <f t="shared" si="13"/>
        <v>V</v>
      </c>
      <c r="S125">
        <f t="shared" si="14"/>
        <v>25173</v>
      </c>
      <c r="T125" s="197">
        <f>IF(R125="","",IF(LEN(R125)&gt;9,SUMIFS(Options!$AZ$3:$AZ$28,Options!$B$3:$B$28,'Check result'!R125),SUMIFS('Master P&amp;L'!$AE$11:$AE$101,'Master P&amp;L'!$B$11:$B$101,'Check result'!R125)))</f>
        <v>0</v>
      </c>
      <c r="U125" s="197">
        <f t="shared" si="15"/>
        <v>0</v>
      </c>
      <c r="V125" s="196">
        <f t="shared" si="16"/>
        <v>25173</v>
      </c>
      <c r="W125">
        <f t="shared" si="17"/>
        <v>0.02</v>
      </c>
    </row>
    <row r="126" spans="1:23">
      <c r="A126" s="257">
        <v>45840</v>
      </c>
      <c r="B126" s="258" t="s">
        <v>208</v>
      </c>
      <c r="C126" s="258" t="s">
        <v>242</v>
      </c>
      <c r="D126" s="258" t="s">
        <v>414</v>
      </c>
      <c r="E126" s="259">
        <v>28939</v>
      </c>
      <c r="F126" s="258">
        <v>0.03</v>
      </c>
      <c r="G126" s="196">
        <f t="shared" si="6"/>
        <v>9646333333.333334</v>
      </c>
      <c r="R126" t="str">
        <f t="shared" si="13"/>
        <v>CPNG</v>
      </c>
      <c r="S126">
        <f t="shared" si="14"/>
        <v>28939</v>
      </c>
      <c r="T126" s="197">
        <f>IF(R126="","",IF(LEN(R126)&gt;9,SUMIFS(Options!$AZ$3:$AZ$28,Options!$B$3:$B$28,'Check result'!R126),SUMIFS('Master P&amp;L'!$AE$11:$AE$101,'Master P&amp;L'!$B$11:$B$101,'Check result'!R126)))</f>
        <v>0</v>
      </c>
      <c r="U126" s="197">
        <f t="shared" si="15"/>
        <v>0</v>
      </c>
      <c r="V126" s="196">
        <f t="shared" si="16"/>
        <v>28939</v>
      </c>
      <c r="W126">
        <f t="shared" si="17"/>
        <v>2.9999999999999995E-2</v>
      </c>
    </row>
    <row r="127" spans="1:23">
      <c r="A127" s="257">
        <v>45840</v>
      </c>
      <c r="B127" s="258" t="s">
        <v>208</v>
      </c>
      <c r="C127" s="258" t="s">
        <v>245</v>
      </c>
      <c r="D127" s="258" t="s">
        <v>370</v>
      </c>
      <c r="E127" s="259">
        <v>29919</v>
      </c>
      <c r="F127" s="258">
        <v>0.03</v>
      </c>
      <c r="G127" s="196">
        <f t="shared" si="6"/>
        <v>9973000000</v>
      </c>
      <c r="R127" t="str">
        <f t="shared" si="13"/>
        <v>GLD</v>
      </c>
      <c r="S127">
        <f t="shared" si="14"/>
        <v>29919</v>
      </c>
      <c r="T127" s="197">
        <f>IF(R127="","",IF(LEN(R127)&gt;9,SUMIFS(Options!$AZ$3:$AZ$28,Options!$B$3:$B$28,'Check result'!R127),SUMIFS('Master P&amp;L'!$AE$11:$AE$101,'Master P&amp;L'!$B$11:$B$101,'Check result'!R127)))</f>
        <v>0</v>
      </c>
      <c r="U127" s="197">
        <f t="shared" si="15"/>
        <v>0</v>
      </c>
      <c r="V127" s="196">
        <f t="shared" si="16"/>
        <v>29919</v>
      </c>
      <c r="W127">
        <f t="shared" si="17"/>
        <v>3.0000000000000002E-2</v>
      </c>
    </row>
    <row r="128" spans="1:23">
      <c r="A128" s="257">
        <v>45840</v>
      </c>
      <c r="B128" s="258" t="s">
        <v>208</v>
      </c>
      <c r="C128" s="258" t="s">
        <v>248</v>
      </c>
      <c r="D128" s="258" t="s">
        <v>434</v>
      </c>
      <c r="E128" s="259">
        <v>31799</v>
      </c>
      <c r="F128" s="258">
        <v>0.03</v>
      </c>
      <c r="G128" s="196">
        <f t="shared" si="6"/>
        <v>10599666666.666668</v>
      </c>
      <c r="R128" t="str">
        <f t="shared" si="13"/>
        <v>GLD US 07/18/25 C315</v>
      </c>
      <c r="S128">
        <f t="shared" si="14"/>
        <v>31799</v>
      </c>
      <c r="T128" s="197">
        <f>IF(R128="","",IF(LEN(R128)&gt;9,SUMIFS(Options!$AZ$3:$AZ$28,Options!$B$3:$B$28,'Check result'!R128),SUMIFS('Master P&amp;L'!$AE$11:$AE$101,'Master P&amp;L'!$B$11:$B$101,'Check result'!R128)))</f>
        <v>0</v>
      </c>
      <c r="U128" s="197">
        <f t="shared" si="15"/>
        <v>0</v>
      </c>
      <c r="V128" s="196">
        <f t="shared" si="16"/>
        <v>31799</v>
      </c>
      <c r="W128">
        <f t="shared" si="17"/>
        <v>2.9999999999999995E-2</v>
      </c>
    </row>
    <row r="129" spans="1:23">
      <c r="A129" s="257">
        <v>45840</v>
      </c>
      <c r="B129" s="258" t="s">
        <v>208</v>
      </c>
      <c r="C129" s="258" t="s">
        <v>248</v>
      </c>
      <c r="D129" s="258" t="s">
        <v>488</v>
      </c>
      <c r="E129" s="259">
        <v>32144</v>
      </c>
      <c r="F129" s="258">
        <v>0.03</v>
      </c>
      <c r="G129" s="196">
        <f t="shared" si="6"/>
        <v>10714666666.666668</v>
      </c>
      <c r="R129" t="str">
        <f t="shared" si="13"/>
        <v>QQQ US 07/18/25 P530</v>
      </c>
      <c r="S129">
        <f t="shared" si="14"/>
        <v>32144</v>
      </c>
      <c r="T129" s="197">
        <f>IF(R129="","",IF(LEN(R129)&gt;9,SUMIFS(Options!$AZ$3:$AZ$28,Options!$B$3:$B$28,'Check result'!R129),SUMIFS('Master P&amp;L'!$AE$11:$AE$101,'Master P&amp;L'!$B$11:$B$101,'Check result'!R129)))</f>
        <v>0</v>
      </c>
      <c r="U129" s="197">
        <f t="shared" si="15"/>
        <v>0</v>
      </c>
      <c r="V129" s="196">
        <f t="shared" si="16"/>
        <v>32144</v>
      </c>
      <c r="W129">
        <f t="shared" si="17"/>
        <v>2.9999999999999995E-2</v>
      </c>
    </row>
    <row r="130" spans="1:23">
      <c r="A130" s="257">
        <v>45840</v>
      </c>
      <c r="B130" s="258" t="s">
        <v>208</v>
      </c>
      <c r="C130" s="258" t="s">
        <v>248</v>
      </c>
      <c r="D130" s="258" t="s">
        <v>450</v>
      </c>
      <c r="E130" s="259">
        <v>32258</v>
      </c>
      <c r="F130" s="258">
        <v>0.03</v>
      </c>
      <c r="G130" s="196">
        <f t="shared" si="6"/>
        <v>10752666666.666668</v>
      </c>
      <c r="R130" t="str">
        <f t="shared" si="13"/>
        <v>QQQ US 07/18/25 P515</v>
      </c>
      <c r="S130">
        <f t="shared" si="14"/>
        <v>32258</v>
      </c>
      <c r="T130" s="197">
        <f>IF(R130="","",IF(LEN(R130)&gt;9,SUMIFS(Options!$AZ$3:$AZ$28,Options!$B$3:$B$28,'Check result'!R130),SUMIFS('Master P&amp;L'!$AE$11:$AE$101,'Master P&amp;L'!$B$11:$B$101,'Check result'!R130)))</f>
        <v>0</v>
      </c>
      <c r="U130" s="197">
        <f t="shared" si="15"/>
        <v>0</v>
      </c>
      <c r="V130" s="196">
        <f t="shared" si="16"/>
        <v>32258</v>
      </c>
      <c r="W130">
        <f t="shared" si="17"/>
        <v>2.9999999999999995E-2</v>
      </c>
    </row>
    <row r="131" spans="1:23">
      <c r="A131" s="257">
        <v>45840</v>
      </c>
      <c r="B131" s="258" t="s">
        <v>208</v>
      </c>
      <c r="C131" s="258" t="s">
        <v>242</v>
      </c>
      <c r="D131" s="258" t="s">
        <v>33</v>
      </c>
      <c r="E131" s="259">
        <v>32799</v>
      </c>
      <c r="F131" s="258">
        <v>0.03</v>
      </c>
      <c r="G131" s="196">
        <f t="shared" ref="G131:G165" si="18">+E131/F131*10000</f>
        <v>10933000000</v>
      </c>
      <c r="R131" t="str">
        <f t="shared" si="13"/>
        <v>BRK/B</v>
      </c>
      <c r="S131">
        <f t="shared" si="14"/>
        <v>32799</v>
      </c>
      <c r="T131" s="197">
        <f>IF(R131="","",IF(LEN(R131)&gt;9,SUMIFS(Options!$AZ$3:$AZ$28,Options!$B$3:$B$28,'Check result'!R131),SUMIFS('Master P&amp;L'!$AE$11:$AE$101,'Master P&amp;L'!$B$11:$B$101,'Check result'!R131)))</f>
        <v>0</v>
      </c>
      <c r="U131" s="197">
        <f t="shared" si="15"/>
        <v>0</v>
      </c>
      <c r="V131" s="196">
        <f t="shared" si="16"/>
        <v>32799</v>
      </c>
      <c r="W131">
        <f t="shared" si="17"/>
        <v>3.0000000000000002E-2</v>
      </c>
    </row>
    <row r="132" spans="1:23">
      <c r="A132" s="257">
        <v>45840</v>
      </c>
      <c r="B132" s="258" t="s">
        <v>208</v>
      </c>
      <c r="C132" s="258" t="s">
        <v>244</v>
      </c>
      <c r="D132" s="258" t="s">
        <v>375</v>
      </c>
      <c r="E132" s="259">
        <v>34180</v>
      </c>
      <c r="F132" s="258">
        <v>0.03</v>
      </c>
      <c r="G132" s="196">
        <f t="shared" si="18"/>
        <v>11393333333.333334</v>
      </c>
      <c r="R132" t="str">
        <f t="shared" si="13"/>
        <v>UBER US 07/18/25 C100</v>
      </c>
      <c r="S132">
        <f t="shared" si="14"/>
        <v>34180</v>
      </c>
      <c r="T132" s="197">
        <f>IF(R132="","",IF(LEN(R132)&gt;9,SUMIFS(Options!$AZ$3:$AZ$28,Options!$B$3:$B$28,'Check result'!R132),SUMIFS('Master P&amp;L'!$AE$11:$AE$101,'Master P&amp;L'!$B$11:$B$101,'Check result'!R132)))</f>
        <v>0</v>
      </c>
      <c r="U132" s="197">
        <f t="shared" si="15"/>
        <v>0</v>
      </c>
      <c r="V132" s="196">
        <f t="shared" si="16"/>
        <v>34180</v>
      </c>
      <c r="W132">
        <f t="shared" si="17"/>
        <v>2.9999999999999995E-2</v>
      </c>
    </row>
    <row r="133" spans="1:23">
      <c r="A133" s="257">
        <v>45840</v>
      </c>
      <c r="B133" s="258" t="s">
        <v>208</v>
      </c>
      <c r="C133" s="258" t="s">
        <v>244</v>
      </c>
      <c r="D133" s="258" t="s">
        <v>467</v>
      </c>
      <c r="E133" s="259">
        <v>36549</v>
      </c>
      <c r="F133" s="258">
        <v>0.03</v>
      </c>
      <c r="G133" s="196">
        <f t="shared" si="18"/>
        <v>12183000000</v>
      </c>
      <c r="R133" t="str">
        <f t="shared" si="13"/>
        <v>MU US 07/18/25 C130</v>
      </c>
      <c r="S133">
        <f t="shared" si="14"/>
        <v>36549</v>
      </c>
      <c r="T133" s="197">
        <f>IF(R133="","",IF(LEN(R133)&gt;9,SUMIFS(Options!$AZ$3:$AZ$28,Options!$B$3:$B$28,'Check result'!R133),SUMIFS('Master P&amp;L'!$AE$11:$AE$101,'Master P&amp;L'!$B$11:$B$101,'Check result'!R133)))</f>
        <v>0</v>
      </c>
      <c r="U133" s="197">
        <f t="shared" si="15"/>
        <v>0</v>
      </c>
      <c r="V133" s="196">
        <f t="shared" si="16"/>
        <v>36549</v>
      </c>
      <c r="W133">
        <f t="shared" si="17"/>
        <v>3.0000000000000002E-2</v>
      </c>
    </row>
    <row r="134" spans="1:23">
      <c r="A134" s="257">
        <v>45840</v>
      </c>
      <c r="B134" s="258" t="s">
        <v>208</v>
      </c>
      <c r="C134" s="258" t="s">
        <v>8</v>
      </c>
      <c r="D134" s="258" t="s">
        <v>363</v>
      </c>
      <c r="E134" s="259">
        <v>42081</v>
      </c>
      <c r="F134" s="258">
        <v>0.04</v>
      </c>
      <c r="G134" s="196">
        <f t="shared" si="18"/>
        <v>10520250000</v>
      </c>
      <c r="R134" t="str">
        <f t="shared" si="13"/>
        <v>TEVA</v>
      </c>
      <c r="S134">
        <f t="shared" si="14"/>
        <v>42081</v>
      </c>
      <c r="T134" s="197">
        <f>IF(R134="","",IF(LEN(R134)&gt;9,SUMIFS(Options!$AZ$3:$AZ$28,Options!$B$3:$B$28,'Check result'!R134),SUMIFS('Master P&amp;L'!$AE$11:$AE$101,'Master P&amp;L'!$B$11:$B$101,'Check result'!R134)))</f>
        <v>0</v>
      </c>
      <c r="U134" s="197">
        <f t="shared" si="15"/>
        <v>0</v>
      </c>
      <c r="V134" s="196">
        <f t="shared" si="16"/>
        <v>42081</v>
      </c>
      <c r="W134">
        <f t="shared" si="17"/>
        <v>0.04</v>
      </c>
    </row>
    <row r="135" spans="1:23">
      <c r="A135" s="257">
        <v>45840</v>
      </c>
      <c r="B135" s="258" t="s">
        <v>208</v>
      </c>
      <c r="C135" s="258" t="s">
        <v>248</v>
      </c>
      <c r="D135" s="258" t="s">
        <v>485</v>
      </c>
      <c r="E135" s="259">
        <v>42819</v>
      </c>
      <c r="F135" s="258">
        <v>0.04</v>
      </c>
      <c r="G135" s="196">
        <f t="shared" si="18"/>
        <v>10704750000</v>
      </c>
      <c r="R135" t="str">
        <f t="shared" si="13"/>
        <v>SOXX US 07/18/25 P220</v>
      </c>
      <c r="S135">
        <f t="shared" si="14"/>
        <v>42819</v>
      </c>
      <c r="T135" s="197">
        <f>IF(R135="","",IF(LEN(R135)&gt;9,SUMIFS(Options!$AZ$3:$AZ$28,Options!$B$3:$B$28,'Check result'!R135),SUMIFS('Master P&amp;L'!$AE$11:$AE$101,'Master P&amp;L'!$B$11:$B$101,'Check result'!R135)))</f>
        <v>0</v>
      </c>
      <c r="U135" s="197">
        <f t="shared" si="15"/>
        <v>0</v>
      </c>
      <c r="V135" s="196">
        <f t="shared" si="16"/>
        <v>42819</v>
      </c>
      <c r="W135">
        <f t="shared" si="17"/>
        <v>0.04</v>
      </c>
    </row>
    <row r="136" spans="1:23">
      <c r="A136" s="257">
        <v>45840</v>
      </c>
      <c r="B136" s="258" t="s">
        <v>208</v>
      </c>
      <c r="C136" s="258" t="s">
        <v>242</v>
      </c>
      <c r="D136" s="258" t="s">
        <v>424</v>
      </c>
      <c r="E136" s="259">
        <v>45078</v>
      </c>
      <c r="F136" s="258">
        <v>0.04</v>
      </c>
      <c r="G136" s="196">
        <f t="shared" si="18"/>
        <v>11269500000</v>
      </c>
      <c r="R136" t="str">
        <f t="shared" si="13"/>
        <v>WDAY</v>
      </c>
      <c r="S136">
        <f t="shared" si="14"/>
        <v>45078</v>
      </c>
      <c r="T136" s="197">
        <f>IF(R136="","",IF(LEN(R136)&gt;9,SUMIFS(Options!$AZ$3:$AZ$28,Options!$B$3:$B$28,'Check result'!R136),SUMIFS('Master P&amp;L'!$AE$11:$AE$101,'Master P&amp;L'!$B$11:$B$101,'Check result'!R136)))</f>
        <v>0</v>
      </c>
      <c r="U136" s="197">
        <f t="shared" si="15"/>
        <v>0</v>
      </c>
      <c r="V136" s="196">
        <f t="shared" si="16"/>
        <v>45078</v>
      </c>
      <c r="W136">
        <f t="shared" si="17"/>
        <v>0.04</v>
      </c>
    </row>
    <row r="137" spans="1:23">
      <c r="A137" s="257">
        <v>45840</v>
      </c>
      <c r="B137" s="258" t="s">
        <v>208</v>
      </c>
      <c r="C137" s="258" t="s">
        <v>244</v>
      </c>
      <c r="D137" s="258" t="s">
        <v>440</v>
      </c>
      <c r="E137" s="259">
        <v>46113</v>
      </c>
      <c r="F137" s="258">
        <v>0.04</v>
      </c>
      <c r="G137" s="196">
        <f t="shared" si="18"/>
        <v>11528250000</v>
      </c>
      <c r="R137" t="str">
        <f t="shared" si="13"/>
        <v>MA US 07/18/25 C580</v>
      </c>
      <c r="S137">
        <f t="shared" si="14"/>
        <v>46113</v>
      </c>
      <c r="T137" s="197">
        <f>IF(R137="","",IF(LEN(R137)&gt;9,SUMIFS(Options!$AZ$3:$AZ$28,Options!$B$3:$B$28,'Check result'!R137),SUMIFS('Master P&amp;L'!$AE$11:$AE$101,'Master P&amp;L'!$B$11:$B$101,'Check result'!R137)))</f>
        <v>0</v>
      </c>
      <c r="U137" s="197">
        <f t="shared" si="15"/>
        <v>0</v>
      </c>
      <c r="V137" s="196">
        <f t="shared" si="16"/>
        <v>46113</v>
      </c>
      <c r="W137">
        <f t="shared" si="17"/>
        <v>0.04</v>
      </c>
    </row>
    <row r="138" spans="1:23">
      <c r="A138" s="257">
        <v>45840</v>
      </c>
      <c r="B138" s="258" t="s">
        <v>208</v>
      </c>
      <c r="C138" s="258" t="s">
        <v>244</v>
      </c>
      <c r="D138" s="258" t="s">
        <v>470</v>
      </c>
      <c r="E138" s="259">
        <v>46520</v>
      </c>
      <c r="F138" s="258">
        <v>0.04</v>
      </c>
      <c r="G138" s="196">
        <f t="shared" si="18"/>
        <v>11630000000</v>
      </c>
      <c r="R138" t="str">
        <f t="shared" si="13"/>
        <v>KKR US 07/18/25 C130</v>
      </c>
      <c r="S138">
        <f t="shared" si="14"/>
        <v>46520</v>
      </c>
      <c r="T138" s="197">
        <f>IF(R138="","",IF(LEN(R138)&gt;9,SUMIFS(Options!$AZ$3:$AZ$28,Options!$B$3:$B$28,'Check result'!R138),SUMIFS('Master P&amp;L'!$AE$11:$AE$101,'Master P&amp;L'!$B$11:$B$101,'Check result'!R138)))</f>
        <v>0</v>
      </c>
      <c r="U138" s="197">
        <f t="shared" si="15"/>
        <v>0</v>
      </c>
      <c r="V138" s="196">
        <f t="shared" si="16"/>
        <v>46520</v>
      </c>
      <c r="W138">
        <f t="shared" si="17"/>
        <v>0.04</v>
      </c>
    </row>
    <row r="139" spans="1:23">
      <c r="A139" s="257">
        <v>45840</v>
      </c>
      <c r="B139" s="258" t="s">
        <v>208</v>
      </c>
      <c r="C139" s="258" t="s">
        <v>248</v>
      </c>
      <c r="D139" s="258" t="s">
        <v>480</v>
      </c>
      <c r="E139" s="259">
        <v>51858</v>
      </c>
      <c r="F139" s="258">
        <v>0.05</v>
      </c>
      <c r="G139" s="196">
        <f t="shared" si="18"/>
        <v>10371600000</v>
      </c>
      <c r="R139" t="str">
        <f t="shared" si="13"/>
        <v>XLF US 07/11/25 P51</v>
      </c>
      <c r="S139">
        <f t="shared" si="14"/>
        <v>51858</v>
      </c>
      <c r="T139" s="197">
        <f>IF(R139="","",IF(LEN(R139)&gt;9,SUMIFS(Options!$AZ$3:$AZ$28,Options!$B$3:$B$28,'Check result'!R139),SUMIFS('Master P&amp;L'!$AE$11:$AE$101,'Master P&amp;L'!$B$11:$B$101,'Check result'!R139)))</f>
        <v>0</v>
      </c>
      <c r="U139" s="197">
        <f t="shared" si="15"/>
        <v>0</v>
      </c>
      <c r="V139" s="196">
        <f t="shared" si="16"/>
        <v>51858</v>
      </c>
      <c r="W139">
        <f t="shared" si="17"/>
        <v>0.05</v>
      </c>
    </row>
    <row r="140" spans="1:23">
      <c r="A140" s="257">
        <v>45840</v>
      </c>
      <c r="B140" s="258" t="s">
        <v>208</v>
      </c>
      <c r="C140" s="258" t="s">
        <v>244</v>
      </c>
      <c r="D140" s="258" t="s">
        <v>456</v>
      </c>
      <c r="E140" s="259">
        <v>51982</v>
      </c>
      <c r="F140" s="258">
        <v>0.05</v>
      </c>
      <c r="G140" s="196">
        <f t="shared" si="18"/>
        <v>10396400000</v>
      </c>
      <c r="R140" t="str">
        <f t="shared" si="13"/>
        <v>V US 07/11/25 C350</v>
      </c>
      <c r="S140">
        <f t="shared" si="14"/>
        <v>51982</v>
      </c>
      <c r="T140" s="197">
        <f>IF(R140="","",IF(LEN(R140)&gt;9,SUMIFS(Options!$AZ$3:$AZ$28,Options!$B$3:$B$28,'Check result'!R140),SUMIFS('Master P&amp;L'!$AE$11:$AE$101,'Master P&amp;L'!$B$11:$B$101,'Check result'!R140)))</f>
        <v>0</v>
      </c>
      <c r="U140" s="197">
        <f t="shared" si="15"/>
        <v>0</v>
      </c>
      <c r="V140" s="196">
        <f t="shared" si="16"/>
        <v>51982</v>
      </c>
      <c r="W140">
        <f t="shared" si="17"/>
        <v>0.05</v>
      </c>
    </row>
    <row r="141" spans="1:23">
      <c r="A141" s="257">
        <v>45840</v>
      </c>
      <c r="B141" s="258" t="s">
        <v>208</v>
      </c>
      <c r="C141" s="258" t="s">
        <v>248</v>
      </c>
      <c r="D141" s="258" t="s">
        <v>408</v>
      </c>
      <c r="E141" s="259">
        <v>54165</v>
      </c>
      <c r="F141" s="258">
        <v>0.05</v>
      </c>
      <c r="G141" s="196">
        <f t="shared" si="18"/>
        <v>10833000000</v>
      </c>
      <c r="R141" t="str">
        <f t="shared" si="13"/>
        <v>SPY US 07/18/25 P580</v>
      </c>
      <c r="S141">
        <f t="shared" si="14"/>
        <v>54165</v>
      </c>
      <c r="T141" s="197">
        <f>IF(R141="","",IF(LEN(R141)&gt;9,SUMIFS(Options!$AZ$3:$AZ$28,Options!$B$3:$B$28,'Check result'!R141),SUMIFS('Master P&amp;L'!$AE$11:$AE$101,'Master P&amp;L'!$B$11:$B$101,'Check result'!R141)))</f>
        <v>0</v>
      </c>
      <c r="U141" s="197">
        <f t="shared" si="15"/>
        <v>0</v>
      </c>
      <c r="V141" s="196">
        <f t="shared" si="16"/>
        <v>54165</v>
      </c>
      <c r="W141">
        <f t="shared" si="17"/>
        <v>0.05</v>
      </c>
    </row>
    <row r="142" spans="1:23">
      <c r="A142" s="257">
        <v>45840</v>
      </c>
      <c r="B142" s="258" t="s">
        <v>208</v>
      </c>
      <c r="C142" s="258" t="s">
        <v>242</v>
      </c>
      <c r="D142" s="258" t="s">
        <v>340</v>
      </c>
      <c r="E142" s="259">
        <v>55012</v>
      </c>
      <c r="F142" s="258">
        <v>0.05</v>
      </c>
      <c r="G142" s="196">
        <f t="shared" si="18"/>
        <v>11002400000</v>
      </c>
      <c r="R142" t="str">
        <f t="shared" si="13"/>
        <v>MU</v>
      </c>
      <c r="S142">
        <f t="shared" si="14"/>
        <v>55012</v>
      </c>
      <c r="T142" s="197">
        <f>IF(R142="","",IF(LEN(R142)&gt;9,SUMIFS(Options!$AZ$3:$AZ$28,Options!$B$3:$B$28,'Check result'!R142),SUMIFS('Master P&amp;L'!$AE$11:$AE$101,'Master P&amp;L'!$B$11:$B$101,'Check result'!R142)))</f>
        <v>0</v>
      </c>
      <c r="U142" s="197">
        <f t="shared" si="15"/>
        <v>0</v>
      </c>
      <c r="V142" s="196">
        <f t="shared" si="16"/>
        <v>55012</v>
      </c>
      <c r="W142">
        <f t="shared" si="17"/>
        <v>0.05</v>
      </c>
    </row>
    <row r="143" spans="1:23">
      <c r="A143" s="257">
        <v>45840</v>
      </c>
      <c r="B143" s="258" t="s">
        <v>208</v>
      </c>
      <c r="C143" s="258" t="s">
        <v>248</v>
      </c>
      <c r="D143" s="258" t="s">
        <v>184</v>
      </c>
      <c r="E143" s="259">
        <v>56117</v>
      </c>
      <c r="F143" s="258">
        <v>0.05</v>
      </c>
      <c r="G143" s="196">
        <f t="shared" si="18"/>
        <v>11223400000</v>
      </c>
      <c r="R143" t="str">
        <f t="shared" si="13"/>
        <v>GDX US 07/18/25 C50</v>
      </c>
      <c r="S143">
        <f t="shared" si="14"/>
        <v>56117</v>
      </c>
      <c r="T143" s="197">
        <f>IF(R143="","",IF(LEN(R143)&gt;9,SUMIFS(Options!$AZ$3:$AZ$28,Options!$B$3:$B$28,'Check result'!R143),SUMIFS('Master P&amp;L'!$AE$11:$AE$101,'Master P&amp;L'!$B$11:$B$101,'Check result'!R143)))</f>
        <v>0</v>
      </c>
      <c r="U143" s="197">
        <f t="shared" si="15"/>
        <v>0</v>
      </c>
      <c r="V143" s="196">
        <f t="shared" si="16"/>
        <v>56117</v>
      </c>
      <c r="W143">
        <f t="shared" si="17"/>
        <v>0.05</v>
      </c>
    </row>
    <row r="144" spans="1:23">
      <c r="A144" s="257">
        <v>45840</v>
      </c>
      <c r="B144" s="258" t="s">
        <v>208</v>
      </c>
      <c r="C144" s="258" t="s">
        <v>242</v>
      </c>
      <c r="D144" s="258" t="s">
        <v>445</v>
      </c>
      <c r="E144" s="259">
        <v>60666</v>
      </c>
      <c r="F144" s="258">
        <v>0.05</v>
      </c>
      <c r="G144" s="196">
        <f t="shared" si="18"/>
        <v>12133200000</v>
      </c>
      <c r="R144" t="str">
        <f t="shared" si="13"/>
        <v>ADBE</v>
      </c>
      <c r="S144">
        <f t="shared" si="14"/>
        <v>60666</v>
      </c>
      <c r="T144" s="197">
        <f>IF(R144="","",IF(LEN(R144)&gt;9,SUMIFS(Options!$AZ$3:$AZ$28,Options!$B$3:$B$28,'Check result'!R144),SUMIFS('Master P&amp;L'!$AE$11:$AE$101,'Master P&amp;L'!$B$11:$B$101,'Check result'!R144)))</f>
        <v>0</v>
      </c>
      <c r="U144" s="197">
        <f t="shared" si="15"/>
        <v>0</v>
      </c>
      <c r="V144" s="196">
        <f t="shared" si="16"/>
        <v>60666</v>
      </c>
      <c r="W144">
        <f t="shared" si="17"/>
        <v>0.05</v>
      </c>
    </row>
    <row r="145" spans="1:23">
      <c r="A145" s="257">
        <v>45840</v>
      </c>
      <c r="B145" s="258" t="s">
        <v>208</v>
      </c>
      <c r="C145" s="258" t="s">
        <v>244</v>
      </c>
      <c r="D145" s="258" t="s">
        <v>395</v>
      </c>
      <c r="E145" s="259">
        <v>65269</v>
      </c>
      <c r="F145" s="258">
        <v>0.06</v>
      </c>
      <c r="G145" s="196">
        <f t="shared" si="18"/>
        <v>10878166666.666668</v>
      </c>
      <c r="R145" t="str">
        <f t="shared" si="13"/>
        <v>NVDA US 07/18/25 P130</v>
      </c>
      <c r="S145">
        <f t="shared" si="14"/>
        <v>65269</v>
      </c>
      <c r="T145" s="197">
        <f>IF(R145="","",IF(LEN(R145)&gt;9,SUMIFS(Options!$AZ$3:$AZ$28,Options!$B$3:$B$28,'Check result'!R145),SUMIFS('Master P&amp;L'!$AE$11:$AE$101,'Master P&amp;L'!$B$11:$B$101,'Check result'!R145)))</f>
        <v>0</v>
      </c>
      <c r="U145" s="197">
        <f t="shared" si="15"/>
        <v>0</v>
      </c>
      <c r="V145" s="196">
        <f t="shared" si="16"/>
        <v>65269</v>
      </c>
      <c r="W145">
        <f t="shared" si="17"/>
        <v>5.9999999999999991E-2</v>
      </c>
    </row>
    <row r="146" spans="1:23">
      <c r="A146" s="257">
        <v>45840</v>
      </c>
      <c r="B146" s="258" t="s">
        <v>208</v>
      </c>
      <c r="C146" s="258" t="s">
        <v>242</v>
      </c>
      <c r="D146" s="258" t="s">
        <v>81</v>
      </c>
      <c r="E146" s="259">
        <v>77763</v>
      </c>
      <c r="F146" s="258">
        <v>7.0000000000000007E-2</v>
      </c>
      <c r="G146" s="196">
        <f t="shared" si="18"/>
        <v>11109000000</v>
      </c>
      <c r="R146" t="str">
        <f t="shared" si="13"/>
        <v>CRM</v>
      </c>
      <c r="S146">
        <f t="shared" si="14"/>
        <v>77763</v>
      </c>
      <c r="T146" s="197">
        <f>IF(R146="","",IF(LEN(R146)&gt;9,SUMIFS(Options!$AZ$3:$AZ$28,Options!$B$3:$B$28,'Check result'!R146),SUMIFS('Master P&amp;L'!$AE$11:$AE$101,'Master P&amp;L'!$B$11:$B$101,'Check result'!R146)))</f>
        <v>0</v>
      </c>
      <c r="U146" s="197">
        <f t="shared" si="15"/>
        <v>0</v>
      </c>
      <c r="V146" s="196">
        <f t="shared" si="16"/>
        <v>77763</v>
      </c>
      <c r="W146">
        <f t="shared" si="17"/>
        <v>6.9999999999999993E-2</v>
      </c>
    </row>
    <row r="147" spans="1:23">
      <c r="A147" s="257">
        <v>45840</v>
      </c>
      <c r="B147" s="258" t="s">
        <v>208</v>
      </c>
      <c r="C147" s="258" t="s">
        <v>248</v>
      </c>
      <c r="D147" s="258" t="s">
        <v>499</v>
      </c>
      <c r="E147" s="259">
        <v>79295</v>
      </c>
      <c r="F147" s="258">
        <v>7.0000000000000007E-2</v>
      </c>
      <c r="G147" s="196">
        <f t="shared" si="18"/>
        <v>11327857142.857141</v>
      </c>
      <c r="R147" t="str">
        <f t="shared" si="13"/>
        <v>EWY US 07/18/25 C72</v>
      </c>
      <c r="S147">
        <f t="shared" si="14"/>
        <v>79295</v>
      </c>
      <c r="T147" s="197">
        <f>IF(R147="","",IF(LEN(R147)&gt;9,SUMIFS(Options!$AZ$3:$AZ$28,Options!$B$3:$B$28,'Check result'!R147),SUMIFS('Master P&amp;L'!$AE$11:$AE$101,'Master P&amp;L'!$B$11:$B$101,'Check result'!R147)))</f>
        <v>0</v>
      </c>
      <c r="U147" s="197">
        <f t="shared" si="15"/>
        <v>0</v>
      </c>
      <c r="V147" s="196">
        <f t="shared" si="16"/>
        <v>79295</v>
      </c>
      <c r="W147">
        <f t="shared" si="17"/>
        <v>7.0000000000000007E-2</v>
      </c>
    </row>
    <row r="148" spans="1:23">
      <c r="A148" s="257">
        <v>45840</v>
      </c>
      <c r="B148" s="258" t="s">
        <v>208</v>
      </c>
      <c r="C148" s="258" t="s">
        <v>244</v>
      </c>
      <c r="D148" s="258" t="s">
        <v>393</v>
      </c>
      <c r="E148" s="259">
        <v>88851</v>
      </c>
      <c r="F148" s="258">
        <v>0.08</v>
      </c>
      <c r="G148" s="196">
        <f t="shared" si="18"/>
        <v>11106375000</v>
      </c>
      <c r="R148" t="str">
        <f t="shared" si="13"/>
        <v>META US 07/18/25 C750</v>
      </c>
      <c r="S148">
        <f t="shared" si="14"/>
        <v>88851</v>
      </c>
      <c r="T148" s="197">
        <f>IF(R148="","",IF(LEN(R148)&gt;9,SUMIFS(Options!$AZ$3:$AZ$28,Options!$B$3:$B$28,'Check result'!R148),SUMIFS('Master P&amp;L'!$AE$11:$AE$101,'Master P&amp;L'!$B$11:$B$101,'Check result'!R148)))</f>
        <v>0</v>
      </c>
      <c r="U148" s="197">
        <f t="shared" si="15"/>
        <v>0</v>
      </c>
      <c r="V148" s="196">
        <f t="shared" si="16"/>
        <v>88851</v>
      </c>
      <c r="W148">
        <f t="shared" si="17"/>
        <v>0.08</v>
      </c>
    </row>
    <row r="149" spans="1:23">
      <c r="A149" s="257">
        <v>45840</v>
      </c>
      <c r="B149" s="258" t="s">
        <v>208</v>
      </c>
      <c r="C149" s="258" t="s">
        <v>242</v>
      </c>
      <c r="D149" s="258" t="s">
        <v>79</v>
      </c>
      <c r="E149" s="259">
        <v>88980</v>
      </c>
      <c r="F149" s="258">
        <v>0.08</v>
      </c>
      <c r="G149" s="196">
        <f t="shared" si="18"/>
        <v>11122500000</v>
      </c>
      <c r="R149" t="str">
        <f t="shared" si="13"/>
        <v>NEM</v>
      </c>
      <c r="S149">
        <f t="shared" si="14"/>
        <v>88980</v>
      </c>
      <c r="T149" s="197">
        <f>IF(R149="","",IF(LEN(R149)&gt;9,SUMIFS(Options!$AZ$3:$AZ$28,Options!$B$3:$B$28,'Check result'!R149),SUMIFS('Master P&amp;L'!$AE$11:$AE$101,'Master P&amp;L'!$B$11:$B$101,'Check result'!R149)))</f>
        <v>0</v>
      </c>
      <c r="U149" s="197">
        <f t="shared" si="15"/>
        <v>0</v>
      </c>
      <c r="V149" s="196">
        <f t="shared" si="16"/>
        <v>88980</v>
      </c>
      <c r="W149">
        <f t="shared" si="17"/>
        <v>0.08</v>
      </c>
    </row>
    <row r="150" spans="1:23">
      <c r="A150" s="257">
        <v>45840</v>
      </c>
      <c r="B150" s="258" t="s">
        <v>208</v>
      </c>
      <c r="C150" s="258" t="s">
        <v>242</v>
      </c>
      <c r="D150" s="258" t="s">
        <v>80</v>
      </c>
      <c r="E150" s="259">
        <v>102710</v>
      </c>
      <c r="F150" s="258">
        <v>0.09</v>
      </c>
      <c r="G150" s="196">
        <f t="shared" si="18"/>
        <v>11412222222.222223</v>
      </c>
      <c r="R150" t="str">
        <f t="shared" si="13"/>
        <v>EXPE</v>
      </c>
      <c r="S150">
        <f t="shared" si="14"/>
        <v>102710</v>
      </c>
      <c r="T150" s="197">
        <f>IF(R150="","",IF(LEN(R150)&gt;9,SUMIFS(Options!$AZ$3:$AZ$28,Options!$B$3:$B$28,'Check result'!R150),SUMIFS('Master P&amp;L'!$AE$11:$AE$101,'Master P&amp;L'!$B$11:$B$101,'Check result'!R150)))</f>
        <v>0</v>
      </c>
      <c r="U150" s="197">
        <f t="shared" si="15"/>
        <v>0</v>
      </c>
      <c r="V150" s="196">
        <f t="shared" si="16"/>
        <v>102710</v>
      </c>
      <c r="W150">
        <f t="shared" si="17"/>
        <v>8.9999999999999983E-2</v>
      </c>
    </row>
    <row r="151" spans="1:23">
      <c r="A151" s="257">
        <v>45840</v>
      </c>
      <c r="B151" s="258" t="s">
        <v>208</v>
      </c>
      <c r="C151" s="258" t="s">
        <v>251</v>
      </c>
      <c r="D151" s="258" t="s">
        <v>364</v>
      </c>
      <c r="E151" s="259">
        <v>118528</v>
      </c>
      <c r="F151" s="258">
        <v>0.1</v>
      </c>
      <c r="G151" s="196">
        <f t="shared" si="18"/>
        <v>11852800000</v>
      </c>
      <c r="R151" t="str">
        <f t="shared" si="13"/>
        <v>TEVA US 07/18/25 C17</v>
      </c>
      <c r="S151">
        <f t="shared" si="14"/>
        <v>118528</v>
      </c>
      <c r="T151" s="197">
        <f>IF(R151="","",IF(LEN(R151)&gt;9,SUMIFS(Options!$AZ$3:$AZ$28,Options!$B$3:$B$28,'Check result'!R151),SUMIFS('Master P&amp;L'!$AE$11:$AE$101,'Master P&amp;L'!$B$11:$B$101,'Check result'!R151)))</f>
        <v>0</v>
      </c>
      <c r="U151" s="197">
        <f t="shared" si="15"/>
        <v>0</v>
      </c>
      <c r="V151" s="196">
        <f t="shared" si="16"/>
        <v>118528</v>
      </c>
      <c r="W151">
        <f t="shared" si="17"/>
        <v>0.1</v>
      </c>
    </row>
    <row r="152" spans="1:23">
      <c r="A152" s="257">
        <v>45840</v>
      </c>
      <c r="B152" s="258" t="s">
        <v>208</v>
      </c>
      <c r="C152" s="258" t="s">
        <v>248</v>
      </c>
      <c r="D152" s="258" t="s">
        <v>388</v>
      </c>
      <c r="E152" s="259">
        <v>120502</v>
      </c>
      <c r="F152" s="258">
        <v>0.11</v>
      </c>
      <c r="G152" s="196">
        <f t="shared" si="18"/>
        <v>10954727272.727272</v>
      </c>
      <c r="R152" t="str">
        <f t="shared" si="13"/>
        <v>GLD US 09/19/25 C315</v>
      </c>
      <c r="S152">
        <f t="shared" si="14"/>
        <v>120502</v>
      </c>
      <c r="T152" s="197">
        <f>IF(R152="","",IF(LEN(R152)&gt;9,SUMIFS(Options!$AZ$3:$AZ$28,Options!$B$3:$B$28,'Check result'!R152),SUMIFS('Master P&amp;L'!$AE$11:$AE$101,'Master P&amp;L'!$B$11:$B$101,'Check result'!R152)))</f>
        <v>0</v>
      </c>
      <c r="U152" s="197">
        <f t="shared" si="15"/>
        <v>0</v>
      </c>
      <c r="V152" s="196">
        <f t="shared" si="16"/>
        <v>120502</v>
      </c>
      <c r="W152">
        <f t="shared" si="17"/>
        <v>0.11000000000000001</v>
      </c>
    </row>
    <row r="153" spans="1:23">
      <c r="A153" s="257">
        <v>45840</v>
      </c>
      <c r="B153" s="258" t="s">
        <v>208</v>
      </c>
      <c r="C153" s="258" t="s">
        <v>244</v>
      </c>
      <c r="D153" s="258" t="s">
        <v>397</v>
      </c>
      <c r="E153" s="259">
        <v>123904</v>
      </c>
      <c r="F153" s="258">
        <v>0.11</v>
      </c>
      <c r="G153" s="196">
        <f t="shared" si="18"/>
        <v>11264000000</v>
      </c>
      <c r="R153" t="str">
        <f t="shared" si="13"/>
        <v>MSFT US 07/18/25 C495</v>
      </c>
      <c r="S153">
        <f t="shared" si="14"/>
        <v>123904</v>
      </c>
      <c r="T153" s="197">
        <f>IF(R153="","",IF(LEN(R153)&gt;9,SUMIFS(Options!$AZ$3:$AZ$28,Options!$B$3:$B$28,'Check result'!R153),SUMIFS('Master P&amp;L'!$AE$11:$AE$101,'Master P&amp;L'!$B$11:$B$101,'Check result'!R153)))</f>
        <v>0</v>
      </c>
      <c r="U153" s="197">
        <f t="shared" si="15"/>
        <v>0</v>
      </c>
      <c r="V153" s="196">
        <f t="shared" si="16"/>
        <v>123904</v>
      </c>
      <c r="W153">
        <f t="shared" si="17"/>
        <v>0.11</v>
      </c>
    </row>
    <row r="154" spans="1:23">
      <c r="A154" s="257">
        <v>45840</v>
      </c>
      <c r="B154" s="258" t="s">
        <v>208</v>
      </c>
      <c r="C154" s="258" t="s">
        <v>242</v>
      </c>
      <c r="D154" s="258" t="s">
        <v>41</v>
      </c>
      <c r="E154" s="259">
        <v>177084</v>
      </c>
      <c r="F154" s="258">
        <v>0.16</v>
      </c>
      <c r="G154" s="196">
        <f t="shared" si="18"/>
        <v>11067750000</v>
      </c>
      <c r="R154" t="str">
        <f t="shared" si="13"/>
        <v>MP</v>
      </c>
      <c r="S154">
        <f t="shared" si="14"/>
        <v>177084</v>
      </c>
      <c r="T154" s="197">
        <f>IF(R154="","",IF(LEN(R154)&gt;9,SUMIFS(Options!$AZ$3:$AZ$28,Options!$B$3:$B$28,'Check result'!R154),SUMIFS('Master P&amp;L'!$AE$11:$AE$101,'Master P&amp;L'!$B$11:$B$101,'Check result'!R154)))</f>
        <v>0</v>
      </c>
      <c r="U154" s="197">
        <f t="shared" si="15"/>
        <v>0</v>
      </c>
      <c r="V154" s="196">
        <f t="shared" si="16"/>
        <v>177084</v>
      </c>
      <c r="W154">
        <f t="shared" si="17"/>
        <v>0.16</v>
      </c>
    </row>
    <row r="155" spans="1:23">
      <c r="A155" s="257">
        <v>45840</v>
      </c>
      <c r="B155" s="258" t="s">
        <v>208</v>
      </c>
      <c r="C155" s="258" t="s">
        <v>242</v>
      </c>
      <c r="D155" s="258" t="s">
        <v>358</v>
      </c>
      <c r="E155" s="259">
        <v>199551</v>
      </c>
      <c r="F155" s="258">
        <v>0.18</v>
      </c>
      <c r="G155" s="196">
        <f t="shared" si="18"/>
        <v>11086166666.666668</v>
      </c>
      <c r="R155" t="str">
        <f t="shared" si="13"/>
        <v>COF</v>
      </c>
      <c r="S155">
        <f t="shared" si="14"/>
        <v>199551</v>
      </c>
      <c r="T155" s="197">
        <f>IF(R155="","",IF(LEN(R155)&gt;9,SUMIFS(Options!$AZ$3:$AZ$28,Options!$B$3:$B$28,'Check result'!R155),SUMIFS('Master P&amp;L'!$AE$11:$AE$101,'Master P&amp;L'!$B$11:$B$101,'Check result'!R155)))</f>
        <v>0</v>
      </c>
      <c r="U155" s="197">
        <f t="shared" si="15"/>
        <v>0</v>
      </c>
      <c r="V155" s="196">
        <f t="shared" si="16"/>
        <v>199551</v>
      </c>
      <c r="W155">
        <f t="shared" si="17"/>
        <v>0.17999999999999997</v>
      </c>
    </row>
    <row r="156" spans="1:23">
      <c r="A156" s="257">
        <v>45840</v>
      </c>
      <c r="B156" s="258" t="s">
        <v>208</v>
      </c>
      <c r="C156" s="258" t="s">
        <v>244</v>
      </c>
      <c r="D156" s="258" t="s">
        <v>502</v>
      </c>
      <c r="E156" s="259">
        <v>214992</v>
      </c>
      <c r="F156" s="258">
        <v>0.19</v>
      </c>
      <c r="G156" s="196">
        <f t="shared" si="18"/>
        <v>11315368421.052631</v>
      </c>
      <c r="R156" t="str">
        <f t="shared" si="13"/>
        <v>MU US 08/15/25 C125</v>
      </c>
      <c r="S156">
        <f>VLOOKUP(R156,$D$2:$F$165,2,FALSE)</f>
        <v>214992</v>
      </c>
      <c r="T156" s="197">
        <f>IF(R156="","",IF(LEN(R156)&gt;9,SUMIFS(Options!$AZ$3:$AZ$28,Options!$B$3:$B$28,'Check result'!R156),SUMIFS('Master P&amp;L'!$AE$11:$AE$101,'Master P&amp;L'!$B$11:$B$101,'Check result'!R156)))</f>
        <v>0</v>
      </c>
      <c r="U156" s="197">
        <f t="shared" si="15"/>
        <v>0</v>
      </c>
      <c r="V156" s="196">
        <f t="shared" si="16"/>
        <v>214992</v>
      </c>
      <c r="W156">
        <f t="shared" si="17"/>
        <v>0.19</v>
      </c>
    </row>
    <row r="157" spans="1:23">
      <c r="A157" s="257">
        <v>45840</v>
      </c>
      <c r="B157" s="258" t="s">
        <v>208</v>
      </c>
      <c r="C157" s="258" t="s">
        <v>244</v>
      </c>
      <c r="D157" s="258" t="s">
        <v>495</v>
      </c>
      <c r="E157" s="259">
        <v>265673</v>
      </c>
      <c r="F157" s="258">
        <v>0.23</v>
      </c>
      <c r="G157" s="196">
        <f t="shared" si="18"/>
        <v>11551000000</v>
      </c>
      <c r="R157" t="str">
        <f t="shared" si="13"/>
        <v>COIN US 07/18/25 C360</v>
      </c>
      <c r="S157">
        <f t="shared" ref="S157:S165" si="19">VLOOKUP(R157,$D$2:$F$165,2,FALSE)</f>
        <v>265673</v>
      </c>
      <c r="T157" s="197">
        <f>IF(R157="","",IF(LEN(R157)&gt;9,SUMIFS(Options!$AZ$3:$AZ$28,Options!$B$3:$B$28,'Check result'!R157),SUMIFS('Master P&amp;L'!$AE$11:$AE$101,'Master P&amp;L'!$B$11:$B$101,'Check result'!R157)))</f>
        <v>0</v>
      </c>
      <c r="U157" s="197">
        <f t="shared" si="15"/>
        <v>0</v>
      </c>
      <c r="V157" s="196">
        <f t="shared" si="16"/>
        <v>265673</v>
      </c>
      <c r="W157">
        <f t="shared" si="17"/>
        <v>0.23</v>
      </c>
    </row>
    <row r="158" spans="1:23">
      <c r="A158" s="257">
        <v>45840</v>
      </c>
      <c r="B158" s="258" t="s">
        <v>208</v>
      </c>
      <c r="C158" s="258" t="s">
        <v>251</v>
      </c>
      <c r="D158" s="258" t="s">
        <v>378</v>
      </c>
      <c r="E158" s="259">
        <v>272398</v>
      </c>
      <c r="F158" s="258">
        <v>0.24</v>
      </c>
      <c r="G158" s="196">
        <f t="shared" si="18"/>
        <v>11349916666.666668</v>
      </c>
      <c r="R158" t="str">
        <f t="shared" si="13"/>
        <v>TEVA US 07/18/25 C18</v>
      </c>
      <c r="S158">
        <f t="shared" si="19"/>
        <v>272398</v>
      </c>
      <c r="T158" s="197">
        <f>IF(R158="","",IF(LEN(R158)&gt;9,SUMIFS(Options!$AZ$3:$AZ$28,Options!$B$3:$B$28,'Check result'!R158),SUMIFS('Master P&amp;L'!$AE$11:$AE$101,'Master P&amp;L'!$B$11:$B$101,'Check result'!R158)))</f>
        <v>0</v>
      </c>
      <c r="U158" s="197">
        <f t="shared" si="15"/>
        <v>0</v>
      </c>
      <c r="V158" s="196">
        <f t="shared" si="16"/>
        <v>272398</v>
      </c>
      <c r="W158">
        <f t="shared" si="17"/>
        <v>0.23999999999999996</v>
      </c>
    </row>
    <row r="159" spans="1:23">
      <c r="A159" s="257">
        <v>45840</v>
      </c>
      <c r="B159" s="258" t="s">
        <v>208</v>
      </c>
      <c r="C159" s="258" t="s">
        <v>8</v>
      </c>
      <c r="D159" s="258" t="s">
        <v>355</v>
      </c>
      <c r="E159" s="259">
        <v>346269</v>
      </c>
      <c r="F159" s="258">
        <v>0.31</v>
      </c>
      <c r="G159" s="196">
        <f t="shared" si="18"/>
        <v>11169967741.935484</v>
      </c>
      <c r="R159" t="str">
        <f t="shared" si="13"/>
        <v>BP</v>
      </c>
      <c r="S159">
        <f t="shared" si="19"/>
        <v>346269</v>
      </c>
      <c r="T159" s="197">
        <f>IF(R159="","",IF(LEN(R159)&gt;9,SUMIFS(Options!$AZ$3:$AZ$28,Options!$B$3:$B$28,'Check result'!R159),SUMIFS('Master P&amp;L'!$AE$11:$AE$101,'Master P&amp;L'!$B$11:$B$101,'Check result'!R159)))</f>
        <v>0</v>
      </c>
      <c r="U159" s="197">
        <f t="shared" si="15"/>
        <v>0</v>
      </c>
      <c r="V159" s="196">
        <f t="shared" si="16"/>
        <v>346269</v>
      </c>
      <c r="W159">
        <f t="shared" si="17"/>
        <v>0.31</v>
      </c>
    </row>
    <row r="160" spans="1:23">
      <c r="A160" s="257">
        <v>45840</v>
      </c>
      <c r="B160" s="258" t="s">
        <v>208</v>
      </c>
      <c r="C160" s="258" t="s">
        <v>248</v>
      </c>
      <c r="D160" s="258" t="s">
        <v>382</v>
      </c>
      <c r="E160" s="259">
        <v>386622</v>
      </c>
      <c r="F160" s="258">
        <v>0.34</v>
      </c>
      <c r="G160" s="196">
        <f t="shared" si="18"/>
        <v>11371235294.117645</v>
      </c>
      <c r="R160" t="str">
        <f t="shared" si="13"/>
        <v>GDX US 09/19/25 C54</v>
      </c>
      <c r="S160">
        <f t="shared" si="19"/>
        <v>386622</v>
      </c>
      <c r="T160" s="197">
        <f>IF(R160="","",IF(LEN(R160)&gt;9,SUMIFS(Options!$AZ$3:$AZ$28,Options!$B$3:$B$28,'Check result'!R160),SUMIFS('Master P&amp;L'!$AE$11:$AE$101,'Master P&amp;L'!$B$11:$B$101,'Check result'!R160)))</f>
        <v>0</v>
      </c>
      <c r="U160" s="197">
        <f t="shared" si="15"/>
        <v>0</v>
      </c>
      <c r="V160" s="196">
        <f t="shared" si="16"/>
        <v>386622</v>
      </c>
      <c r="W160">
        <f t="shared" si="17"/>
        <v>0.34000000000000008</v>
      </c>
    </row>
    <row r="161" spans="1:23">
      <c r="A161" s="257">
        <v>45840</v>
      </c>
      <c r="B161" s="258" t="s">
        <v>208</v>
      </c>
      <c r="C161" s="258" t="s">
        <v>245</v>
      </c>
      <c r="D161" s="258" t="s">
        <v>6</v>
      </c>
      <c r="E161" s="259">
        <v>876541</v>
      </c>
      <c r="F161" s="258">
        <v>0.78</v>
      </c>
      <c r="G161" s="196">
        <f t="shared" si="18"/>
        <v>11237705128.205128</v>
      </c>
      <c r="R161" t="str">
        <f t="shared" si="13"/>
        <v>KBWB</v>
      </c>
      <c r="S161">
        <f t="shared" si="19"/>
        <v>876541</v>
      </c>
      <c r="T161" s="197">
        <f>IF(R161="","",IF(LEN(R161)&gt;9,SUMIFS(Options!$AZ$3:$AZ$28,Options!$B$3:$B$28,'Check result'!R161),SUMIFS('Master P&amp;L'!$AE$11:$AE$101,'Master P&amp;L'!$B$11:$B$101,'Check result'!R161)))</f>
        <v>0</v>
      </c>
      <c r="U161" s="197">
        <f t="shared" si="15"/>
        <v>0</v>
      </c>
      <c r="V161" s="196">
        <f t="shared" si="16"/>
        <v>876541</v>
      </c>
      <c r="W161">
        <f t="shared" si="17"/>
        <v>0.78</v>
      </c>
    </row>
    <row r="162" spans="1:23">
      <c r="A162" s="257">
        <v>45840</v>
      </c>
      <c r="B162" s="258" t="s">
        <v>208</v>
      </c>
      <c r="C162" s="258" t="s">
        <v>244</v>
      </c>
      <c r="D162" s="258" t="s">
        <v>473</v>
      </c>
      <c r="E162" s="259">
        <v>1063451</v>
      </c>
      <c r="F162" s="258">
        <v>0.94</v>
      </c>
      <c r="G162" s="196">
        <f t="shared" si="18"/>
        <v>11313308510.638298</v>
      </c>
      <c r="R162" t="str">
        <f t="shared" si="13"/>
        <v>HOOD US 07/18/25 C90</v>
      </c>
      <c r="S162">
        <f t="shared" si="19"/>
        <v>1063451</v>
      </c>
      <c r="T162" s="197">
        <f>IF(R162="","",IF(LEN(R162)&gt;9,SUMIFS(Options!$AZ$3:$AZ$28,Options!$B$3:$B$28,'Check result'!R162),SUMIFS('Master P&amp;L'!$AE$11:$AE$101,'Master P&amp;L'!$B$11:$B$101,'Check result'!R162)))</f>
        <v>0</v>
      </c>
      <c r="U162" s="197">
        <f t="shared" si="15"/>
        <v>0</v>
      </c>
      <c r="V162" s="196">
        <f t="shared" si="16"/>
        <v>1063451</v>
      </c>
      <c r="W162">
        <f t="shared" si="17"/>
        <v>0.94</v>
      </c>
    </row>
    <row r="163" spans="1:23">
      <c r="A163" s="257">
        <v>45840</v>
      </c>
      <c r="B163" s="258" t="s">
        <v>208</v>
      </c>
      <c r="C163" s="258" t="s">
        <v>251</v>
      </c>
      <c r="D163" s="258" t="s">
        <v>497</v>
      </c>
      <c r="E163" s="259">
        <v>1307030</v>
      </c>
      <c r="F163" s="258">
        <v>1.1599999999999999</v>
      </c>
      <c r="G163" s="196">
        <f t="shared" si="18"/>
        <v>11267500000</v>
      </c>
      <c r="R163" t="str">
        <f t="shared" si="13"/>
        <v>TSM US 07/18/25 C225</v>
      </c>
      <c r="S163">
        <f t="shared" si="19"/>
        <v>1307030</v>
      </c>
      <c r="T163" s="197">
        <f>IF(R163="","",IF(LEN(R163)&gt;9,SUMIFS(Options!$AZ$3:$AZ$28,Options!$B$3:$B$28,'Check result'!R163),SUMIFS('Master P&amp;L'!$AE$11:$AE$101,'Master P&amp;L'!$B$11:$B$101,'Check result'!R163)))</f>
        <v>0</v>
      </c>
      <c r="U163" s="197">
        <f t="shared" si="15"/>
        <v>0</v>
      </c>
      <c r="V163" s="196">
        <f t="shared" si="16"/>
        <v>1307030</v>
      </c>
      <c r="W163">
        <f t="shared" si="17"/>
        <v>1.1599999999999999</v>
      </c>
    </row>
    <row r="164" spans="1:23">
      <c r="A164" s="257">
        <v>45840</v>
      </c>
      <c r="B164" s="258" t="s">
        <v>208</v>
      </c>
      <c r="C164" s="258" t="s">
        <v>242</v>
      </c>
      <c r="D164" s="258" t="s">
        <v>42</v>
      </c>
      <c r="E164" s="259">
        <v>1945989</v>
      </c>
      <c r="F164" s="258">
        <v>1.72</v>
      </c>
      <c r="G164" s="196">
        <f t="shared" si="18"/>
        <v>11313889534.88372</v>
      </c>
      <c r="R164" t="str">
        <f t="shared" si="13"/>
        <v>NVDA</v>
      </c>
      <c r="S164">
        <f t="shared" si="19"/>
        <v>1945989</v>
      </c>
      <c r="T164" s="197">
        <f>IF(R164="","",IF(LEN(R164)&gt;9,SUMIFS(Options!$AZ$3:$AZ$28,Options!$B$3:$B$28,'Check result'!R164),SUMIFS('Master P&amp;L'!$AE$11:$AE$101,'Master P&amp;L'!$B$11:$B$101,'Check result'!R164)))</f>
        <v>0</v>
      </c>
      <c r="U164" s="197">
        <f t="shared" si="15"/>
        <v>0</v>
      </c>
      <c r="V164" s="196">
        <f t="shared" si="16"/>
        <v>1945989</v>
      </c>
      <c r="W164">
        <f t="shared" si="17"/>
        <v>1.72</v>
      </c>
    </row>
    <row r="165" spans="1:23">
      <c r="A165" s="257">
        <v>45840</v>
      </c>
      <c r="B165" s="258" t="s">
        <v>208</v>
      </c>
      <c r="C165" s="258" t="s">
        <v>251</v>
      </c>
      <c r="D165" s="258" t="s">
        <v>405</v>
      </c>
      <c r="E165" s="259">
        <v>2566077</v>
      </c>
      <c r="F165" s="258">
        <v>2.27</v>
      </c>
      <c r="G165" s="196">
        <f t="shared" si="18"/>
        <v>11304303964.75771</v>
      </c>
      <c r="R165" t="str">
        <f t="shared" si="13"/>
        <v>TSM US 10/17/25 C210</v>
      </c>
      <c r="S165">
        <f t="shared" si="19"/>
        <v>2566077</v>
      </c>
      <c r="T165" s="197">
        <f>IF(R165="","",IF(LEN(R165)&gt;9,SUMIFS(Options!$AZ$3:$AZ$28,Options!$B$3:$B$28,'Check result'!R165),SUMIFS('Master P&amp;L'!$AE$11:$AE$101,'Master P&amp;L'!$B$11:$B$101,'Check result'!R165)))</f>
        <v>0</v>
      </c>
      <c r="U165" s="197">
        <f t="shared" si="15"/>
        <v>0</v>
      </c>
      <c r="V165" s="196">
        <f t="shared" si="16"/>
        <v>2566077</v>
      </c>
      <c r="W165">
        <f t="shared" si="17"/>
        <v>2.27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4" name="Button 1">
              <controlPr defaultSize="0" print="0" autoFill="0" autoPict="0">
                <anchor moveWithCells="1" sizeWithCells="1">
                  <from>
                    <xdr:col>8</xdr:col>
                    <xdr:colOff>295275</xdr:colOff>
                    <xdr:row>1</xdr:row>
                    <xdr:rowOff>38100</xdr:rowOff>
                  </from>
                  <to>
                    <xdr:col>14</xdr:col>
                    <xdr:colOff>266700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A6914-26DE-474B-89BB-6512C7DC2FB2}">
  <sheetPr codeName="Sheet4"/>
  <dimension ref="A1:X192"/>
  <sheetViews>
    <sheetView topLeftCell="A68" workbookViewId="0">
      <selection activeCell="O91" sqref="O91"/>
    </sheetView>
  </sheetViews>
  <sheetFormatPr defaultRowHeight="15"/>
  <cols>
    <col min="2" max="2" width="27.28515625" bestFit="1" customWidth="1"/>
  </cols>
  <sheetData>
    <row r="1" spans="1:24">
      <c r="A1" s="530" t="s">
        <v>263</v>
      </c>
      <c r="B1" s="531" t="s">
        <v>578</v>
      </c>
      <c r="C1" s="532" t="s">
        <v>579</v>
      </c>
      <c r="D1" s="533" t="s">
        <v>580</v>
      </c>
      <c r="E1" s="534" t="s">
        <v>581</v>
      </c>
      <c r="F1" s="534" t="s">
        <v>582</v>
      </c>
      <c r="G1" s="534" t="s">
        <v>146</v>
      </c>
      <c r="H1" s="534" t="s">
        <v>161</v>
      </c>
      <c r="I1" s="534" t="s">
        <v>583</v>
      </c>
      <c r="J1" s="534" t="s">
        <v>584</v>
      </c>
      <c r="K1" s="535" t="s">
        <v>585</v>
      </c>
      <c r="L1" s="536" t="s">
        <v>586</v>
      </c>
      <c r="M1" s="537" t="s">
        <v>587</v>
      </c>
      <c r="N1" s="533" t="s">
        <v>588</v>
      </c>
      <c r="O1" s="538" t="s">
        <v>589</v>
      </c>
      <c r="P1" s="539" t="s">
        <v>1</v>
      </c>
      <c r="Q1" s="540" t="s">
        <v>590</v>
      </c>
    </row>
    <row r="2" spans="1:24">
      <c r="A2" s="541">
        <v>46358</v>
      </c>
      <c r="B2" s="542" t="s">
        <v>561</v>
      </c>
      <c r="C2" s="543" t="s">
        <v>594</v>
      </c>
      <c r="D2" s="544" t="s">
        <v>595</v>
      </c>
      <c r="E2" s="544" t="s">
        <v>1105</v>
      </c>
      <c r="F2" s="544" t="s">
        <v>596</v>
      </c>
      <c r="G2" s="544" t="s">
        <v>597</v>
      </c>
      <c r="H2" s="544">
        <v>104</v>
      </c>
      <c r="I2" s="544" t="s">
        <v>592</v>
      </c>
      <c r="J2" s="545">
        <v>112.69</v>
      </c>
      <c r="K2" s="544">
        <v>8.69</v>
      </c>
      <c r="L2" s="546">
        <v>9.5500000000000007</v>
      </c>
      <c r="M2" s="547">
        <v>9.5500000000000007</v>
      </c>
      <c r="N2" s="545">
        <v>9.5500000000000007</v>
      </c>
      <c r="O2" s="545">
        <v>9.5500000000000007</v>
      </c>
      <c r="P2" s="548">
        <v>26.247293379999999</v>
      </c>
      <c r="Q2" s="549" t="s">
        <v>593</v>
      </c>
      <c r="R2" s="340">
        <f>L2-L3</f>
        <v>8.2700000000000014</v>
      </c>
      <c r="T2" s="365">
        <v>8.64</v>
      </c>
      <c r="U2" s="340">
        <f>T2-T3</f>
        <v>7.08</v>
      </c>
      <c r="W2" s="365">
        <v>11.6</v>
      </c>
      <c r="X2" s="340">
        <f>W2-W3</f>
        <v>8.8999999999999986</v>
      </c>
    </row>
    <row r="3" spans="1:24">
      <c r="A3" s="541">
        <v>46358</v>
      </c>
      <c r="B3" s="542" t="s">
        <v>562</v>
      </c>
      <c r="C3" s="543" t="s">
        <v>599</v>
      </c>
      <c r="D3" s="544" t="s">
        <v>595</v>
      </c>
      <c r="E3" s="544" t="s">
        <v>1105</v>
      </c>
      <c r="F3" s="544" t="s">
        <v>596</v>
      </c>
      <c r="G3" s="544" t="s">
        <v>597</v>
      </c>
      <c r="H3" s="544">
        <v>119</v>
      </c>
      <c r="I3" s="544" t="s">
        <v>592</v>
      </c>
      <c r="J3" s="545">
        <v>112.69</v>
      </c>
      <c r="K3" s="544">
        <v>0</v>
      </c>
      <c r="L3" s="546">
        <v>1.28</v>
      </c>
      <c r="M3" s="547">
        <v>1.28</v>
      </c>
      <c r="N3" s="545">
        <v>1.28</v>
      </c>
      <c r="O3" s="545">
        <v>1.28</v>
      </c>
      <c r="P3" s="548">
        <v>24.457132569999999</v>
      </c>
      <c r="Q3" s="549" t="s">
        <v>598</v>
      </c>
      <c r="T3" s="365">
        <v>1.56</v>
      </c>
      <c r="W3" s="365">
        <v>2.7</v>
      </c>
    </row>
    <row r="4" spans="1:24">
      <c r="A4" s="541">
        <v>46358</v>
      </c>
      <c r="B4" s="542" t="s">
        <v>604</v>
      </c>
      <c r="C4" s="543" t="s">
        <v>605</v>
      </c>
      <c r="D4" s="544" t="s">
        <v>606</v>
      </c>
      <c r="E4" s="544" t="s">
        <v>1106</v>
      </c>
      <c r="F4" s="544" t="s">
        <v>596</v>
      </c>
      <c r="G4" s="544" t="s">
        <v>597</v>
      </c>
      <c r="H4" s="544">
        <v>7487.2489999999998</v>
      </c>
      <c r="I4" s="544" t="s">
        <v>592</v>
      </c>
      <c r="J4" s="550">
        <v>8353.02</v>
      </c>
      <c r="K4" s="544">
        <v>865.77099999999996</v>
      </c>
      <c r="L4" s="551">
        <v>983.31</v>
      </c>
      <c r="M4" s="552">
        <v>983.31</v>
      </c>
      <c r="N4" s="544">
        <v>983.30947079999999</v>
      </c>
      <c r="O4" s="553">
        <v>874.83788319999996</v>
      </c>
      <c r="P4" s="554">
        <v>18.09677366</v>
      </c>
      <c r="Q4" s="549" t="s">
        <v>593</v>
      </c>
    </row>
    <row r="5" spans="1:24">
      <c r="A5" s="541">
        <v>46358</v>
      </c>
      <c r="B5" s="542" t="s">
        <v>607</v>
      </c>
      <c r="C5" s="543" t="s">
        <v>608</v>
      </c>
      <c r="D5" s="544" t="s">
        <v>606</v>
      </c>
      <c r="E5" s="544" t="s">
        <v>1106</v>
      </c>
      <c r="F5" s="544" t="s">
        <v>596</v>
      </c>
      <c r="G5" s="544" t="s">
        <v>597</v>
      </c>
      <c r="H5" s="544">
        <v>8200.3202999999994</v>
      </c>
      <c r="I5" s="544" t="s">
        <v>592</v>
      </c>
      <c r="J5" s="550">
        <v>8353.02</v>
      </c>
      <c r="K5" s="544">
        <v>152.69970000000001</v>
      </c>
      <c r="L5" s="551">
        <v>527.77</v>
      </c>
      <c r="M5" s="552">
        <v>527.77</v>
      </c>
      <c r="N5" s="544">
        <v>527.77280199999996</v>
      </c>
      <c r="O5" s="553">
        <v>451.5716395</v>
      </c>
      <c r="P5" s="554">
        <v>18.09677366</v>
      </c>
      <c r="Q5" s="549" t="s">
        <v>593</v>
      </c>
    </row>
    <row r="6" spans="1:24">
      <c r="A6" s="541">
        <v>46358</v>
      </c>
      <c r="B6" s="554" t="s">
        <v>609</v>
      </c>
      <c r="C6" s="543" t="s">
        <v>610</v>
      </c>
      <c r="D6" s="544" t="s">
        <v>611</v>
      </c>
      <c r="E6" s="544" t="s">
        <v>1107</v>
      </c>
      <c r="F6" s="544" t="s">
        <v>596</v>
      </c>
      <c r="G6" s="544" t="s">
        <v>137</v>
      </c>
      <c r="H6" s="544">
        <v>2.5499999999999998</v>
      </c>
      <c r="I6" s="544"/>
      <c r="J6" s="555">
        <v>3.2</v>
      </c>
      <c r="K6" s="544">
        <v>0.65</v>
      </c>
      <c r="L6" s="556">
        <v>0.67185425799999998</v>
      </c>
      <c r="M6" s="557">
        <v>0.67185425799999998</v>
      </c>
      <c r="N6" s="544">
        <v>0.67185425799999998</v>
      </c>
      <c r="O6" s="544">
        <v>0.67185425799999998</v>
      </c>
      <c r="P6" s="554">
        <v>40.761471530000001</v>
      </c>
      <c r="Q6" s="549" t="s">
        <v>593</v>
      </c>
    </row>
    <row r="7" spans="1:24">
      <c r="A7" s="541">
        <v>46358</v>
      </c>
      <c r="B7" s="554" t="s">
        <v>612</v>
      </c>
      <c r="C7" s="543" t="s">
        <v>613</v>
      </c>
      <c r="D7" s="544" t="s">
        <v>611</v>
      </c>
      <c r="E7" s="544" t="s">
        <v>1107</v>
      </c>
      <c r="F7" s="544" t="s">
        <v>591</v>
      </c>
      <c r="G7" s="544" t="s">
        <v>137</v>
      </c>
      <c r="H7" s="544">
        <v>1.95</v>
      </c>
      <c r="I7" s="544"/>
      <c r="J7" s="555">
        <v>3.2</v>
      </c>
      <c r="K7" s="544">
        <v>0</v>
      </c>
      <c r="L7" s="556">
        <v>9.9398109999999998E-3</v>
      </c>
      <c r="M7" s="557">
        <v>9.9398109999999998E-3</v>
      </c>
      <c r="N7" s="544">
        <v>9.9398109999999998E-3</v>
      </c>
      <c r="O7" s="544">
        <v>9.9398109999999998E-3</v>
      </c>
      <c r="P7" s="554">
        <v>64.679044610000005</v>
      </c>
      <c r="Q7" s="549" t="s">
        <v>593</v>
      </c>
    </row>
    <row r="8" spans="1:24">
      <c r="A8" s="541">
        <v>46358</v>
      </c>
      <c r="B8" s="554" t="s">
        <v>614</v>
      </c>
      <c r="C8" s="543" t="s">
        <v>615</v>
      </c>
      <c r="D8" s="544" t="s">
        <v>611</v>
      </c>
      <c r="E8" s="544" t="s">
        <v>1107</v>
      </c>
      <c r="F8" s="544" t="s">
        <v>591</v>
      </c>
      <c r="G8" s="544" t="s">
        <v>137</v>
      </c>
      <c r="H8" s="544">
        <v>2.25</v>
      </c>
      <c r="I8" s="544"/>
      <c r="J8" s="555">
        <v>3.2</v>
      </c>
      <c r="K8" s="544">
        <v>0</v>
      </c>
      <c r="L8" s="556">
        <v>1.6327687E-2</v>
      </c>
      <c r="M8" s="557">
        <v>1.6327687E-2</v>
      </c>
      <c r="N8" s="544">
        <v>1.6327687E-2</v>
      </c>
      <c r="O8" s="544">
        <v>1.6327687E-2</v>
      </c>
      <c r="P8" s="554">
        <v>53.365576740000002</v>
      </c>
      <c r="Q8" s="549" t="s">
        <v>593</v>
      </c>
    </row>
    <row r="9" spans="1:24">
      <c r="A9" s="541">
        <v>46358</v>
      </c>
      <c r="B9" s="554" t="s">
        <v>682</v>
      </c>
      <c r="C9" s="543" t="s">
        <v>688</v>
      </c>
      <c r="D9" s="544" t="s">
        <v>603</v>
      </c>
      <c r="E9" s="544" t="s">
        <v>1108</v>
      </c>
      <c r="F9" s="544" t="s">
        <v>596</v>
      </c>
      <c r="G9" s="544" t="s">
        <v>137</v>
      </c>
      <c r="H9" s="544">
        <v>300</v>
      </c>
      <c r="I9" s="544"/>
      <c r="J9" s="555">
        <v>368.1</v>
      </c>
      <c r="K9" s="544">
        <v>68.099999999999994</v>
      </c>
      <c r="L9" s="556">
        <v>82.75</v>
      </c>
      <c r="M9" s="557">
        <v>84.5</v>
      </c>
      <c r="N9" s="544">
        <v>83.625</v>
      </c>
      <c r="O9" s="544">
        <v>83.625</v>
      </c>
      <c r="P9" s="554"/>
      <c r="Q9" s="549" t="s">
        <v>600</v>
      </c>
    </row>
    <row r="10" spans="1:24">
      <c r="A10" s="541">
        <v>46358</v>
      </c>
      <c r="B10" s="554" t="s">
        <v>681</v>
      </c>
      <c r="C10" s="543" t="s">
        <v>689</v>
      </c>
      <c r="D10" s="544" t="s">
        <v>603</v>
      </c>
      <c r="E10" s="544" t="s">
        <v>1108</v>
      </c>
      <c r="F10" s="544" t="s">
        <v>596</v>
      </c>
      <c r="G10" s="544" t="s">
        <v>137</v>
      </c>
      <c r="H10" s="544">
        <v>370</v>
      </c>
      <c r="I10" s="544"/>
      <c r="J10" s="555">
        <v>368.1</v>
      </c>
      <c r="K10" s="544">
        <v>0</v>
      </c>
      <c r="L10" s="556">
        <v>39.049999999999997</v>
      </c>
      <c r="M10" s="557">
        <v>41.15</v>
      </c>
      <c r="N10" s="544">
        <v>40.1</v>
      </c>
      <c r="O10" s="544">
        <v>40.1</v>
      </c>
      <c r="P10" s="554"/>
      <c r="Q10" s="549" t="s">
        <v>600</v>
      </c>
    </row>
    <row r="11" spans="1:24">
      <c r="A11" s="541">
        <v>46358</v>
      </c>
      <c r="B11" s="554" t="s">
        <v>684</v>
      </c>
      <c r="C11" s="543" t="s">
        <v>690</v>
      </c>
      <c r="D11" s="544" t="s">
        <v>603</v>
      </c>
      <c r="E11" s="544" t="s">
        <v>1108</v>
      </c>
      <c r="F11" s="544" t="s">
        <v>591</v>
      </c>
      <c r="G11" s="544" t="s">
        <v>137</v>
      </c>
      <c r="H11" s="544">
        <v>250</v>
      </c>
      <c r="I11" s="544"/>
      <c r="J11" s="558">
        <v>368.1</v>
      </c>
      <c r="K11" s="559">
        <v>0</v>
      </c>
      <c r="L11" s="560">
        <v>4.43</v>
      </c>
      <c r="M11" s="561">
        <v>4.43</v>
      </c>
      <c r="N11" s="559">
        <v>4.4325971470000001</v>
      </c>
      <c r="O11" s="544">
        <v>4.4441688089999998</v>
      </c>
      <c r="P11" s="548">
        <v>52.39619751</v>
      </c>
      <c r="Q11" s="562" t="s">
        <v>593</v>
      </c>
    </row>
    <row r="12" spans="1:24">
      <c r="A12" s="541">
        <v>46358</v>
      </c>
      <c r="B12" s="554" t="s">
        <v>683</v>
      </c>
      <c r="C12" s="543" t="s">
        <v>691</v>
      </c>
      <c r="D12" s="544" t="s">
        <v>603</v>
      </c>
      <c r="E12" s="544" t="s">
        <v>1108</v>
      </c>
      <c r="F12" s="544" t="s">
        <v>591</v>
      </c>
      <c r="G12" s="544" t="s">
        <v>137</v>
      </c>
      <c r="H12" s="544">
        <v>210</v>
      </c>
      <c r="I12" s="544"/>
      <c r="J12" s="555">
        <v>368.1</v>
      </c>
      <c r="K12" s="544">
        <v>0</v>
      </c>
      <c r="L12" s="556">
        <v>1.55</v>
      </c>
      <c r="M12" s="557">
        <v>2.34</v>
      </c>
      <c r="N12" s="544">
        <v>1.9450000000000001</v>
      </c>
      <c r="O12" s="544">
        <v>1.9450000000000001</v>
      </c>
      <c r="P12" s="554"/>
      <c r="Q12" s="549" t="s">
        <v>600</v>
      </c>
    </row>
    <row r="13" spans="1:24">
      <c r="A13" s="541">
        <v>46358</v>
      </c>
      <c r="B13" s="554" t="s">
        <v>687</v>
      </c>
      <c r="C13" s="543" t="s">
        <v>692</v>
      </c>
      <c r="D13" s="544" t="s">
        <v>602</v>
      </c>
      <c r="E13" s="544" t="s">
        <v>1108</v>
      </c>
      <c r="F13" s="544" t="s">
        <v>591</v>
      </c>
      <c r="G13" s="544" t="s">
        <v>137</v>
      </c>
      <c r="H13" s="544">
        <v>425</v>
      </c>
      <c r="I13" s="544"/>
      <c r="J13" s="555">
        <v>401.84</v>
      </c>
      <c r="K13" s="544">
        <v>23.16</v>
      </c>
      <c r="L13" s="556">
        <v>39.9</v>
      </c>
      <c r="M13" s="557">
        <v>40.15</v>
      </c>
      <c r="N13" s="544">
        <v>40.024999999999999</v>
      </c>
      <c r="O13" s="544">
        <v>40.024999999999999</v>
      </c>
      <c r="P13" s="554"/>
      <c r="Q13" s="549" t="s">
        <v>600</v>
      </c>
    </row>
    <row r="14" spans="1:24">
      <c r="A14" s="541">
        <v>46358</v>
      </c>
      <c r="B14" s="554" t="s">
        <v>686</v>
      </c>
      <c r="C14" s="543" t="s">
        <v>693</v>
      </c>
      <c r="D14" s="544" t="s">
        <v>602</v>
      </c>
      <c r="E14" s="544" t="s">
        <v>1108</v>
      </c>
      <c r="F14" s="544" t="s">
        <v>596</v>
      </c>
      <c r="G14" s="544" t="s">
        <v>137</v>
      </c>
      <c r="H14" s="544">
        <v>515</v>
      </c>
      <c r="I14" s="544"/>
      <c r="J14" s="555">
        <v>401.84</v>
      </c>
      <c r="K14" s="544">
        <v>0</v>
      </c>
      <c r="L14" s="556">
        <v>3.35</v>
      </c>
      <c r="M14" s="557">
        <v>3.5</v>
      </c>
      <c r="N14" s="544">
        <v>3.4249999999999998</v>
      </c>
      <c r="O14" s="544">
        <v>3.4249999999999998</v>
      </c>
      <c r="P14" s="554"/>
      <c r="Q14" s="549" t="s">
        <v>600</v>
      </c>
    </row>
    <row r="15" spans="1:24">
      <c r="A15" s="541">
        <v>46358</v>
      </c>
      <c r="B15" s="554" t="s">
        <v>685</v>
      </c>
      <c r="C15" s="543" t="s">
        <v>694</v>
      </c>
      <c r="D15" s="544" t="s">
        <v>602</v>
      </c>
      <c r="E15" s="544" t="s">
        <v>1108</v>
      </c>
      <c r="F15" s="544" t="s">
        <v>596</v>
      </c>
      <c r="G15" s="544" t="s">
        <v>137</v>
      </c>
      <c r="H15" s="544">
        <v>585</v>
      </c>
      <c r="I15" s="544"/>
      <c r="J15" s="555">
        <v>401.84</v>
      </c>
      <c r="K15" s="544">
        <v>0</v>
      </c>
      <c r="L15" s="556">
        <v>0.98</v>
      </c>
      <c r="M15" s="557">
        <v>1.04</v>
      </c>
      <c r="N15" s="544">
        <v>1.01</v>
      </c>
      <c r="O15" s="544">
        <v>1.01</v>
      </c>
      <c r="P15" s="554"/>
      <c r="Q15" s="549" t="s">
        <v>600</v>
      </c>
    </row>
    <row r="16" spans="1:24">
      <c r="A16" s="541">
        <v>46358</v>
      </c>
      <c r="B16" s="554" t="s">
        <v>696</v>
      </c>
      <c r="C16" s="543" t="s">
        <v>697</v>
      </c>
      <c r="D16" s="544" t="s">
        <v>616</v>
      </c>
      <c r="E16" s="544" t="s">
        <v>1105</v>
      </c>
      <c r="F16" s="544" t="s">
        <v>591</v>
      </c>
      <c r="G16" s="544" t="s">
        <v>137</v>
      </c>
      <c r="H16" s="544">
        <v>550</v>
      </c>
      <c r="I16" s="544"/>
      <c r="J16" s="555">
        <v>600.64</v>
      </c>
      <c r="K16" s="544">
        <v>0</v>
      </c>
      <c r="L16" s="556">
        <v>5.04</v>
      </c>
      <c r="M16" s="557">
        <v>5.13</v>
      </c>
      <c r="N16" s="544">
        <v>5.085</v>
      </c>
      <c r="O16" s="544">
        <v>5.085</v>
      </c>
      <c r="P16" s="554"/>
      <c r="Q16" s="549" t="s">
        <v>600</v>
      </c>
    </row>
    <row r="17" spans="1:17">
      <c r="A17" s="541">
        <v>46358</v>
      </c>
      <c r="B17" s="554" t="s">
        <v>695</v>
      </c>
      <c r="C17" s="543" t="s">
        <v>699</v>
      </c>
      <c r="D17" s="544" t="s">
        <v>616</v>
      </c>
      <c r="E17" s="544" t="s">
        <v>1105</v>
      </c>
      <c r="F17" s="544" t="s">
        <v>591</v>
      </c>
      <c r="G17" s="544" t="s">
        <v>137</v>
      </c>
      <c r="H17" s="544">
        <v>580</v>
      </c>
      <c r="I17" s="544"/>
      <c r="J17" s="555">
        <v>600.64</v>
      </c>
      <c r="K17" s="544">
        <v>0</v>
      </c>
      <c r="L17" s="556">
        <v>10.19</v>
      </c>
      <c r="M17" s="557">
        <v>10.3</v>
      </c>
      <c r="N17" s="544">
        <v>10.244999999999999</v>
      </c>
      <c r="O17" s="544">
        <v>10.244999999999999</v>
      </c>
      <c r="P17" s="554"/>
      <c r="Q17" s="549" t="s">
        <v>600</v>
      </c>
    </row>
    <row r="18" spans="1:17">
      <c r="A18" s="541">
        <v>46358</v>
      </c>
      <c r="B18" s="554" t="s">
        <v>700</v>
      </c>
      <c r="C18" s="543" t="s">
        <v>703</v>
      </c>
      <c r="D18" s="544" t="s">
        <v>698</v>
      </c>
      <c r="E18" s="544" t="s">
        <v>1108</v>
      </c>
      <c r="F18" s="544" t="s">
        <v>596</v>
      </c>
      <c r="G18" s="544" t="s">
        <v>137</v>
      </c>
      <c r="H18" s="544">
        <v>230</v>
      </c>
      <c r="I18" s="544"/>
      <c r="J18" s="555">
        <v>199.6</v>
      </c>
      <c r="K18" s="544">
        <v>0</v>
      </c>
      <c r="L18" s="556">
        <v>7.3</v>
      </c>
      <c r="M18" s="557">
        <v>7.45</v>
      </c>
      <c r="N18" s="544">
        <v>7.375</v>
      </c>
      <c r="O18" s="544">
        <v>7.375</v>
      </c>
      <c r="P18" s="554"/>
      <c r="Q18" s="549" t="s">
        <v>600</v>
      </c>
    </row>
    <row r="19" spans="1:17">
      <c r="A19" s="541">
        <v>46358</v>
      </c>
      <c r="B19" s="554" t="s">
        <v>701</v>
      </c>
      <c r="C19" s="543" t="s">
        <v>704</v>
      </c>
      <c r="D19" s="544" t="s">
        <v>698</v>
      </c>
      <c r="E19" s="544" t="s">
        <v>1108</v>
      </c>
      <c r="F19" s="544" t="s">
        <v>596</v>
      </c>
      <c r="G19" s="544" t="s">
        <v>137</v>
      </c>
      <c r="H19" s="544">
        <v>260</v>
      </c>
      <c r="I19" s="544"/>
      <c r="J19" s="555">
        <v>199.6</v>
      </c>
      <c r="K19" s="544">
        <v>0</v>
      </c>
      <c r="L19" s="556">
        <v>2.76</v>
      </c>
      <c r="M19" s="557">
        <v>2.83</v>
      </c>
      <c r="N19" s="544">
        <v>2.7949999999999999</v>
      </c>
      <c r="O19" s="544">
        <v>2.7949999999999999</v>
      </c>
      <c r="P19" s="554"/>
      <c r="Q19" s="549" t="s">
        <v>600</v>
      </c>
    </row>
    <row r="20" spans="1:17">
      <c r="A20" s="541">
        <v>46358</v>
      </c>
      <c r="B20" s="554" t="s">
        <v>702</v>
      </c>
      <c r="C20" s="543" t="s">
        <v>705</v>
      </c>
      <c r="D20" s="544" t="s">
        <v>698</v>
      </c>
      <c r="E20" s="544" t="s">
        <v>1108</v>
      </c>
      <c r="F20" s="544" t="s">
        <v>591</v>
      </c>
      <c r="G20" s="544" t="s">
        <v>137</v>
      </c>
      <c r="H20" s="544">
        <v>200</v>
      </c>
      <c r="I20" s="544"/>
      <c r="J20" s="555">
        <v>199.6</v>
      </c>
      <c r="K20" s="544">
        <v>0.4</v>
      </c>
      <c r="L20" s="556">
        <v>16</v>
      </c>
      <c r="M20" s="557">
        <v>16.149999999999999</v>
      </c>
      <c r="N20" s="544">
        <v>16.074999999999999</v>
      </c>
      <c r="O20" s="544">
        <v>16.074999999999999</v>
      </c>
      <c r="P20" s="554"/>
      <c r="Q20" s="549" t="s">
        <v>600</v>
      </c>
    </row>
    <row r="21" spans="1:17">
      <c r="A21" s="541">
        <v>46358</v>
      </c>
      <c r="B21" s="554" t="s">
        <v>713</v>
      </c>
      <c r="C21" s="543" t="s">
        <v>716</v>
      </c>
      <c r="D21" s="544" t="s">
        <v>602</v>
      </c>
      <c r="E21" s="544" t="s">
        <v>1105</v>
      </c>
      <c r="F21" s="544" t="s">
        <v>596</v>
      </c>
      <c r="G21" s="544" t="s">
        <v>137</v>
      </c>
      <c r="H21" s="544">
        <v>490</v>
      </c>
      <c r="I21" s="544"/>
      <c r="J21" s="555">
        <v>401.84</v>
      </c>
      <c r="K21" s="544">
        <v>0</v>
      </c>
      <c r="L21" s="556">
        <v>0.42</v>
      </c>
      <c r="M21" s="557">
        <v>0.45</v>
      </c>
      <c r="N21" s="544">
        <v>0.435</v>
      </c>
      <c r="O21" s="544">
        <v>0.435</v>
      </c>
      <c r="P21" s="554"/>
      <c r="Q21" s="549" t="s">
        <v>600</v>
      </c>
    </row>
    <row r="22" spans="1:17">
      <c r="A22" s="563">
        <v>46358</v>
      </c>
      <c r="B22" s="548" t="s">
        <v>712</v>
      </c>
      <c r="C22" s="564" t="s">
        <v>717</v>
      </c>
      <c r="D22" s="559" t="s">
        <v>602</v>
      </c>
      <c r="E22" s="559" t="s">
        <v>1105</v>
      </c>
      <c r="F22" s="559" t="s">
        <v>596</v>
      </c>
      <c r="G22" s="559" t="s">
        <v>137</v>
      </c>
      <c r="H22" s="559">
        <v>515</v>
      </c>
      <c r="I22" s="559"/>
      <c r="J22" s="558">
        <v>401.84</v>
      </c>
      <c r="K22" s="559">
        <v>0</v>
      </c>
      <c r="L22" s="560">
        <v>0.17</v>
      </c>
      <c r="M22" s="561">
        <v>0.17</v>
      </c>
      <c r="N22" s="559">
        <v>0.167063499</v>
      </c>
      <c r="O22" s="544">
        <v>0.17057766799999999</v>
      </c>
      <c r="P22" s="548">
        <v>33.897645320000002</v>
      </c>
      <c r="Q22" s="562" t="s">
        <v>593</v>
      </c>
    </row>
    <row r="23" spans="1:17">
      <c r="A23" s="541">
        <v>46358</v>
      </c>
      <c r="B23" s="565" t="s">
        <v>715</v>
      </c>
      <c r="C23" s="543" t="s">
        <v>718</v>
      </c>
      <c r="D23" s="544" t="s">
        <v>602</v>
      </c>
      <c r="E23" s="544" t="s">
        <v>1105</v>
      </c>
      <c r="F23" s="544" t="s">
        <v>591</v>
      </c>
      <c r="G23" s="544" t="s">
        <v>137</v>
      </c>
      <c r="H23" s="544">
        <v>455</v>
      </c>
      <c r="I23" s="544"/>
      <c r="J23" s="555">
        <v>401.84</v>
      </c>
      <c r="K23" s="544">
        <v>53.16</v>
      </c>
      <c r="L23" s="556">
        <v>53.25</v>
      </c>
      <c r="M23" s="557">
        <v>56.1</v>
      </c>
      <c r="N23" s="544">
        <v>54.674999999999997</v>
      </c>
      <c r="O23" s="544">
        <v>54.674999999999997</v>
      </c>
      <c r="P23" s="554"/>
      <c r="Q23" s="549" t="s">
        <v>600</v>
      </c>
    </row>
    <row r="24" spans="1:17">
      <c r="A24" s="541">
        <v>46358</v>
      </c>
      <c r="B24" s="565" t="s">
        <v>714</v>
      </c>
      <c r="C24" s="543" t="s">
        <v>719</v>
      </c>
      <c r="D24" s="544" t="s">
        <v>602</v>
      </c>
      <c r="E24" s="544" t="s">
        <v>1105</v>
      </c>
      <c r="F24" s="544" t="s">
        <v>591</v>
      </c>
      <c r="G24" s="544" t="s">
        <v>137</v>
      </c>
      <c r="H24" s="544">
        <v>465</v>
      </c>
      <c r="I24" s="544"/>
      <c r="J24" s="555">
        <v>401.84</v>
      </c>
      <c r="K24" s="544">
        <v>63.16</v>
      </c>
      <c r="L24" s="556">
        <v>62.95</v>
      </c>
      <c r="M24" s="557">
        <v>65.599999999999994</v>
      </c>
      <c r="N24" s="544">
        <v>64.275000000000006</v>
      </c>
      <c r="O24" s="544">
        <v>64.275000000000006</v>
      </c>
      <c r="P24" s="554"/>
      <c r="Q24" s="549" t="s">
        <v>600</v>
      </c>
    </row>
    <row r="25" spans="1:17">
      <c r="A25" s="541">
        <v>46358</v>
      </c>
      <c r="B25" s="565" t="s">
        <v>723</v>
      </c>
      <c r="C25" s="543" t="s">
        <v>725</v>
      </c>
      <c r="D25" s="544" t="s">
        <v>726</v>
      </c>
      <c r="E25" s="544" t="s">
        <v>1105</v>
      </c>
      <c r="F25" s="544" t="s">
        <v>591</v>
      </c>
      <c r="G25" s="544" t="s">
        <v>137</v>
      </c>
      <c r="H25" s="544">
        <v>80</v>
      </c>
      <c r="I25" s="544"/>
      <c r="J25" s="555">
        <v>78.23</v>
      </c>
      <c r="K25" s="544">
        <v>1.77</v>
      </c>
      <c r="L25" s="556">
        <v>7.5</v>
      </c>
      <c r="M25" s="557">
        <v>7.8</v>
      </c>
      <c r="N25" s="544">
        <v>7.65</v>
      </c>
      <c r="O25" s="544">
        <v>7.65</v>
      </c>
      <c r="P25" s="554"/>
      <c r="Q25" s="549" t="s">
        <v>600</v>
      </c>
    </row>
    <row r="26" spans="1:17">
      <c r="A26" s="541">
        <v>46358</v>
      </c>
      <c r="B26" s="565" t="s">
        <v>724</v>
      </c>
      <c r="C26" s="543" t="s">
        <v>727</v>
      </c>
      <c r="D26" s="544" t="s">
        <v>726</v>
      </c>
      <c r="E26" s="544" t="s">
        <v>1105</v>
      </c>
      <c r="F26" s="544" t="s">
        <v>591</v>
      </c>
      <c r="G26" s="544" t="s">
        <v>137</v>
      </c>
      <c r="H26" s="544">
        <v>90</v>
      </c>
      <c r="I26" s="544"/>
      <c r="J26" s="555">
        <v>78.23</v>
      </c>
      <c r="K26" s="544">
        <v>11.77</v>
      </c>
      <c r="L26" s="556">
        <v>14.15</v>
      </c>
      <c r="M26" s="557">
        <v>14.7</v>
      </c>
      <c r="N26" s="544">
        <v>14.425000000000001</v>
      </c>
      <c r="O26" s="544">
        <v>14.425000000000001</v>
      </c>
      <c r="P26" s="554"/>
      <c r="Q26" s="549" t="s">
        <v>600</v>
      </c>
    </row>
    <row r="27" spans="1:17">
      <c r="A27" s="541">
        <v>46358</v>
      </c>
      <c r="B27" s="565" t="s">
        <v>731</v>
      </c>
      <c r="C27" s="543" t="s">
        <v>733</v>
      </c>
      <c r="D27" s="544" t="s">
        <v>734</v>
      </c>
      <c r="E27" s="544" t="s">
        <v>1107</v>
      </c>
      <c r="F27" s="544" t="s">
        <v>596</v>
      </c>
      <c r="G27" s="544" t="s">
        <v>137</v>
      </c>
      <c r="H27" s="544">
        <v>690</v>
      </c>
      <c r="I27" s="544"/>
      <c r="J27" s="555">
        <v>649.80999999999995</v>
      </c>
      <c r="K27" s="544">
        <v>0</v>
      </c>
      <c r="L27" s="556">
        <v>20.45</v>
      </c>
      <c r="M27" s="557">
        <v>20.7</v>
      </c>
      <c r="N27" s="544">
        <v>20.574999999999999</v>
      </c>
      <c r="O27" s="544">
        <v>20.574999999999999</v>
      </c>
      <c r="P27" s="554"/>
      <c r="Q27" s="549" t="s">
        <v>600</v>
      </c>
    </row>
    <row r="28" spans="1:17">
      <c r="A28" s="541">
        <v>46358</v>
      </c>
      <c r="B28" s="542" t="s">
        <v>730</v>
      </c>
      <c r="C28" s="543" t="s">
        <v>735</v>
      </c>
      <c r="D28" s="544" t="s">
        <v>734</v>
      </c>
      <c r="E28" s="544" t="s">
        <v>1107</v>
      </c>
      <c r="F28" s="544" t="s">
        <v>596</v>
      </c>
      <c r="G28" s="544" t="s">
        <v>137</v>
      </c>
      <c r="H28" s="544">
        <v>750</v>
      </c>
      <c r="I28" s="544"/>
      <c r="J28" s="555">
        <v>649.80999999999995</v>
      </c>
      <c r="K28" s="544">
        <v>0</v>
      </c>
      <c r="L28" s="556">
        <v>6.95</v>
      </c>
      <c r="M28" s="557">
        <v>7.1</v>
      </c>
      <c r="N28" s="544">
        <v>7.0250000000000004</v>
      </c>
      <c r="O28" s="544">
        <v>7.0250000000000004</v>
      </c>
      <c r="P28" s="554"/>
      <c r="Q28" s="549" t="s">
        <v>600</v>
      </c>
    </row>
    <row r="29" spans="1:17">
      <c r="A29" s="541">
        <v>46358</v>
      </c>
      <c r="B29" s="565" t="s">
        <v>732</v>
      </c>
      <c r="C29" s="543" t="s">
        <v>736</v>
      </c>
      <c r="D29" s="544" t="s">
        <v>734</v>
      </c>
      <c r="E29" s="544" t="s">
        <v>1107</v>
      </c>
      <c r="F29" s="544" t="s">
        <v>591</v>
      </c>
      <c r="G29" s="544" t="s">
        <v>137</v>
      </c>
      <c r="H29" s="544">
        <v>590</v>
      </c>
      <c r="I29" s="544"/>
      <c r="J29" s="555">
        <v>649.80999999999995</v>
      </c>
      <c r="K29" s="544">
        <v>0</v>
      </c>
      <c r="L29" s="556">
        <v>13.8</v>
      </c>
      <c r="M29" s="557">
        <v>14.1</v>
      </c>
      <c r="N29" s="544">
        <v>13.95</v>
      </c>
      <c r="O29" s="544">
        <v>13.95</v>
      </c>
      <c r="P29" s="554"/>
      <c r="Q29" s="549" t="s">
        <v>600</v>
      </c>
    </row>
    <row r="30" spans="1:17">
      <c r="A30" s="541">
        <v>46358</v>
      </c>
      <c r="B30" s="565" t="s">
        <v>738</v>
      </c>
      <c r="C30" s="543" t="s">
        <v>743</v>
      </c>
      <c r="D30" s="544" t="s">
        <v>744</v>
      </c>
      <c r="E30" s="544" t="s">
        <v>1109</v>
      </c>
      <c r="F30" s="544" t="s">
        <v>596</v>
      </c>
      <c r="G30" s="544" t="s">
        <v>137</v>
      </c>
      <c r="H30" s="544">
        <v>450</v>
      </c>
      <c r="I30" s="544"/>
      <c r="J30" s="555">
        <v>583.46</v>
      </c>
      <c r="K30" s="544">
        <v>133.46</v>
      </c>
      <c r="L30" s="556">
        <v>134</v>
      </c>
      <c r="M30" s="557">
        <v>137.5</v>
      </c>
      <c r="N30" s="544">
        <v>135.75</v>
      </c>
      <c r="O30" s="544">
        <v>135.75</v>
      </c>
      <c r="P30" s="554"/>
      <c r="Q30" s="549" t="s">
        <v>600</v>
      </c>
    </row>
    <row r="31" spans="1:17">
      <c r="A31" s="541">
        <v>46358</v>
      </c>
      <c r="B31" s="565" t="s">
        <v>737</v>
      </c>
      <c r="C31" s="543" t="s">
        <v>745</v>
      </c>
      <c r="D31" s="544" t="s">
        <v>744</v>
      </c>
      <c r="E31" s="544" t="s">
        <v>1109</v>
      </c>
      <c r="F31" s="544" t="s">
        <v>596</v>
      </c>
      <c r="G31" s="544" t="s">
        <v>137</v>
      </c>
      <c r="H31" s="544">
        <v>400</v>
      </c>
      <c r="I31" s="544"/>
      <c r="J31" s="555">
        <v>583.46</v>
      </c>
      <c r="K31" s="544">
        <v>183.46</v>
      </c>
      <c r="L31" s="556">
        <v>182.1</v>
      </c>
      <c r="M31" s="557">
        <v>186.1</v>
      </c>
      <c r="N31" s="544">
        <v>184.1</v>
      </c>
      <c r="O31" s="544">
        <v>184.1</v>
      </c>
      <c r="P31" s="554"/>
      <c r="Q31" s="549" t="s">
        <v>600</v>
      </c>
    </row>
    <row r="32" spans="1:17">
      <c r="A32" s="541">
        <v>46358</v>
      </c>
      <c r="B32" s="565" t="s">
        <v>741</v>
      </c>
      <c r="C32" s="543" t="s">
        <v>746</v>
      </c>
      <c r="D32" s="544" t="s">
        <v>747</v>
      </c>
      <c r="E32" s="544" t="s">
        <v>1105</v>
      </c>
      <c r="F32" s="544" t="s">
        <v>596</v>
      </c>
      <c r="G32" s="544" t="s">
        <v>137</v>
      </c>
      <c r="H32" s="544">
        <v>210</v>
      </c>
      <c r="I32" s="544"/>
      <c r="J32" s="555">
        <v>216.1</v>
      </c>
      <c r="K32" s="544">
        <v>6.1</v>
      </c>
      <c r="L32" s="556">
        <v>25.5</v>
      </c>
      <c r="M32" s="557">
        <v>27.1</v>
      </c>
      <c r="N32" s="544">
        <v>26.3</v>
      </c>
      <c r="O32" s="544">
        <v>26.3</v>
      </c>
      <c r="P32" s="554"/>
      <c r="Q32" s="549" t="s">
        <v>600</v>
      </c>
    </row>
    <row r="33" spans="1:17">
      <c r="A33" s="541">
        <v>46358</v>
      </c>
      <c r="B33" s="565" t="s">
        <v>742</v>
      </c>
      <c r="C33" s="543" t="s">
        <v>748</v>
      </c>
      <c r="D33" s="544" t="s">
        <v>747</v>
      </c>
      <c r="E33" s="544" t="s">
        <v>1105</v>
      </c>
      <c r="F33" s="544" t="s">
        <v>596</v>
      </c>
      <c r="G33" s="544" t="s">
        <v>137</v>
      </c>
      <c r="H33" s="544">
        <v>250</v>
      </c>
      <c r="I33" s="544"/>
      <c r="J33" s="555">
        <v>216.1</v>
      </c>
      <c r="K33" s="544">
        <v>0</v>
      </c>
      <c r="L33" s="556">
        <v>10.8</v>
      </c>
      <c r="M33" s="557">
        <v>11.9</v>
      </c>
      <c r="N33" s="544">
        <v>11.35</v>
      </c>
      <c r="O33" s="544">
        <v>11.35</v>
      </c>
      <c r="P33" s="554"/>
      <c r="Q33" s="549" t="s">
        <v>600</v>
      </c>
    </row>
    <row r="34" spans="1:17">
      <c r="A34" s="541">
        <v>46358</v>
      </c>
      <c r="B34" s="565" t="s">
        <v>751</v>
      </c>
      <c r="C34" s="543" t="s">
        <v>753</v>
      </c>
      <c r="D34" s="544" t="s">
        <v>754</v>
      </c>
      <c r="E34" s="544" t="s">
        <v>1105</v>
      </c>
      <c r="F34" s="544" t="s">
        <v>596</v>
      </c>
      <c r="G34" s="544" t="s">
        <v>137</v>
      </c>
      <c r="H34" s="544">
        <v>104</v>
      </c>
      <c r="I34" s="544"/>
      <c r="J34" s="550">
        <v>75.86</v>
      </c>
      <c r="K34" s="544">
        <v>0</v>
      </c>
      <c r="L34" s="551">
        <v>0.06</v>
      </c>
      <c r="M34" s="552">
        <v>0.06</v>
      </c>
      <c r="N34" s="544">
        <v>6.2617467999999996E-2</v>
      </c>
      <c r="O34" s="544">
        <v>6.3825325000000002E-2</v>
      </c>
      <c r="P34" s="554">
        <v>45.321508350000002</v>
      </c>
      <c r="Q34" s="549" t="s">
        <v>593</v>
      </c>
    </row>
    <row r="35" spans="1:17">
      <c r="A35" s="541">
        <v>46358</v>
      </c>
      <c r="B35" s="565" t="s">
        <v>752</v>
      </c>
      <c r="C35" s="543" t="s">
        <v>755</v>
      </c>
      <c r="D35" s="544" t="s">
        <v>754</v>
      </c>
      <c r="E35" s="544" t="s">
        <v>1105</v>
      </c>
      <c r="F35" s="544" t="s">
        <v>591</v>
      </c>
      <c r="G35" s="544" t="s">
        <v>137</v>
      </c>
      <c r="H35" s="544">
        <v>83</v>
      </c>
      <c r="I35" s="544"/>
      <c r="J35" s="555">
        <v>75.86</v>
      </c>
      <c r="K35" s="544">
        <v>7.14</v>
      </c>
      <c r="L35" s="556">
        <v>7.85</v>
      </c>
      <c r="M35" s="557">
        <v>8.65</v>
      </c>
      <c r="N35" s="544">
        <v>8.25</v>
      </c>
      <c r="O35" s="544">
        <v>8.25</v>
      </c>
      <c r="P35" s="554"/>
      <c r="Q35" s="549" t="s">
        <v>600</v>
      </c>
    </row>
    <row r="36" spans="1:17">
      <c r="A36" s="541">
        <v>46358</v>
      </c>
      <c r="B36" s="565" t="s">
        <v>750</v>
      </c>
      <c r="C36" s="543" t="s">
        <v>756</v>
      </c>
      <c r="D36" s="544" t="s">
        <v>754</v>
      </c>
      <c r="E36" s="544" t="s">
        <v>1105</v>
      </c>
      <c r="F36" s="544" t="s">
        <v>591</v>
      </c>
      <c r="G36" s="544" t="s">
        <v>137</v>
      </c>
      <c r="H36" s="544">
        <v>92</v>
      </c>
      <c r="I36" s="544"/>
      <c r="J36" s="555">
        <v>75.86</v>
      </c>
      <c r="K36" s="544">
        <v>16.14</v>
      </c>
      <c r="L36" s="556">
        <v>15.85</v>
      </c>
      <c r="M36" s="557">
        <v>16.75</v>
      </c>
      <c r="N36" s="544">
        <v>16.3</v>
      </c>
      <c r="O36" s="544">
        <v>16.3</v>
      </c>
      <c r="P36" s="554"/>
      <c r="Q36" s="549" t="s">
        <v>600</v>
      </c>
    </row>
    <row r="37" spans="1:17">
      <c r="A37" s="541">
        <v>46358</v>
      </c>
      <c r="B37" s="565" t="s">
        <v>758</v>
      </c>
      <c r="C37" s="543" t="s">
        <v>761</v>
      </c>
      <c r="D37" s="544" t="s">
        <v>726</v>
      </c>
      <c r="E37" s="544" t="s">
        <v>1105</v>
      </c>
      <c r="F37" s="544" t="s">
        <v>591</v>
      </c>
      <c r="G37" s="544" t="s">
        <v>137</v>
      </c>
      <c r="H37" s="544">
        <v>75</v>
      </c>
      <c r="I37" s="544"/>
      <c r="J37" s="555">
        <v>78.23</v>
      </c>
      <c r="K37" s="544">
        <v>0</v>
      </c>
      <c r="L37" s="556">
        <v>5</v>
      </c>
      <c r="M37" s="557">
        <v>5.2</v>
      </c>
      <c r="N37" s="544">
        <v>5.0999999999999996</v>
      </c>
      <c r="O37" s="544">
        <v>5.0999999999999996</v>
      </c>
      <c r="P37" s="554"/>
      <c r="Q37" s="549" t="s">
        <v>600</v>
      </c>
    </row>
    <row r="38" spans="1:17">
      <c r="A38" s="541">
        <v>46358</v>
      </c>
      <c r="B38" s="565" t="s">
        <v>757</v>
      </c>
      <c r="C38" s="543" t="s">
        <v>762</v>
      </c>
      <c r="D38" s="544" t="s">
        <v>726</v>
      </c>
      <c r="E38" s="544" t="s">
        <v>1105</v>
      </c>
      <c r="F38" s="544" t="s">
        <v>591</v>
      </c>
      <c r="G38" s="544" t="s">
        <v>137</v>
      </c>
      <c r="H38" s="544">
        <v>85</v>
      </c>
      <c r="I38" s="544"/>
      <c r="J38" s="555">
        <v>78.23</v>
      </c>
      <c r="K38" s="544">
        <v>6.77</v>
      </c>
      <c r="L38" s="556">
        <v>10.7</v>
      </c>
      <c r="M38" s="557">
        <v>10.95</v>
      </c>
      <c r="N38" s="544">
        <v>10.824999999999999</v>
      </c>
      <c r="O38" s="544">
        <v>10.824999999999999</v>
      </c>
      <c r="P38" s="554"/>
      <c r="Q38" s="549" t="s">
        <v>600</v>
      </c>
    </row>
    <row r="39" spans="1:17">
      <c r="A39" s="541">
        <v>46358</v>
      </c>
      <c r="B39" s="565" t="s">
        <v>765</v>
      </c>
      <c r="C39" s="543" t="s">
        <v>771</v>
      </c>
      <c r="D39" s="544" t="s">
        <v>772</v>
      </c>
      <c r="E39" s="544" t="s">
        <v>1108</v>
      </c>
      <c r="F39" s="544" t="s">
        <v>596</v>
      </c>
      <c r="G39" s="544" t="s">
        <v>137</v>
      </c>
      <c r="H39" s="544">
        <v>350</v>
      </c>
      <c r="I39" s="544"/>
      <c r="J39" s="555">
        <v>331.17</v>
      </c>
      <c r="K39" s="544">
        <v>0</v>
      </c>
      <c r="L39" s="556">
        <v>35.200000000000003</v>
      </c>
      <c r="M39" s="557">
        <v>36.299999999999997</v>
      </c>
      <c r="N39" s="544">
        <v>35.75</v>
      </c>
      <c r="O39" s="544">
        <v>35.75</v>
      </c>
      <c r="P39" s="554"/>
      <c r="Q39" s="549" t="s">
        <v>600</v>
      </c>
    </row>
    <row r="40" spans="1:17">
      <c r="A40" s="541">
        <v>46358</v>
      </c>
      <c r="B40" s="565" t="s">
        <v>767</v>
      </c>
      <c r="C40" s="543" t="s">
        <v>773</v>
      </c>
      <c r="D40" s="544" t="s">
        <v>772</v>
      </c>
      <c r="E40" s="544" t="s">
        <v>1108</v>
      </c>
      <c r="F40" s="544" t="s">
        <v>596</v>
      </c>
      <c r="G40" s="544" t="s">
        <v>137</v>
      </c>
      <c r="H40" s="544">
        <v>410</v>
      </c>
      <c r="I40" s="544"/>
      <c r="J40" s="555">
        <v>331.17</v>
      </c>
      <c r="K40" s="544">
        <v>0</v>
      </c>
      <c r="L40" s="556">
        <v>17.600000000000001</v>
      </c>
      <c r="M40" s="557">
        <v>18.100000000000001</v>
      </c>
      <c r="N40" s="544">
        <v>17.850000000000001</v>
      </c>
      <c r="O40" s="544">
        <v>17.850000000000001</v>
      </c>
      <c r="P40" s="554"/>
      <c r="Q40" s="549" t="s">
        <v>600</v>
      </c>
    </row>
    <row r="41" spans="1:17">
      <c r="A41" s="541">
        <v>46358</v>
      </c>
      <c r="B41" s="565" t="s">
        <v>766</v>
      </c>
      <c r="C41" s="543" t="s">
        <v>774</v>
      </c>
      <c r="D41" s="544" t="s">
        <v>772</v>
      </c>
      <c r="E41" s="544" t="s">
        <v>1108</v>
      </c>
      <c r="F41" s="544" t="s">
        <v>591</v>
      </c>
      <c r="G41" s="544" t="s">
        <v>137</v>
      </c>
      <c r="H41" s="544">
        <v>270</v>
      </c>
      <c r="I41" s="544"/>
      <c r="J41" s="555">
        <v>331.17</v>
      </c>
      <c r="K41" s="544">
        <v>0</v>
      </c>
      <c r="L41" s="556">
        <v>15.9</v>
      </c>
      <c r="M41" s="557">
        <v>16.8</v>
      </c>
      <c r="N41" s="544">
        <v>16.350000000000001</v>
      </c>
      <c r="O41" s="544">
        <v>16.350000000000001</v>
      </c>
      <c r="P41" s="554"/>
      <c r="Q41" s="549" t="s">
        <v>600</v>
      </c>
    </row>
    <row r="42" spans="1:17">
      <c r="A42" s="541">
        <v>46358</v>
      </c>
      <c r="B42" s="565" t="s">
        <v>764</v>
      </c>
      <c r="C42" s="543" t="s">
        <v>775</v>
      </c>
      <c r="D42" s="544" t="s">
        <v>772</v>
      </c>
      <c r="E42" s="544" t="s">
        <v>1108</v>
      </c>
      <c r="F42" s="544" t="s">
        <v>591</v>
      </c>
      <c r="G42" s="544" t="s">
        <v>137</v>
      </c>
      <c r="H42" s="544">
        <v>300</v>
      </c>
      <c r="I42" s="544"/>
      <c r="J42" s="555">
        <v>331.17</v>
      </c>
      <c r="K42" s="544">
        <v>0</v>
      </c>
      <c r="L42" s="556">
        <v>26</v>
      </c>
      <c r="M42" s="557">
        <v>26.45</v>
      </c>
      <c r="N42" s="544">
        <v>26.225000000000001</v>
      </c>
      <c r="O42" s="544">
        <v>26.225000000000001</v>
      </c>
      <c r="P42" s="554"/>
      <c r="Q42" s="549" t="s">
        <v>600</v>
      </c>
    </row>
    <row r="43" spans="1:17">
      <c r="A43" s="541">
        <v>46358</v>
      </c>
      <c r="B43" s="565" t="s">
        <v>768</v>
      </c>
      <c r="C43" s="543" t="s">
        <v>776</v>
      </c>
      <c r="D43" s="544" t="s">
        <v>734</v>
      </c>
      <c r="E43" s="544" t="s">
        <v>1107</v>
      </c>
      <c r="F43" s="544" t="s">
        <v>591</v>
      </c>
      <c r="G43" s="544" t="s">
        <v>137</v>
      </c>
      <c r="H43" s="544">
        <v>600</v>
      </c>
      <c r="I43" s="544"/>
      <c r="J43" s="555">
        <v>649.80999999999995</v>
      </c>
      <c r="K43" s="544">
        <v>0</v>
      </c>
      <c r="L43" s="556">
        <v>16.25</v>
      </c>
      <c r="M43" s="557">
        <v>16.5</v>
      </c>
      <c r="N43" s="544">
        <v>16.375</v>
      </c>
      <c r="O43" s="544">
        <v>16.375</v>
      </c>
      <c r="P43" s="554"/>
      <c r="Q43" s="549" t="s">
        <v>600</v>
      </c>
    </row>
    <row r="44" spans="1:17">
      <c r="A44" s="541">
        <v>46358</v>
      </c>
      <c r="B44" s="565" t="s">
        <v>760</v>
      </c>
      <c r="C44" s="543" t="s">
        <v>777</v>
      </c>
      <c r="D44" s="544" t="s">
        <v>603</v>
      </c>
      <c r="E44" s="544" t="s">
        <v>1105</v>
      </c>
      <c r="F44" s="544" t="s">
        <v>596</v>
      </c>
      <c r="G44" s="544" t="s">
        <v>137</v>
      </c>
      <c r="H44" s="544">
        <v>330</v>
      </c>
      <c r="I44" s="544"/>
      <c r="J44" s="555">
        <v>368.1</v>
      </c>
      <c r="K44" s="544">
        <v>38.1</v>
      </c>
      <c r="L44" s="556">
        <v>45</v>
      </c>
      <c r="M44" s="557">
        <v>47.35</v>
      </c>
      <c r="N44" s="544">
        <v>46.174999999999997</v>
      </c>
      <c r="O44" s="544">
        <v>46.174999999999997</v>
      </c>
      <c r="P44" s="554"/>
      <c r="Q44" s="549" t="s">
        <v>600</v>
      </c>
    </row>
    <row r="45" spans="1:17">
      <c r="A45" s="541">
        <v>46358</v>
      </c>
      <c r="B45" s="565" t="s">
        <v>759</v>
      </c>
      <c r="C45" s="543" t="s">
        <v>778</v>
      </c>
      <c r="D45" s="544" t="s">
        <v>603</v>
      </c>
      <c r="E45" s="544" t="s">
        <v>1105</v>
      </c>
      <c r="F45" s="544" t="s">
        <v>596</v>
      </c>
      <c r="G45" s="544" t="s">
        <v>137</v>
      </c>
      <c r="H45" s="544">
        <v>300</v>
      </c>
      <c r="I45" s="544"/>
      <c r="J45" s="555">
        <v>368.1</v>
      </c>
      <c r="K45" s="544">
        <v>68.099999999999994</v>
      </c>
      <c r="L45" s="556">
        <v>70.95</v>
      </c>
      <c r="M45" s="557">
        <v>73.25</v>
      </c>
      <c r="N45" s="544">
        <v>72.099999999999994</v>
      </c>
      <c r="O45" s="544">
        <v>72.099999999999994</v>
      </c>
      <c r="P45" s="554"/>
      <c r="Q45" s="549" t="s">
        <v>600</v>
      </c>
    </row>
    <row r="46" spans="1:17">
      <c r="A46" s="541">
        <v>46358</v>
      </c>
      <c r="B46" s="565" t="s">
        <v>769</v>
      </c>
      <c r="C46" s="543" t="s">
        <v>779</v>
      </c>
      <c r="D46" s="544" t="s">
        <v>734</v>
      </c>
      <c r="E46" s="544" t="s">
        <v>1107</v>
      </c>
      <c r="F46" s="544" t="s">
        <v>591</v>
      </c>
      <c r="G46" s="544" t="s">
        <v>137</v>
      </c>
      <c r="H46" s="544">
        <v>570</v>
      </c>
      <c r="I46" s="544"/>
      <c r="J46" s="555">
        <v>649.80999999999995</v>
      </c>
      <c r="K46" s="544">
        <v>0</v>
      </c>
      <c r="L46" s="556">
        <v>10.050000000000001</v>
      </c>
      <c r="M46" s="557">
        <v>10.25</v>
      </c>
      <c r="N46" s="544">
        <v>10.15</v>
      </c>
      <c r="O46" s="544">
        <v>10.15</v>
      </c>
      <c r="P46" s="554"/>
      <c r="Q46" s="549" t="s">
        <v>600</v>
      </c>
    </row>
    <row r="47" spans="1:17">
      <c r="A47" s="541">
        <v>46358</v>
      </c>
      <c r="B47" s="566" t="s">
        <v>820</v>
      </c>
      <c r="C47" s="543" t="s">
        <v>822</v>
      </c>
      <c r="D47" s="544" t="s">
        <v>603</v>
      </c>
      <c r="E47" s="544" t="s">
        <v>1108</v>
      </c>
      <c r="F47" s="544" t="s">
        <v>596</v>
      </c>
      <c r="G47" s="544" t="s">
        <v>137</v>
      </c>
      <c r="H47" s="544">
        <v>340</v>
      </c>
      <c r="I47" s="544"/>
      <c r="J47" s="555">
        <v>368.1</v>
      </c>
      <c r="K47" s="544">
        <v>28.1</v>
      </c>
      <c r="L47" s="556">
        <v>55.1</v>
      </c>
      <c r="M47" s="557">
        <v>57.15</v>
      </c>
      <c r="N47" s="544">
        <v>56.125</v>
      </c>
      <c r="O47" s="544">
        <v>56.125</v>
      </c>
      <c r="P47" s="554"/>
      <c r="Q47" s="549" t="s">
        <v>600</v>
      </c>
    </row>
    <row r="48" spans="1:17">
      <c r="A48" s="541">
        <v>46358</v>
      </c>
      <c r="B48" s="566" t="s">
        <v>821</v>
      </c>
      <c r="C48" s="543" t="s">
        <v>823</v>
      </c>
      <c r="D48" s="544" t="s">
        <v>603</v>
      </c>
      <c r="E48" s="544" t="s">
        <v>1108</v>
      </c>
      <c r="F48" s="544" t="s">
        <v>596</v>
      </c>
      <c r="G48" s="544" t="s">
        <v>137</v>
      </c>
      <c r="H48" s="544">
        <v>380</v>
      </c>
      <c r="I48" s="544"/>
      <c r="J48" s="555">
        <v>368.1</v>
      </c>
      <c r="K48" s="544">
        <v>0</v>
      </c>
      <c r="L48" s="556">
        <v>34.950000000000003</v>
      </c>
      <c r="M48" s="557">
        <v>36.65</v>
      </c>
      <c r="N48" s="544">
        <v>35.799999999999997</v>
      </c>
      <c r="O48" s="544">
        <v>35.799999999999997</v>
      </c>
      <c r="P48" s="554"/>
      <c r="Q48" s="549" t="s">
        <v>600</v>
      </c>
    </row>
    <row r="49" spans="1:17">
      <c r="A49" s="541">
        <v>46358</v>
      </c>
      <c r="B49" s="566" t="s">
        <v>819</v>
      </c>
      <c r="C49" s="543" t="s">
        <v>824</v>
      </c>
      <c r="D49" s="544" t="s">
        <v>825</v>
      </c>
      <c r="E49" s="544" t="s">
        <v>1109</v>
      </c>
      <c r="F49" s="544" t="s">
        <v>596</v>
      </c>
      <c r="G49" s="544" t="s">
        <v>137</v>
      </c>
      <c r="H49" s="544">
        <v>35</v>
      </c>
      <c r="I49" s="544"/>
      <c r="J49" s="550">
        <v>33.82</v>
      </c>
      <c r="K49" s="544">
        <v>0</v>
      </c>
      <c r="L49" s="551">
        <v>0.03</v>
      </c>
      <c r="M49" s="552">
        <v>0.03</v>
      </c>
      <c r="N49" s="544">
        <v>3.4601716999999997E-2</v>
      </c>
      <c r="O49" s="544">
        <v>3.6235229000000001E-2</v>
      </c>
      <c r="P49" s="554">
        <v>16.952256429999998</v>
      </c>
      <c r="Q49" s="549" t="s">
        <v>593</v>
      </c>
    </row>
    <row r="50" spans="1:17">
      <c r="A50" s="541">
        <v>46358</v>
      </c>
      <c r="B50" s="566" t="s">
        <v>838</v>
      </c>
      <c r="C50" s="543" t="s">
        <v>840</v>
      </c>
      <c r="D50" s="544" t="s">
        <v>841</v>
      </c>
      <c r="E50" s="544" t="s">
        <v>1110</v>
      </c>
      <c r="F50" s="544" t="s">
        <v>596</v>
      </c>
      <c r="G50" s="544" t="s">
        <v>137</v>
      </c>
      <c r="H50" s="544">
        <v>115</v>
      </c>
      <c r="I50" s="544"/>
      <c r="J50" s="555">
        <v>98.28</v>
      </c>
      <c r="K50" s="544">
        <v>0</v>
      </c>
      <c r="L50" s="556">
        <v>7.95</v>
      </c>
      <c r="M50" s="557">
        <v>8.65</v>
      </c>
      <c r="N50" s="544">
        <v>8.3000000000000007</v>
      </c>
      <c r="O50" s="544">
        <v>8.3000000000000007</v>
      </c>
      <c r="P50" s="554"/>
      <c r="Q50" s="549" t="s">
        <v>600</v>
      </c>
    </row>
    <row r="51" spans="1:17">
      <c r="A51" s="541">
        <v>46358</v>
      </c>
      <c r="B51" s="566" t="s">
        <v>837</v>
      </c>
      <c r="C51" s="543" t="s">
        <v>842</v>
      </c>
      <c r="D51" s="544" t="s">
        <v>841</v>
      </c>
      <c r="E51" s="544" t="s">
        <v>1110</v>
      </c>
      <c r="F51" s="544" t="s">
        <v>596</v>
      </c>
      <c r="G51" s="544" t="s">
        <v>137</v>
      </c>
      <c r="H51" s="544">
        <v>105</v>
      </c>
      <c r="I51" s="544"/>
      <c r="J51" s="555">
        <v>98.28</v>
      </c>
      <c r="K51" s="544">
        <v>0</v>
      </c>
      <c r="L51" s="556">
        <v>11.05</v>
      </c>
      <c r="M51" s="557">
        <v>11.8</v>
      </c>
      <c r="N51" s="544">
        <v>11.425000000000001</v>
      </c>
      <c r="O51" s="544">
        <v>11.425000000000001</v>
      </c>
      <c r="P51" s="554"/>
      <c r="Q51" s="549" t="s">
        <v>600</v>
      </c>
    </row>
    <row r="52" spans="1:17">
      <c r="A52" s="541">
        <v>46358</v>
      </c>
      <c r="B52" s="566" t="s">
        <v>844</v>
      </c>
      <c r="C52" s="543" t="s">
        <v>848</v>
      </c>
      <c r="D52" s="544" t="s">
        <v>849</v>
      </c>
      <c r="E52" s="544" t="s">
        <v>1109</v>
      </c>
      <c r="F52" s="544" t="s">
        <v>596</v>
      </c>
      <c r="G52" s="544" t="s">
        <v>137</v>
      </c>
      <c r="H52" s="544">
        <v>500</v>
      </c>
      <c r="I52" s="544"/>
      <c r="J52" s="555">
        <v>630.29</v>
      </c>
      <c r="K52" s="544">
        <v>130.29</v>
      </c>
      <c r="L52" s="556">
        <v>129.1</v>
      </c>
      <c r="M52" s="557">
        <v>137.4</v>
      </c>
      <c r="N52" s="544">
        <v>133.25</v>
      </c>
      <c r="O52" s="544">
        <v>133.25</v>
      </c>
      <c r="P52" s="554"/>
      <c r="Q52" s="549" t="s">
        <v>600</v>
      </c>
    </row>
    <row r="53" spans="1:17">
      <c r="A53" s="541">
        <v>46358</v>
      </c>
      <c r="B53" s="566" t="s">
        <v>850</v>
      </c>
      <c r="C53" s="543" t="s">
        <v>851</v>
      </c>
      <c r="D53" s="544" t="s">
        <v>601</v>
      </c>
      <c r="E53" s="544" t="s">
        <v>1109</v>
      </c>
      <c r="F53" s="544" t="s">
        <v>596</v>
      </c>
      <c r="G53" s="544" t="s">
        <v>137</v>
      </c>
      <c r="H53" s="544">
        <v>35</v>
      </c>
      <c r="I53" s="544"/>
      <c r="J53" s="550">
        <v>38.49</v>
      </c>
      <c r="K53" s="544">
        <v>3.49</v>
      </c>
      <c r="L53" s="551">
        <v>3.55</v>
      </c>
      <c r="M53" s="552">
        <v>3.55</v>
      </c>
      <c r="N53" s="544">
        <v>3.5511102370000001</v>
      </c>
      <c r="O53" s="544">
        <v>3.55396607</v>
      </c>
      <c r="P53" s="554">
        <v>39.226222530000001</v>
      </c>
      <c r="Q53" s="549" t="s">
        <v>593</v>
      </c>
    </row>
    <row r="54" spans="1:17">
      <c r="A54" s="541">
        <v>46358</v>
      </c>
      <c r="B54" s="567" t="s">
        <v>845</v>
      </c>
      <c r="C54" s="543" t="s">
        <v>852</v>
      </c>
      <c r="D54" s="544" t="s">
        <v>726</v>
      </c>
      <c r="E54" s="544" t="s">
        <v>1105</v>
      </c>
      <c r="F54" s="544" t="s">
        <v>591</v>
      </c>
      <c r="G54" s="544" t="s">
        <v>137</v>
      </c>
      <c r="H54" s="544">
        <v>70</v>
      </c>
      <c r="I54" s="544"/>
      <c r="J54" s="555">
        <v>78.23</v>
      </c>
      <c r="K54" s="544">
        <v>0</v>
      </c>
      <c r="L54" s="556">
        <v>3.05</v>
      </c>
      <c r="M54" s="557">
        <v>3.3</v>
      </c>
      <c r="N54" s="544">
        <v>3.1749999999999998</v>
      </c>
      <c r="O54" s="544">
        <v>3.1749999999999998</v>
      </c>
      <c r="P54" s="554"/>
      <c r="Q54" s="549" t="s">
        <v>600</v>
      </c>
    </row>
    <row r="55" spans="1:17">
      <c r="A55" s="541">
        <v>46358</v>
      </c>
      <c r="B55" s="567" t="s">
        <v>853</v>
      </c>
      <c r="C55" s="543" t="s">
        <v>859</v>
      </c>
      <c r="D55" s="544" t="s">
        <v>849</v>
      </c>
      <c r="E55" s="544" t="s">
        <v>1109</v>
      </c>
      <c r="F55" s="544" t="s">
        <v>596</v>
      </c>
      <c r="G55" s="544" t="s">
        <v>137</v>
      </c>
      <c r="H55" s="544">
        <v>550</v>
      </c>
      <c r="I55" s="544"/>
      <c r="J55" s="555">
        <v>630.29</v>
      </c>
      <c r="K55" s="544">
        <v>80.290000000000006</v>
      </c>
      <c r="L55" s="556">
        <v>86.1</v>
      </c>
      <c r="M55" s="557">
        <v>92.6</v>
      </c>
      <c r="N55" s="544">
        <v>89.35</v>
      </c>
      <c r="O55" s="544">
        <v>89.35</v>
      </c>
      <c r="P55" s="554"/>
      <c r="Q55" s="549" t="s">
        <v>600</v>
      </c>
    </row>
    <row r="56" spans="1:17">
      <c r="A56" s="541">
        <v>46358</v>
      </c>
      <c r="B56" s="567" t="s">
        <v>856</v>
      </c>
      <c r="C56" s="543" t="s">
        <v>860</v>
      </c>
      <c r="D56" s="544" t="s">
        <v>734</v>
      </c>
      <c r="E56" s="544" t="s">
        <v>1111</v>
      </c>
      <c r="F56" s="544" t="s">
        <v>596</v>
      </c>
      <c r="G56" s="544" t="s">
        <v>137</v>
      </c>
      <c r="H56" s="544">
        <v>670</v>
      </c>
      <c r="I56" s="544"/>
      <c r="J56" s="555">
        <v>649.80999999999995</v>
      </c>
      <c r="K56" s="544">
        <v>0</v>
      </c>
      <c r="L56" s="556">
        <v>55.45</v>
      </c>
      <c r="M56" s="557">
        <v>55.85</v>
      </c>
      <c r="N56" s="544">
        <v>55.65</v>
      </c>
      <c r="O56" s="544">
        <v>55.65</v>
      </c>
      <c r="P56" s="554"/>
      <c r="Q56" s="549" t="s">
        <v>600</v>
      </c>
    </row>
    <row r="57" spans="1:17">
      <c r="A57" s="541">
        <v>46358</v>
      </c>
      <c r="B57" s="567" t="s">
        <v>855</v>
      </c>
      <c r="C57" s="543" t="s">
        <v>861</v>
      </c>
      <c r="D57" s="544" t="s">
        <v>698</v>
      </c>
      <c r="E57" s="544" t="s">
        <v>1111</v>
      </c>
      <c r="F57" s="544" t="s">
        <v>596</v>
      </c>
      <c r="G57" s="544" t="s">
        <v>137</v>
      </c>
      <c r="H57" s="544">
        <v>245</v>
      </c>
      <c r="I57" s="544"/>
      <c r="J57" s="555">
        <v>199.6</v>
      </c>
      <c r="K57" s="544">
        <v>0</v>
      </c>
      <c r="L57" s="556">
        <v>5.6</v>
      </c>
      <c r="M57" s="557">
        <v>5.8</v>
      </c>
      <c r="N57" s="544">
        <v>5.7</v>
      </c>
      <c r="O57" s="544">
        <v>5.7</v>
      </c>
      <c r="P57" s="554"/>
      <c r="Q57" s="549" t="s">
        <v>600</v>
      </c>
    </row>
    <row r="58" spans="1:17">
      <c r="A58" s="541">
        <v>46358</v>
      </c>
      <c r="B58" s="554" t="s">
        <v>862</v>
      </c>
      <c r="C58" s="543" t="s">
        <v>863</v>
      </c>
      <c r="D58" s="544" t="s">
        <v>864</v>
      </c>
      <c r="E58" s="568">
        <v>46307</v>
      </c>
      <c r="F58" s="544" t="s">
        <v>596</v>
      </c>
      <c r="G58" s="544" t="s">
        <v>770</v>
      </c>
      <c r="H58" s="544">
        <v>1000</v>
      </c>
      <c r="I58" s="544"/>
      <c r="J58" s="550">
        <v>816.28</v>
      </c>
      <c r="K58" s="544">
        <v>0</v>
      </c>
      <c r="L58" s="550">
        <v>38.650598789999997</v>
      </c>
      <c r="M58" s="550">
        <v>38.650598789999997</v>
      </c>
      <c r="N58" s="550">
        <v>38.650598789999997</v>
      </c>
      <c r="O58" s="550">
        <v>38.678193190000002</v>
      </c>
      <c r="P58" s="544">
        <v>31.555279129999999</v>
      </c>
      <c r="Q58" s="549" t="s">
        <v>593</v>
      </c>
    </row>
    <row r="59" spans="1:17">
      <c r="A59" s="541">
        <v>46358</v>
      </c>
      <c r="B59" s="567" t="s">
        <v>854</v>
      </c>
      <c r="C59" s="543" t="s">
        <v>865</v>
      </c>
      <c r="D59" s="544" t="s">
        <v>744</v>
      </c>
      <c r="E59" s="544" t="s">
        <v>1105</v>
      </c>
      <c r="F59" s="544" t="s">
        <v>596</v>
      </c>
      <c r="G59" s="544" t="s">
        <v>137</v>
      </c>
      <c r="H59" s="544">
        <v>420</v>
      </c>
      <c r="I59" s="544"/>
      <c r="J59" s="555">
        <v>583.46</v>
      </c>
      <c r="K59" s="544">
        <v>163.46</v>
      </c>
      <c r="L59" s="556">
        <v>180</v>
      </c>
      <c r="M59" s="557">
        <v>183.9</v>
      </c>
      <c r="N59" s="544">
        <v>181.95</v>
      </c>
      <c r="O59" s="544">
        <v>181.95</v>
      </c>
      <c r="P59" s="554"/>
      <c r="Q59" s="549" t="s">
        <v>600</v>
      </c>
    </row>
    <row r="60" spans="1:17">
      <c r="A60" s="541">
        <v>46358</v>
      </c>
      <c r="B60" s="567" t="s">
        <v>857</v>
      </c>
      <c r="C60" s="543" t="s">
        <v>866</v>
      </c>
      <c r="D60" s="544" t="s">
        <v>602</v>
      </c>
      <c r="E60" s="544" t="s">
        <v>1111</v>
      </c>
      <c r="F60" s="544" t="s">
        <v>596</v>
      </c>
      <c r="G60" s="544" t="s">
        <v>137</v>
      </c>
      <c r="H60" s="544">
        <v>465</v>
      </c>
      <c r="I60" s="544"/>
      <c r="J60" s="555">
        <v>401.84</v>
      </c>
      <c r="K60" s="544">
        <v>0</v>
      </c>
      <c r="L60" s="556">
        <v>11.7</v>
      </c>
      <c r="M60" s="557">
        <v>11.85</v>
      </c>
      <c r="N60" s="544">
        <v>11.775</v>
      </c>
      <c r="O60" s="544">
        <v>11.775</v>
      </c>
      <c r="P60" s="554"/>
      <c r="Q60" s="549" t="s">
        <v>600</v>
      </c>
    </row>
    <row r="61" spans="1:17">
      <c r="A61" s="541">
        <v>46358</v>
      </c>
      <c r="B61" s="542" t="s">
        <v>882</v>
      </c>
      <c r="C61" s="543" t="s">
        <v>883</v>
      </c>
      <c r="D61" s="544" t="s">
        <v>601</v>
      </c>
      <c r="E61" s="544" t="s">
        <v>1109</v>
      </c>
      <c r="F61" s="544" t="s">
        <v>596</v>
      </c>
      <c r="G61" s="544" t="s">
        <v>137</v>
      </c>
      <c r="H61" s="544">
        <v>37</v>
      </c>
      <c r="I61" s="544"/>
      <c r="J61" s="550">
        <v>38.49</v>
      </c>
      <c r="K61" s="544">
        <v>1.49</v>
      </c>
      <c r="L61" s="550">
        <v>1.7374208680000001</v>
      </c>
      <c r="M61" s="550">
        <v>1.7374208680000001</v>
      </c>
      <c r="N61" s="550">
        <v>1.7374208680000001</v>
      </c>
      <c r="O61" s="550">
        <v>1.7440936300000001</v>
      </c>
      <c r="P61" s="544">
        <v>33.944923230000001</v>
      </c>
      <c r="Q61" s="549" t="s">
        <v>593</v>
      </c>
    </row>
    <row r="62" spans="1:17">
      <c r="A62" s="541">
        <v>46358</v>
      </c>
      <c r="B62" s="542" t="s">
        <v>879</v>
      </c>
      <c r="C62" s="543" t="s">
        <v>884</v>
      </c>
      <c r="D62" s="544" t="s">
        <v>885</v>
      </c>
      <c r="E62" s="544" t="s">
        <v>1111</v>
      </c>
      <c r="F62" s="544" t="s">
        <v>596</v>
      </c>
      <c r="G62" s="544" t="s">
        <v>137</v>
      </c>
      <c r="H62" s="544">
        <v>50</v>
      </c>
      <c r="I62" s="544"/>
      <c r="J62" s="555">
        <v>46.48</v>
      </c>
      <c r="K62" s="544">
        <v>0</v>
      </c>
      <c r="L62" s="556">
        <v>6</v>
      </c>
      <c r="M62" s="557">
        <v>6.4</v>
      </c>
      <c r="N62" s="544">
        <v>6.2</v>
      </c>
      <c r="O62" s="544">
        <v>6.2</v>
      </c>
      <c r="P62" s="554"/>
      <c r="Q62" s="549" t="s">
        <v>600</v>
      </c>
    </row>
    <row r="63" spans="1:17">
      <c r="A63" s="541">
        <v>46358</v>
      </c>
      <c r="B63" s="542" t="s">
        <v>880</v>
      </c>
      <c r="C63" s="543" t="s">
        <v>886</v>
      </c>
      <c r="D63" s="544" t="s">
        <v>885</v>
      </c>
      <c r="E63" s="544" t="s">
        <v>1111</v>
      </c>
      <c r="F63" s="544" t="s">
        <v>596</v>
      </c>
      <c r="G63" s="544" t="s">
        <v>137</v>
      </c>
      <c r="H63" s="544">
        <v>60</v>
      </c>
      <c r="I63" s="544"/>
      <c r="J63" s="555">
        <v>46.48</v>
      </c>
      <c r="K63" s="544">
        <v>0</v>
      </c>
      <c r="L63" s="556">
        <v>3.4</v>
      </c>
      <c r="M63" s="557">
        <v>3.6</v>
      </c>
      <c r="N63" s="544">
        <v>3.5</v>
      </c>
      <c r="O63" s="544">
        <v>3.5</v>
      </c>
      <c r="P63" s="554"/>
      <c r="Q63" s="549" t="s">
        <v>600</v>
      </c>
    </row>
    <row r="64" spans="1:17">
      <c r="A64" s="541">
        <v>46358</v>
      </c>
      <c r="B64" s="542" t="s">
        <v>878</v>
      </c>
      <c r="C64" s="543" t="s">
        <v>887</v>
      </c>
      <c r="D64" s="544" t="s">
        <v>885</v>
      </c>
      <c r="E64" s="544" t="s">
        <v>1111</v>
      </c>
      <c r="F64" s="544" t="s">
        <v>591</v>
      </c>
      <c r="G64" s="544" t="s">
        <v>137</v>
      </c>
      <c r="H64" s="544">
        <v>40</v>
      </c>
      <c r="I64" s="544"/>
      <c r="J64" s="555">
        <v>46.48</v>
      </c>
      <c r="K64" s="544">
        <v>0</v>
      </c>
      <c r="L64" s="556">
        <v>3.4</v>
      </c>
      <c r="M64" s="557">
        <v>3.8</v>
      </c>
      <c r="N64" s="544">
        <v>3.6</v>
      </c>
      <c r="O64" s="544">
        <v>3.6</v>
      </c>
      <c r="P64" s="554"/>
      <c r="Q64" s="549" t="s">
        <v>600</v>
      </c>
    </row>
    <row r="65" spans="1:17">
      <c r="A65" s="541">
        <v>46358</v>
      </c>
      <c r="B65" s="542" t="s">
        <v>881</v>
      </c>
      <c r="C65" s="543" t="s">
        <v>888</v>
      </c>
      <c r="D65" s="544" t="s">
        <v>602</v>
      </c>
      <c r="E65" s="544" t="s">
        <v>1111</v>
      </c>
      <c r="F65" s="544" t="s">
        <v>596</v>
      </c>
      <c r="G65" s="544" t="s">
        <v>137</v>
      </c>
      <c r="H65" s="544">
        <v>475</v>
      </c>
      <c r="I65" s="544"/>
      <c r="J65" s="555">
        <v>401.84</v>
      </c>
      <c r="K65" s="544">
        <v>0</v>
      </c>
      <c r="L65" s="556">
        <v>9.6999999999999993</v>
      </c>
      <c r="M65" s="557">
        <v>9.85</v>
      </c>
      <c r="N65" s="544">
        <v>9.7750000000000004</v>
      </c>
      <c r="O65" s="544">
        <v>9.7750000000000004</v>
      </c>
      <c r="P65" s="554"/>
      <c r="Q65" s="549" t="s">
        <v>600</v>
      </c>
    </row>
    <row r="66" spans="1:17">
      <c r="A66" s="541">
        <v>46358</v>
      </c>
      <c r="B66" s="566" t="s">
        <v>898</v>
      </c>
      <c r="C66" s="543" t="s">
        <v>911</v>
      </c>
      <c r="D66" s="544" t="s">
        <v>602</v>
      </c>
      <c r="E66" s="544" t="s">
        <v>1111</v>
      </c>
      <c r="F66" s="544" t="s">
        <v>596</v>
      </c>
      <c r="G66" s="544" t="s">
        <v>137</v>
      </c>
      <c r="H66" s="544">
        <v>500</v>
      </c>
      <c r="I66" s="544"/>
      <c r="J66" s="555">
        <v>401.84</v>
      </c>
      <c r="K66" s="544">
        <v>0</v>
      </c>
      <c r="L66" s="556">
        <v>6.1</v>
      </c>
      <c r="M66" s="557">
        <v>6.25</v>
      </c>
      <c r="N66" s="544">
        <v>6.1749999999999998</v>
      </c>
      <c r="O66" s="544">
        <v>6.1749999999999998</v>
      </c>
      <c r="P66" s="554"/>
      <c r="Q66" s="549" t="s">
        <v>600</v>
      </c>
    </row>
    <row r="67" spans="1:17">
      <c r="A67" s="541">
        <v>46358</v>
      </c>
      <c r="B67" s="566" t="s">
        <v>912</v>
      </c>
      <c r="C67" s="543" t="s">
        <v>913</v>
      </c>
      <c r="D67" s="544" t="s">
        <v>914</v>
      </c>
      <c r="E67" s="544" t="s">
        <v>1107</v>
      </c>
      <c r="F67" s="544" t="s">
        <v>596</v>
      </c>
      <c r="G67" s="544" t="s">
        <v>137</v>
      </c>
      <c r="H67" s="544">
        <v>61</v>
      </c>
      <c r="I67" s="544"/>
      <c r="J67" s="555">
        <v>60.86</v>
      </c>
      <c r="K67" s="544">
        <v>0</v>
      </c>
      <c r="L67" s="556">
        <v>2.0499999999999998</v>
      </c>
      <c r="M67" s="557">
        <v>2.35</v>
      </c>
      <c r="N67" s="544">
        <v>2.2000000000000002</v>
      </c>
      <c r="O67" s="544">
        <v>2.2000000000000002</v>
      </c>
      <c r="P67" s="554"/>
      <c r="Q67" s="549" t="s">
        <v>600</v>
      </c>
    </row>
    <row r="68" spans="1:17">
      <c r="A68" s="541">
        <v>46358</v>
      </c>
      <c r="B68" s="566" t="s">
        <v>915</v>
      </c>
      <c r="C68" s="543" t="s">
        <v>916</v>
      </c>
      <c r="D68" s="544" t="s">
        <v>914</v>
      </c>
      <c r="E68" s="544" t="s">
        <v>1107</v>
      </c>
      <c r="F68" s="544" t="s">
        <v>596</v>
      </c>
      <c r="G68" s="544" t="s">
        <v>137</v>
      </c>
      <c r="H68" s="544">
        <v>65</v>
      </c>
      <c r="I68" s="544"/>
      <c r="J68" s="555">
        <v>60.86</v>
      </c>
      <c r="K68" s="544">
        <v>0</v>
      </c>
      <c r="L68" s="556">
        <v>0.61</v>
      </c>
      <c r="M68" s="557">
        <v>0.79</v>
      </c>
      <c r="N68" s="544">
        <v>0.7</v>
      </c>
      <c r="O68" s="544">
        <v>0.7</v>
      </c>
      <c r="P68" s="554"/>
      <c r="Q68" s="549" t="s">
        <v>600</v>
      </c>
    </row>
    <row r="69" spans="1:17">
      <c r="A69" s="541">
        <v>46358</v>
      </c>
      <c r="B69" s="567" t="s">
        <v>917</v>
      </c>
      <c r="C69" s="543" t="s">
        <v>918</v>
      </c>
      <c r="D69" s="544" t="s">
        <v>914</v>
      </c>
      <c r="E69" s="544" t="s">
        <v>1109</v>
      </c>
      <c r="F69" s="544" t="s">
        <v>596</v>
      </c>
      <c r="G69" s="544" t="s">
        <v>137</v>
      </c>
      <c r="H69" s="544">
        <v>61</v>
      </c>
      <c r="I69" s="544"/>
      <c r="J69" s="550">
        <v>60.86</v>
      </c>
      <c r="K69" s="544">
        <v>0</v>
      </c>
      <c r="L69" s="550">
        <v>0.74494528699999996</v>
      </c>
      <c r="M69" s="550">
        <v>0.74494528699999996</v>
      </c>
      <c r="N69" s="550">
        <v>0.74494528699999996</v>
      </c>
      <c r="O69" s="550">
        <v>0.75452885300000005</v>
      </c>
      <c r="P69" s="544">
        <v>22.412839219999999</v>
      </c>
      <c r="Q69" s="549" t="s">
        <v>593</v>
      </c>
    </row>
    <row r="70" spans="1:17">
      <c r="A70" s="541">
        <v>46358</v>
      </c>
      <c r="B70" s="567" t="s">
        <v>924</v>
      </c>
      <c r="C70" s="543" t="s">
        <v>941</v>
      </c>
      <c r="D70" s="544" t="s">
        <v>940</v>
      </c>
      <c r="E70" s="544" t="s">
        <v>1112</v>
      </c>
      <c r="F70" s="544" t="s">
        <v>596</v>
      </c>
      <c r="G70" s="544" t="s">
        <v>137</v>
      </c>
      <c r="H70" s="544">
        <v>202.5</v>
      </c>
      <c r="I70" s="544"/>
      <c r="J70" s="555">
        <v>186.94</v>
      </c>
      <c r="K70" s="544">
        <v>0</v>
      </c>
      <c r="L70" s="556">
        <v>0.02</v>
      </c>
      <c r="M70" s="557">
        <v>0.03</v>
      </c>
      <c r="N70" s="544">
        <v>2.5000000000000001E-2</v>
      </c>
      <c r="O70" s="544">
        <v>2.5000000000000001E-2</v>
      </c>
      <c r="P70" s="554"/>
      <c r="Q70" s="549" t="s">
        <v>600</v>
      </c>
    </row>
    <row r="71" spans="1:17">
      <c r="A71" s="541">
        <v>46358</v>
      </c>
      <c r="B71" s="567" t="s">
        <v>923</v>
      </c>
      <c r="C71" s="543" t="s">
        <v>942</v>
      </c>
      <c r="D71" s="544" t="s">
        <v>940</v>
      </c>
      <c r="E71" s="544" t="s">
        <v>1113</v>
      </c>
      <c r="F71" s="544" t="s">
        <v>596</v>
      </c>
      <c r="G71" s="544" t="s">
        <v>137</v>
      </c>
      <c r="H71" s="544">
        <v>200</v>
      </c>
      <c r="I71" s="544"/>
      <c r="J71" s="555">
        <v>186.94</v>
      </c>
      <c r="K71" s="544">
        <v>0</v>
      </c>
      <c r="L71" s="556">
        <v>12.4</v>
      </c>
      <c r="M71" s="557">
        <v>12.55</v>
      </c>
      <c r="N71" s="544">
        <v>12.475</v>
      </c>
      <c r="O71" s="544">
        <v>12.475</v>
      </c>
      <c r="P71" s="554"/>
      <c r="Q71" s="549" t="s">
        <v>600</v>
      </c>
    </row>
    <row r="72" spans="1:17">
      <c r="A72" s="541">
        <v>46358</v>
      </c>
      <c r="B72" s="567" t="s">
        <v>935</v>
      </c>
      <c r="C72" s="543" t="s">
        <v>943</v>
      </c>
      <c r="D72" s="544" t="s">
        <v>734</v>
      </c>
      <c r="E72" s="544" t="s">
        <v>1111</v>
      </c>
      <c r="F72" s="544" t="s">
        <v>596</v>
      </c>
      <c r="G72" s="544" t="s">
        <v>137</v>
      </c>
      <c r="H72" s="544">
        <v>700</v>
      </c>
      <c r="I72" s="544"/>
      <c r="J72" s="555">
        <v>649.80999999999995</v>
      </c>
      <c r="K72" s="544">
        <v>0</v>
      </c>
      <c r="L72" s="556">
        <v>42.9</v>
      </c>
      <c r="M72" s="557">
        <v>43.3</v>
      </c>
      <c r="N72" s="544">
        <v>43.1</v>
      </c>
      <c r="O72" s="544">
        <v>43.1</v>
      </c>
      <c r="P72" s="554"/>
      <c r="Q72" s="549" t="s">
        <v>600</v>
      </c>
    </row>
    <row r="73" spans="1:17">
      <c r="A73" s="541">
        <v>46358</v>
      </c>
      <c r="B73" s="567" t="s">
        <v>958</v>
      </c>
      <c r="C73" s="543" t="s">
        <v>964</v>
      </c>
      <c r="D73" s="544" t="s">
        <v>965</v>
      </c>
      <c r="E73" s="544" t="s">
        <v>1107</v>
      </c>
      <c r="F73" s="544" t="s">
        <v>596</v>
      </c>
      <c r="G73" s="544" t="s">
        <v>137</v>
      </c>
      <c r="H73" s="544">
        <v>260</v>
      </c>
      <c r="I73" s="544"/>
      <c r="J73" s="555">
        <v>261.73</v>
      </c>
      <c r="K73" s="544">
        <v>1.73</v>
      </c>
      <c r="L73" s="556">
        <v>13.5</v>
      </c>
      <c r="M73" s="557">
        <v>13.7</v>
      </c>
      <c r="N73" s="544">
        <v>13.6</v>
      </c>
      <c r="O73" s="544">
        <v>13.6</v>
      </c>
      <c r="P73" s="554"/>
      <c r="Q73" s="549" t="s">
        <v>600</v>
      </c>
    </row>
    <row r="74" spans="1:17">
      <c r="A74" s="541">
        <v>46358</v>
      </c>
      <c r="B74" s="567" t="s">
        <v>959</v>
      </c>
      <c r="C74" s="543" t="s">
        <v>966</v>
      </c>
      <c r="D74" s="544" t="s">
        <v>965</v>
      </c>
      <c r="E74" s="544" t="s">
        <v>1107</v>
      </c>
      <c r="F74" s="544" t="s">
        <v>596</v>
      </c>
      <c r="G74" s="544" t="s">
        <v>137</v>
      </c>
      <c r="H74" s="544">
        <v>280</v>
      </c>
      <c r="I74" s="544"/>
      <c r="J74" s="555">
        <v>261.73</v>
      </c>
      <c r="K74" s="544">
        <v>0</v>
      </c>
      <c r="L74" s="556">
        <v>4.7</v>
      </c>
      <c r="M74" s="557">
        <v>4.8499999999999996</v>
      </c>
      <c r="N74" s="544">
        <v>4.7750000000000004</v>
      </c>
      <c r="O74" s="544">
        <v>4.7750000000000004</v>
      </c>
      <c r="P74" s="554"/>
      <c r="Q74" s="549" t="s">
        <v>600</v>
      </c>
    </row>
    <row r="75" spans="1:17">
      <c r="A75" s="541">
        <v>46358</v>
      </c>
      <c r="B75" s="567" t="s">
        <v>957</v>
      </c>
      <c r="C75" s="543" t="s">
        <v>967</v>
      </c>
      <c r="D75" s="544" t="s">
        <v>734</v>
      </c>
      <c r="E75" s="544" t="s">
        <v>1111</v>
      </c>
      <c r="F75" s="544" t="s">
        <v>596</v>
      </c>
      <c r="G75" s="544" t="s">
        <v>137</v>
      </c>
      <c r="H75" s="544">
        <v>750</v>
      </c>
      <c r="I75" s="544"/>
      <c r="J75" s="555">
        <v>649.80999999999995</v>
      </c>
      <c r="K75" s="544">
        <v>0</v>
      </c>
      <c r="L75" s="556">
        <v>27.3</v>
      </c>
      <c r="M75" s="557">
        <v>27.5</v>
      </c>
      <c r="N75" s="544">
        <v>27.4</v>
      </c>
      <c r="O75" s="544">
        <v>27.4</v>
      </c>
      <c r="P75" s="554"/>
      <c r="Q75" s="549" t="s">
        <v>600</v>
      </c>
    </row>
    <row r="76" spans="1:17">
      <c r="A76" s="541">
        <v>46358</v>
      </c>
      <c r="B76" s="567" t="s">
        <v>979</v>
      </c>
      <c r="C76" s="543" t="s">
        <v>988</v>
      </c>
      <c r="D76" s="544" t="s">
        <v>726</v>
      </c>
      <c r="E76" s="544" t="s">
        <v>1105</v>
      </c>
      <c r="F76" s="544" t="s">
        <v>591</v>
      </c>
      <c r="G76" s="544" t="s">
        <v>137</v>
      </c>
      <c r="H76" s="544">
        <v>60</v>
      </c>
      <c r="I76" s="544"/>
      <c r="J76" s="555">
        <v>78.23</v>
      </c>
      <c r="K76" s="544">
        <v>0</v>
      </c>
      <c r="L76" s="556">
        <v>1.02</v>
      </c>
      <c r="M76" s="557">
        <v>1.1399999999999999</v>
      </c>
      <c r="N76" s="544">
        <v>1.08</v>
      </c>
      <c r="O76" s="544">
        <v>1.08</v>
      </c>
      <c r="P76" s="554"/>
      <c r="Q76" s="549" t="s">
        <v>600</v>
      </c>
    </row>
    <row r="77" spans="1:17">
      <c r="A77" s="541">
        <v>46358</v>
      </c>
      <c r="B77" s="567" t="s">
        <v>980</v>
      </c>
      <c r="C77" s="543" t="s">
        <v>989</v>
      </c>
      <c r="D77" s="544" t="s">
        <v>754</v>
      </c>
      <c r="E77" s="544" t="s">
        <v>1113</v>
      </c>
      <c r="F77" s="544" t="s">
        <v>596</v>
      </c>
      <c r="G77" s="544" t="s">
        <v>137</v>
      </c>
      <c r="H77" s="544">
        <v>90</v>
      </c>
      <c r="I77" s="544"/>
      <c r="J77" s="555">
        <v>75.86</v>
      </c>
      <c r="K77" s="544">
        <v>0</v>
      </c>
      <c r="L77" s="556">
        <v>2.12</v>
      </c>
      <c r="M77" s="557">
        <v>2.2400000000000002</v>
      </c>
      <c r="N77" s="544">
        <v>2.1800000000000002</v>
      </c>
      <c r="O77" s="544">
        <v>2.1800000000000002</v>
      </c>
      <c r="P77" s="554"/>
      <c r="Q77" s="549" t="s">
        <v>600</v>
      </c>
    </row>
    <row r="78" spans="1:17">
      <c r="A78" s="541">
        <v>46358</v>
      </c>
      <c r="B78" s="567" t="s">
        <v>981</v>
      </c>
      <c r="C78" s="543" t="s">
        <v>990</v>
      </c>
      <c r="D78" s="544" t="s">
        <v>754</v>
      </c>
      <c r="E78" s="544" t="s">
        <v>1113</v>
      </c>
      <c r="F78" s="544" t="s">
        <v>591</v>
      </c>
      <c r="G78" s="544" t="s">
        <v>137</v>
      </c>
      <c r="H78" s="544">
        <v>70</v>
      </c>
      <c r="I78" s="544"/>
      <c r="J78" s="555">
        <v>75.86</v>
      </c>
      <c r="K78" s="544">
        <v>0</v>
      </c>
      <c r="L78" s="556">
        <v>3.6</v>
      </c>
      <c r="M78" s="557">
        <v>3.75</v>
      </c>
      <c r="N78" s="544">
        <v>3.6749999999999998</v>
      </c>
      <c r="O78" s="544">
        <v>3.6749999999999998</v>
      </c>
      <c r="P78" s="554"/>
      <c r="Q78" s="549" t="s">
        <v>600</v>
      </c>
    </row>
    <row r="79" spans="1:17">
      <c r="A79" s="541">
        <v>46358</v>
      </c>
      <c r="B79" s="567" t="s">
        <v>997</v>
      </c>
      <c r="C79" s="543" t="s">
        <v>999</v>
      </c>
      <c r="D79" s="544" t="s">
        <v>1000</v>
      </c>
      <c r="E79" s="544" t="s">
        <v>1109</v>
      </c>
      <c r="F79" s="544" t="s">
        <v>596</v>
      </c>
      <c r="G79" s="544" t="s">
        <v>137</v>
      </c>
      <c r="H79" s="544">
        <v>2150</v>
      </c>
      <c r="I79" s="544"/>
      <c r="J79" s="550">
        <v>2007</v>
      </c>
      <c r="K79" s="544">
        <v>0</v>
      </c>
      <c r="L79" s="550">
        <v>10.30546152</v>
      </c>
      <c r="M79" s="550">
        <v>10.30546152</v>
      </c>
      <c r="N79" s="550">
        <v>10.30546152</v>
      </c>
      <c r="O79" s="550">
        <v>10.6734454</v>
      </c>
      <c r="P79" s="544">
        <v>43.660021120000003</v>
      </c>
      <c r="Q79" s="549" t="s">
        <v>593</v>
      </c>
    </row>
    <row r="80" spans="1:17">
      <c r="A80" s="541">
        <v>46358</v>
      </c>
      <c r="B80" s="567" t="s">
        <v>998</v>
      </c>
      <c r="C80" s="543" t="s">
        <v>1001</v>
      </c>
      <c r="D80" s="544" t="s">
        <v>772</v>
      </c>
      <c r="E80" s="544" t="s">
        <v>1112</v>
      </c>
      <c r="F80" s="544" t="s">
        <v>596</v>
      </c>
      <c r="G80" s="544" t="s">
        <v>137</v>
      </c>
      <c r="H80" s="544">
        <v>330</v>
      </c>
      <c r="I80" s="544"/>
      <c r="J80" s="555">
        <v>331.17</v>
      </c>
      <c r="K80" s="544">
        <v>1.17</v>
      </c>
      <c r="L80" s="556">
        <v>4.7</v>
      </c>
      <c r="M80" s="557">
        <v>5.35</v>
      </c>
      <c r="N80" s="544">
        <v>5.0250000000000004</v>
      </c>
      <c r="O80" s="544">
        <v>5.0250000000000004</v>
      </c>
      <c r="P80" s="554"/>
      <c r="Q80" s="549" t="s">
        <v>600</v>
      </c>
    </row>
    <row r="81" spans="1:17">
      <c r="A81" s="541">
        <v>46358</v>
      </c>
      <c r="B81" s="567" t="s">
        <v>1010</v>
      </c>
      <c r="C81" s="543" t="s">
        <v>1016</v>
      </c>
      <c r="D81" s="544" t="s">
        <v>698</v>
      </c>
      <c r="E81" s="544" t="s">
        <v>1107</v>
      </c>
      <c r="F81" s="544" t="s">
        <v>596</v>
      </c>
      <c r="G81" s="544" t="s">
        <v>137</v>
      </c>
      <c r="H81" s="544">
        <v>235</v>
      </c>
      <c r="I81" s="544"/>
      <c r="J81" s="555">
        <v>199.6</v>
      </c>
      <c r="K81" s="544">
        <v>0</v>
      </c>
      <c r="L81" s="556">
        <v>1.81</v>
      </c>
      <c r="M81" s="557">
        <v>1.86</v>
      </c>
      <c r="N81" s="544">
        <v>1.835</v>
      </c>
      <c r="O81" s="544">
        <v>1.835</v>
      </c>
      <c r="P81" s="554"/>
      <c r="Q81" s="549" t="s">
        <v>600</v>
      </c>
    </row>
    <row r="82" spans="1:17">
      <c r="A82" s="541">
        <v>46358</v>
      </c>
      <c r="B82" s="567" t="s">
        <v>1011</v>
      </c>
      <c r="C82" s="543" t="s">
        <v>1017</v>
      </c>
      <c r="D82" s="544" t="s">
        <v>698</v>
      </c>
      <c r="E82" s="544" t="s">
        <v>1107</v>
      </c>
      <c r="F82" s="544" t="s">
        <v>596</v>
      </c>
      <c r="G82" s="544" t="s">
        <v>137</v>
      </c>
      <c r="H82" s="544">
        <v>250</v>
      </c>
      <c r="I82" s="544"/>
      <c r="J82" s="555">
        <v>199.6</v>
      </c>
      <c r="K82" s="544">
        <v>0</v>
      </c>
      <c r="L82" s="556">
        <v>0.87</v>
      </c>
      <c r="M82" s="557">
        <v>0.9</v>
      </c>
      <c r="N82" s="544">
        <v>0.88500000000000001</v>
      </c>
      <c r="O82" s="544">
        <v>0.88500000000000001</v>
      </c>
      <c r="P82" s="554"/>
      <c r="Q82" s="549" t="s">
        <v>600</v>
      </c>
    </row>
    <row r="83" spans="1:17">
      <c r="A83" s="541">
        <v>46358</v>
      </c>
      <c r="B83" s="567" t="s">
        <v>1049</v>
      </c>
      <c r="C83" s="543" t="s">
        <v>1057</v>
      </c>
      <c r="D83" s="544" t="s">
        <v>825</v>
      </c>
      <c r="E83" s="544" t="s">
        <v>1114</v>
      </c>
      <c r="F83" s="544" t="s">
        <v>596</v>
      </c>
      <c r="G83" s="544" t="s">
        <v>137</v>
      </c>
      <c r="H83" s="544">
        <v>35</v>
      </c>
      <c r="I83" s="544"/>
      <c r="J83" s="550">
        <v>33.82</v>
      </c>
      <c r="K83" s="544">
        <v>0</v>
      </c>
      <c r="L83" s="550">
        <v>0.151670952</v>
      </c>
      <c r="M83" s="550">
        <v>0.151670952</v>
      </c>
      <c r="N83" s="550">
        <v>0.151670952</v>
      </c>
      <c r="O83" s="550">
        <v>0.15416270600000001</v>
      </c>
      <c r="P83" s="544">
        <v>19.647319270000001</v>
      </c>
      <c r="Q83" s="549" t="s">
        <v>593</v>
      </c>
    </row>
    <row r="84" spans="1:17">
      <c r="A84" s="541">
        <v>46358</v>
      </c>
      <c r="B84" s="567" t="s">
        <v>1045</v>
      </c>
      <c r="C84" s="543" t="s">
        <v>1058</v>
      </c>
      <c r="D84" s="544" t="s">
        <v>744</v>
      </c>
      <c r="E84" s="544" t="s">
        <v>1108</v>
      </c>
      <c r="F84" s="544" t="s">
        <v>596</v>
      </c>
      <c r="G84" s="544" t="s">
        <v>137</v>
      </c>
      <c r="H84" s="544">
        <v>600</v>
      </c>
      <c r="I84" s="544"/>
      <c r="J84" s="555">
        <v>583.46</v>
      </c>
      <c r="K84" s="544">
        <v>0</v>
      </c>
      <c r="L84" s="556">
        <v>135</v>
      </c>
      <c r="M84" s="557">
        <v>138.9</v>
      </c>
      <c r="N84" s="544">
        <v>136.94999999999999</v>
      </c>
      <c r="O84" s="544">
        <v>136.94999999999999</v>
      </c>
      <c r="P84" s="554"/>
      <c r="Q84" s="549" t="s">
        <v>600</v>
      </c>
    </row>
    <row r="85" spans="1:17">
      <c r="A85" s="541">
        <v>46358</v>
      </c>
      <c r="B85" s="567" t="s">
        <v>1046</v>
      </c>
      <c r="C85" s="543" t="s">
        <v>1059</v>
      </c>
      <c r="D85" s="544" t="s">
        <v>744</v>
      </c>
      <c r="E85" s="544" t="s">
        <v>1108</v>
      </c>
      <c r="F85" s="544" t="s">
        <v>596</v>
      </c>
      <c r="G85" s="544" t="s">
        <v>137</v>
      </c>
      <c r="H85" s="544">
        <v>720</v>
      </c>
      <c r="I85" s="544"/>
      <c r="J85" s="555">
        <v>583.46</v>
      </c>
      <c r="K85" s="544">
        <v>0</v>
      </c>
      <c r="L85" s="556">
        <v>97.5</v>
      </c>
      <c r="M85" s="557">
        <v>101.4</v>
      </c>
      <c r="N85" s="544">
        <v>99.45</v>
      </c>
      <c r="O85" s="544">
        <v>99.45</v>
      </c>
      <c r="P85" s="554"/>
      <c r="Q85" s="549" t="s">
        <v>600</v>
      </c>
    </row>
    <row r="86" spans="1:17">
      <c r="A86" s="541">
        <v>46358</v>
      </c>
      <c r="B86" s="567" t="s">
        <v>1050</v>
      </c>
      <c r="C86" s="543" t="s">
        <v>1060</v>
      </c>
      <c r="D86" s="544" t="s">
        <v>1061</v>
      </c>
      <c r="E86" s="544" t="s">
        <v>1107</v>
      </c>
      <c r="F86" s="544" t="s">
        <v>596</v>
      </c>
      <c r="G86" s="544" t="s">
        <v>137</v>
      </c>
      <c r="H86" s="544">
        <v>100</v>
      </c>
      <c r="I86" s="544"/>
      <c r="J86" s="550">
        <v>75</v>
      </c>
      <c r="K86" s="544">
        <v>0</v>
      </c>
      <c r="L86" s="550">
        <v>9.0999130999999997E-2</v>
      </c>
      <c r="M86" s="550">
        <v>9.0999130999999997E-2</v>
      </c>
      <c r="N86" s="550">
        <v>9.0999130999999997E-2</v>
      </c>
      <c r="O86" s="550">
        <v>9.1908676999999994E-2</v>
      </c>
      <c r="P86" s="544">
        <v>33.399534340000002</v>
      </c>
      <c r="Q86" s="549" t="s">
        <v>593</v>
      </c>
    </row>
    <row r="87" spans="1:17">
      <c r="A87" s="541">
        <v>46358</v>
      </c>
      <c r="B87" s="567" t="s">
        <v>1051</v>
      </c>
      <c r="C87" s="543" t="s">
        <v>1062</v>
      </c>
      <c r="D87" s="544" t="s">
        <v>1061</v>
      </c>
      <c r="E87" s="544" t="s">
        <v>1107</v>
      </c>
      <c r="F87" s="544" t="s">
        <v>596</v>
      </c>
      <c r="G87" s="544" t="s">
        <v>137</v>
      </c>
      <c r="H87" s="544">
        <v>95</v>
      </c>
      <c r="I87" s="544"/>
      <c r="J87" s="555">
        <v>75</v>
      </c>
      <c r="K87" s="544">
        <v>0</v>
      </c>
      <c r="L87" s="556">
        <v>0.11</v>
      </c>
      <c r="M87" s="557">
        <v>0.16</v>
      </c>
      <c r="N87" s="544">
        <v>0.13500000000000001</v>
      </c>
      <c r="O87" s="544">
        <v>0.13500000000000001</v>
      </c>
      <c r="P87" s="554"/>
      <c r="Q87" s="549" t="s">
        <v>600</v>
      </c>
    </row>
    <row r="88" spans="1:17">
      <c r="A88" s="541">
        <v>46358</v>
      </c>
      <c r="B88" s="567" t="s">
        <v>1065</v>
      </c>
      <c r="C88" s="543" t="s">
        <v>1080</v>
      </c>
      <c r="D88" s="544" t="s">
        <v>616</v>
      </c>
      <c r="E88" s="544" t="s">
        <v>1112</v>
      </c>
      <c r="F88" s="544" t="s">
        <v>591</v>
      </c>
      <c r="G88" s="544" t="s">
        <v>137</v>
      </c>
      <c r="H88" s="544">
        <v>610</v>
      </c>
      <c r="I88" s="544"/>
      <c r="J88" s="555">
        <v>600.64</v>
      </c>
      <c r="K88" s="544">
        <v>9.36</v>
      </c>
      <c r="L88" s="556">
        <v>8.66</v>
      </c>
      <c r="M88" s="557">
        <v>8.98</v>
      </c>
      <c r="N88" s="544">
        <v>8.82</v>
      </c>
      <c r="O88" s="544">
        <v>9.36</v>
      </c>
      <c r="P88" s="554"/>
      <c r="Q88" s="549" t="s">
        <v>600</v>
      </c>
    </row>
    <row r="89" spans="1:17">
      <c r="A89" s="541">
        <v>46358</v>
      </c>
      <c r="B89" s="567" t="s">
        <v>1068</v>
      </c>
      <c r="C89" s="543" t="s">
        <v>1081</v>
      </c>
      <c r="D89" s="544" t="s">
        <v>616</v>
      </c>
      <c r="E89" s="544" t="s">
        <v>1109</v>
      </c>
      <c r="F89" s="544" t="s">
        <v>591</v>
      </c>
      <c r="G89" s="544" t="s">
        <v>137</v>
      </c>
      <c r="H89" s="544">
        <v>590</v>
      </c>
      <c r="I89" s="544"/>
      <c r="J89" s="555">
        <v>600.64</v>
      </c>
      <c r="K89" s="544">
        <v>0</v>
      </c>
      <c r="L89" s="556">
        <v>4.8600000000000003</v>
      </c>
      <c r="M89" s="557">
        <v>4.91</v>
      </c>
      <c r="N89" s="544">
        <v>4.8849999999999998</v>
      </c>
      <c r="O89" s="544">
        <v>4.8849999999999998</v>
      </c>
      <c r="P89" s="554"/>
      <c r="Q89" s="549" t="s">
        <v>600</v>
      </c>
    </row>
    <row r="90" spans="1:17">
      <c r="A90" s="541">
        <v>46358</v>
      </c>
      <c r="B90" s="567" t="s">
        <v>1067</v>
      </c>
      <c r="C90" s="543" t="s">
        <v>1082</v>
      </c>
      <c r="D90" s="544" t="s">
        <v>616</v>
      </c>
      <c r="E90" s="544" t="s">
        <v>1109</v>
      </c>
      <c r="F90" s="544" t="s">
        <v>591</v>
      </c>
      <c r="G90" s="544" t="s">
        <v>137</v>
      </c>
      <c r="H90" s="544">
        <v>605</v>
      </c>
      <c r="I90" s="544"/>
      <c r="J90" s="555">
        <v>600.64</v>
      </c>
      <c r="K90" s="544">
        <v>4.3600000000000003</v>
      </c>
      <c r="L90" s="556">
        <v>9.93</v>
      </c>
      <c r="M90" s="557">
        <v>10.01</v>
      </c>
      <c r="N90" s="544">
        <v>9.9700000000000006</v>
      </c>
      <c r="O90" s="544">
        <v>9.9700000000000006</v>
      </c>
      <c r="P90" s="554"/>
      <c r="Q90" s="549" t="s">
        <v>600</v>
      </c>
    </row>
    <row r="91" spans="1:17">
      <c r="A91" s="541">
        <v>46358</v>
      </c>
      <c r="B91" s="567" t="s">
        <v>1069</v>
      </c>
      <c r="C91" s="543" t="s">
        <v>1083</v>
      </c>
      <c r="D91" s="544" t="s">
        <v>940</v>
      </c>
      <c r="E91" s="544" t="s">
        <v>1105</v>
      </c>
      <c r="F91" s="544" t="s">
        <v>596</v>
      </c>
      <c r="G91" s="544" t="s">
        <v>137</v>
      </c>
      <c r="H91" s="544">
        <v>200</v>
      </c>
      <c r="I91" s="544"/>
      <c r="J91" s="555">
        <v>186.94</v>
      </c>
      <c r="K91" s="544">
        <v>0</v>
      </c>
      <c r="L91" s="556">
        <v>6.5</v>
      </c>
      <c r="M91" s="557">
        <v>6.6</v>
      </c>
      <c r="N91" s="544">
        <v>6.55</v>
      </c>
      <c r="O91" s="544">
        <v>6.55</v>
      </c>
      <c r="P91" s="554"/>
      <c r="Q91" s="549" t="s">
        <v>600</v>
      </c>
    </row>
    <row r="92" spans="1:17">
      <c r="A92" s="541">
        <v>46358</v>
      </c>
      <c r="B92" s="567" t="s">
        <v>1076</v>
      </c>
      <c r="C92" s="543" t="s">
        <v>1084</v>
      </c>
      <c r="D92" s="544" t="s">
        <v>698</v>
      </c>
      <c r="E92" s="544" t="s">
        <v>1111</v>
      </c>
      <c r="F92" s="544" t="s">
        <v>596</v>
      </c>
      <c r="G92" s="544" t="s">
        <v>137</v>
      </c>
      <c r="H92" s="544">
        <v>240</v>
      </c>
      <c r="I92" s="544"/>
      <c r="J92" s="555">
        <v>199.6</v>
      </c>
      <c r="K92" s="544">
        <v>0</v>
      </c>
      <c r="L92" s="556">
        <v>6.55</v>
      </c>
      <c r="M92" s="557">
        <v>6.65</v>
      </c>
      <c r="N92" s="544">
        <v>6.6</v>
      </c>
      <c r="O92" s="544">
        <v>6.6</v>
      </c>
      <c r="P92" s="554"/>
      <c r="Q92" s="549" t="s">
        <v>600</v>
      </c>
    </row>
    <row r="93" spans="1:17">
      <c r="A93" s="541">
        <v>46358</v>
      </c>
      <c r="B93" s="567" t="s">
        <v>1074</v>
      </c>
      <c r="C93" s="543" t="s">
        <v>1085</v>
      </c>
      <c r="D93" s="544" t="s">
        <v>698</v>
      </c>
      <c r="E93" s="544" t="s">
        <v>1111</v>
      </c>
      <c r="F93" s="544" t="s">
        <v>591</v>
      </c>
      <c r="G93" s="544" t="s">
        <v>137</v>
      </c>
      <c r="H93" s="544">
        <v>180</v>
      </c>
      <c r="I93" s="544"/>
      <c r="J93" s="555">
        <v>199.6</v>
      </c>
      <c r="K93" s="544">
        <v>0</v>
      </c>
      <c r="L93" s="556">
        <v>9.25</v>
      </c>
      <c r="M93" s="557">
        <v>9.4</v>
      </c>
      <c r="N93" s="544">
        <v>9.3249999999999993</v>
      </c>
      <c r="O93" s="544">
        <v>9.3249999999999993</v>
      </c>
      <c r="P93" s="554"/>
      <c r="Q93" s="549" t="s">
        <v>600</v>
      </c>
    </row>
    <row r="94" spans="1:17">
      <c r="A94" s="541">
        <v>46358</v>
      </c>
      <c r="B94" s="567" t="s">
        <v>1078</v>
      </c>
      <c r="C94" s="543" t="s">
        <v>1086</v>
      </c>
      <c r="D94" s="544" t="s">
        <v>1061</v>
      </c>
      <c r="E94" s="544" t="s">
        <v>1111</v>
      </c>
      <c r="F94" s="544" t="s">
        <v>596</v>
      </c>
      <c r="G94" s="544" t="s">
        <v>137</v>
      </c>
      <c r="H94" s="544">
        <v>100</v>
      </c>
      <c r="I94" s="544"/>
      <c r="J94" s="555">
        <v>75</v>
      </c>
      <c r="K94" s="544">
        <v>0</v>
      </c>
      <c r="L94" s="556">
        <v>0.38</v>
      </c>
      <c r="M94" s="557">
        <v>0.54</v>
      </c>
      <c r="N94" s="544">
        <v>0.46</v>
      </c>
      <c r="O94" s="544">
        <v>0.46</v>
      </c>
      <c r="P94" s="554"/>
      <c r="Q94" s="549" t="s">
        <v>600</v>
      </c>
    </row>
    <row r="95" spans="1:17">
      <c r="A95" s="541">
        <v>46358</v>
      </c>
      <c r="B95" s="567" t="s">
        <v>1077</v>
      </c>
      <c r="C95" s="543" t="s">
        <v>1087</v>
      </c>
      <c r="D95" s="544" t="s">
        <v>1061</v>
      </c>
      <c r="E95" s="544" t="s">
        <v>1111</v>
      </c>
      <c r="F95" s="544" t="s">
        <v>596</v>
      </c>
      <c r="G95" s="544" t="s">
        <v>137</v>
      </c>
      <c r="H95" s="544">
        <v>95</v>
      </c>
      <c r="I95" s="544"/>
      <c r="J95" s="555">
        <v>75</v>
      </c>
      <c r="K95" s="544">
        <v>0</v>
      </c>
      <c r="L95" s="556">
        <v>0.57999999999999996</v>
      </c>
      <c r="M95" s="557">
        <v>0.87</v>
      </c>
      <c r="N95" s="544">
        <v>0.72499999999999998</v>
      </c>
      <c r="O95" s="544">
        <v>0.72499999999999998</v>
      </c>
      <c r="P95" s="554"/>
      <c r="Q95" s="549" t="s">
        <v>600</v>
      </c>
    </row>
    <row r="96" spans="1:17">
      <c r="A96" s="541">
        <v>46358</v>
      </c>
      <c r="B96" s="567" t="s">
        <v>1070</v>
      </c>
      <c r="C96" s="543" t="s">
        <v>1088</v>
      </c>
      <c r="D96" s="544" t="s">
        <v>940</v>
      </c>
      <c r="E96" s="544" t="s">
        <v>1105</v>
      </c>
      <c r="F96" s="544" t="s">
        <v>596</v>
      </c>
      <c r="G96" s="544" t="s">
        <v>137</v>
      </c>
      <c r="H96" s="544">
        <v>220</v>
      </c>
      <c r="I96" s="544"/>
      <c r="J96" s="555">
        <v>186.94</v>
      </c>
      <c r="K96" s="544">
        <v>0</v>
      </c>
      <c r="L96" s="556">
        <v>2.0299999999999998</v>
      </c>
      <c r="M96" s="557">
        <v>2.0699999999999998</v>
      </c>
      <c r="N96" s="544">
        <v>2.0499999999999998</v>
      </c>
      <c r="O96" s="544">
        <v>2.0499999999999998</v>
      </c>
      <c r="P96" s="554"/>
      <c r="Q96" s="549" t="s">
        <v>600</v>
      </c>
    </row>
    <row r="97" spans="1:17">
      <c r="A97" s="541">
        <v>46358</v>
      </c>
      <c r="B97" s="567" t="s">
        <v>1066</v>
      </c>
      <c r="C97" s="543" t="s">
        <v>1089</v>
      </c>
      <c r="D97" s="544" t="s">
        <v>616</v>
      </c>
      <c r="E97" s="544" t="s">
        <v>1112</v>
      </c>
      <c r="F97" s="544" t="s">
        <v>591</v>
      </c>
      <c r="G97" s="544" t="s">
        <v>137</v>
      </c>
      <c r="H97" s="544">
        <v>605</v>
      </c>
      <c r="I97" s="544"/>
      <c r="J97" s="555">
        <v>600.64</v>
      </c>
      <c r="K97" s="544">
        <v>4.3600000000000003</v>
      </c>
      <c r="L97" s="556">
        <v>5.4</v>
      </c>
      <c r="M97" s="557">
        <v>5.47</v>
      </c>
      <c r="N97" s="544">
        <v>5.4349999999999996</v>
      </c>
      <c r="O97" s="544">
        <v>5.4349999999999996</v>
      </c>
      <c r="P97" s="554"/>
      <c r="Q97" s="549" t="s">
        <v>600</v>
      </c>
    </row>
    <row r="98" spans="1:17">
      <c r="A98" s="541">
        <v>46358</v>
      </c>
      <c r="B98" s="567" t="s">
        <v>1096</v>
      </c>
      <c r="C98" s="543" t="s">
        <v>1115</v>
      </c>
      <c r="D98" s="544" t="s">
        <v>616</v>
      </c>
      <c r="E98" s="544" t="s">
        <v>1109</v>
      </c>
      <c r="F98" s="544" t="s">
        <v>591</v>
      </c>
      <c r="G98" s="544" t="s">
        <v>137</v>
      </c>
      <c r="H98" s="544">
        <v>600</v>
      </c>
      <c r="I98" s="544"/>
      <c r="J98" s="555">
        <v>600.64</v>
      </c>
      <c r="K98" s="544">
        <v>0</v>
      </c>
      <c r="L98" s="556">
        <v>7.86</v>
      </c>
      <c r="M98" s="557">
        <v>7.93</v>
      </c>
      <c r="N98" s="544">
        <v>7.8949999999999996</v>
      </c>
      <c r="O98" s="544">
        <v>7.8949999999999996</v>
      </c>
      <c r="P98" s="554"/>
      <c r="Q98" s="549" t="s">
        <v>600</v>
      </c>
    </row>
    <row r="99" spans="1:17">
      <c r="A99" s="541">
        <v>46358</v>
      </c>
      <c r="B99" s="567" t="s">
        <v>1095</v>
      </c>
      <c r="C99" s="543" t="s">
        <v>1116</v>
      </c>
      <c r="D99" s="544" t="s">
        <v>616</v>
      </c>
      <c r="E99" s="544" t="s">
        <v>1114</v>
      </c>
      <c r="F99" s="544" t="s">
        <v>591</v>
      </c>
      <c r="G99" s="544" t="s">
        <v>137</v>
      </c>
      <c r="H99" s="544">
        <v>590</v>
      </c>
      <c r="I99" s="544"/>
      <c r="J99" s="555">
        <v>600.64</v>
      </c>
      <c r="K99" s="544">
        <v>0</v>
      </c>
      <c r="L99" s="556">
        <v>8.11</v>
      </c>
      <c r="M99" s="557">
        <v>8.18</v>
      </c>
      <c r="N99" s="544">
        <v>8.1449999999999996</v>
      </c>
      <c r="O99" s="544">
        <v>8.1449999999999996</v>
      </c>
      <c r="P99" s="554"/>
      <c r="Q99" s="549" t="s">
        <v>600</v>
      </c>
    </row>
    <row r="100" spans="1:17">
      <c r="A100" s="541">
        <v>46358</v>
      </c>
      <c r="B100" s="567" t="s">
        <v>1097</v>
      </c>
      <c r="C100" s="543" t="s">
        <v>1117</v>
      </c>
      <c r="D100" s="544" t="s">
        <v>616</v>
      </c>
      <c r="E100" s="544" t="s">
        <v>1114</v>
      </c>
      <c r="F100" s="544" t="s">
        <v>591</v>
      </c>
      <c r="G100" s="544" t="s">
        <v>137</v>
      </c>
      <c r="H100" s="544">
        <v>580</v>
      </c>
      <c r="I100" s="544"/>
      <c r="J100" s="555">
        <v>600.64</v>
      </c>
      <c r="K100" s="544">
        <v>0</v>
      </c>
      <c r="L100" s="556">
        <v>5.76</v>
      </c>
      <c r="M100" s="557">
        <v>5.83</v>
      </c>
      <c r="N100" s="544">
        <v>5.7949999999999999</v>
      </c>
      <c r="O100" s="544">
        <v>5.7949999999999999</v>
      </c>
      <c r="P100" s="554"/>
      <c r="Q100" s="549" t="s">
        <v>600</v>
      </c>
    </row>
    <row r="101" spans="1:17">
      <c r="A101" s="541">
        <v>46358</v>
      </c>
      <c r="B101" s="567" t="s">
        <v>1104</v>
      </c>
      <c r="C101" s="543" t="s">
        <v>1118</v>
      </c>
      <c r="D101" s="544" t="s">
        <v>616</v>
      </c>
      <c r="E101" s="568">
        <v>46358</v>
      </c>
      <c r="F101" s="544" t="s">
        <v>591</v>
      </c>
      <c r="G101" s="544" t="s">
        <v>137</v>
      </c>
      <c r="H101" s="544">
        <v>598</v>
      </c>
      <c r="I101" s="544"/>
      <c r="J101" s="555">
        <v>600.64</v>
      </c>
      <c r="K101" s="544">
        <v>0</v>
      </c>
      <c r="L101" s="556">
        <v>0.01</v>
      </c>
      <c r="M101" s="557">
        <v>0.02</v>
      </c>
      <c r="N101" s="544">
        <v>1.4999999999999999E-2</v>
      </c>
      <c r="O101" s="544">
        <v>0</v>
      </c>
      <c r="P101" s="554"/>
      <c r="Q101" s="549" t="s">
        <v>600</v>
      </c>
    </row>
    <row r="102" spans="1:17">
      <c r="A102" s="541">
        <v>46358</v>
      </c>
      <c r="B102" s="567" t="s">
        <v>1103</v>
      </c>
      <c r="C102" s="543" t="s">
        <v>1119</v>
      </c>
      <c r="D102" s="544" t="s">
        <v>616</v>
      </c>
      <c r="E102" s="568">
        <v>46358</v>
      </c>
      <c r="F102" s="544" t="s">
        <v>591</v>
      </c>
      <c r="G102" s="544" t="s">
        <v>137</v>
      </c>
      <c r="H102" s="544">
        <v>599</v>
      </c>
      <c r="I102" s="544"/>
      <c r="J102" s="555">
        <v>600.64</v>
      </c>
      <c r="K102" s="544">
        <v>0</v>
      </c>
      <c r="L102" s="556">
        <v>0.01</v>
      </c>
      <c r="M102" s="557">
        <v>0.02</v>
      </c>
      <c r="N102" s="544">
        <v>1.4999999999999999E-2</v>
      </c>
      <c r="O102" s="544">
        <v>0</v>
      </c>
      <c r="P102" s="554"/>
      <c r="Q102" s="549" t="s">
        <v>600</v>
      </c>
    </row>
    <row r="103" spans="1:17">
      <c r="A103" s="541">
        <v>46358</v>
      </c>
      <c r="B103" s="554" t="s">
        <v>706</v>
      </c>
      <c r="C103" s="543" t="s">
        <v>706</v>
      </c>
      <c r="D103" s="544" t="s">
        <v>617</v>
      </c>
      <c r="E103" s="544" t="s">
        <v>1109</v>
      </c>
      <c r="F103" s="544" t="s">
        <v>596</v>
      </c>
      <c r="G103" s="544" t="s">
        <v>137</v>
      </c>
      <c r="H103" s="544">
        <v>27.57</v>
      </c>
      <c r="I103" s="544" t="s">
        <v>592</v>
      </c>
      <c r="J103" s="555">
        <v>0.01</v>
      </c>
      <c r="K103" s="544">
        <v>0</v>
      </c>
      <c r="L103" s="569">
        <v>0</v>
      </c>
      <c r="M103" s="570">
        <v>0</v>
      </c>
      <c r="N103" s="544">
        <v>0</v>
      </c>
      <c r="O103" s="571">
        <v>1.9208599999999998E-8</v>
      </c>
      <c r="P103" s="554">
        <v>18.386726209999999</v>
      </c>
      <c r="Q103" s="549" t="s">
        <v>618</v>
      </c>
    </row>
    <row r="104" spans="1:17">
      <c r="A104" s="541">
        <v>46358</v>
      </c>
      <c r="B104" s="554" t="s">
        <v>707</v>
      </c>
      <c r="C104" s="543" t="s">
        <v>707</v>
      </c>
      <c r="D104" s="544" t="s">
        <v>617</v>
      </c>
      <c r="E104" s="544" t="s">
        <v>1109</v>
      </c>
      <c r="F104" s="544" t="s">
        <v>591</v>
      </c>
      <c r="G104" s="544" t="s">
        <v>137</v>
      </c>
      <c r="H104" s="544">
        <v>21.57</v>
      </c>
      <c r="I104" s="544" t="s">
        <v>592</v>
      </c>
      <c r="J104" s="555">
        <v>0.12</v>
      </c>
      <c r="K104" s="544">
        <v>21.45</v>
      </c>
      <c r="L104" s="569">
        <v>0</v>
      </c>
      <c r="M104" s="570">
        <v>0</v>
      </c>
      <c r="N104" s="544">
        <v>0</v>
      </c>
      <c r="O104" s="544">
        <v>4.5278548000000002E-2</v>
      </c>
      <c r="P104" s="554">
        <v>29.861072020000002</v>
      </c>
      <c r="Q104" s="549" t="s">
        <v>618</v>
      </c>
    </row>
    <row r="105" spans="1:17">
      <c r="A105" s="541">
        <v>46358</v>
      </c>
      <c r="B105" s="554" t="s">
        <v>708</v>
      </c>
      <c r="C105" s="543" t="s">
        <v>708</v>
      </c>
      <c r="D105" s="544" t="s">
        <v>617</v>
      </c>
      <c r="E105" s="544" t="s">
        <v>1109</v>
      </c>
      <c r="F105" s="544" t="s">
        <v>591</v>
      </c>
      <c r="G105" s="544" t="s">
        <v>137</v>
      </c>
      <c r="H105" s="544">
        <v>24.07</v>
      </c>
      <c r="I105" s="544" t="s">
        <v>592</v>
      </c>
      <c r="J105" s="555">
        <v>1.45</v>
      </c>
      <c r="K105" s="544">
        <v>22.62</v>
      </c>
      <c r="L105" s="569">
        <v>0</v>
      </c>
      <c r="M105" s="570">
        <v>0</v>
      </c>
      <c r="N105" s="544">
        <v>0</v>
      </c>
      <c r="O105" s="544">
        <v>0.447360219</v>
      </c>
      <c r="P105" s="554">
        <v>22.309914150000001</v>
      </c>
      <c r="Q105" s="549" t="s">
        <v>618</v>
      </c>
    </row>
    <row r="106" spans="1:17">
      <c r="A106" s="541">
        <v>46358</v>
      </c>
      <c r="B106" s="554" t="s">
        <v>709</v>
      </c>
      <c r="C106" s="543" t="s">
        <v>709</v>
      </c>
      <c r="D106" s="544" t="s">
        <v>617</v>
      </c>
      <c r="E106" s="544" t="s">
        <v>1109</v>
      </c>
      <c r="F106" s="544" t="s">
        <v>596</v>
      </c>
      <c r="G106" s="544" t="s">
        <v>137</v>
      </c>
      <c r="H106" s="544">
        <v>28.32</v>
      </c>
      <c r="I106" s="544" t="s">
        <v>592</v>
      </c>
      <c r="J106" s="555">
        <v>0.04</v>
      </c>
      <c r="K106" s="544">
        <v>0</v>
      </c>
      <c r="L106" s="569">
        <v>0</v>
      </c>
      <c r="M106" s="570">
        <v>0</v>
      </c>
      <c r="N106" s="544">
        <v>0</v>
      </c>
      <c r="O106" s="571">
        <v>1.9208599999999998E-8</v>
      </c>
      <c r="P106" s="554">
        <v>17.97434226</v>
      </c>
      <c r="Q106" s="549" t="s">
        <v>618</v>
      </c>
    </row>
    <row r="107" spans="1:17">
      <c r="A107" s="541">
        <v>46358</v>
      </c>
      <c r="B107" s="554" t="s">
        <v>710</v>
      </c>
      <c r="C107" s="543" t="s">
        <v>710</v>
      </c>
      <c r="D107" s="544" t="s">
        <v>617</v>
      </c>
      <c r="E107" s="544" t="s">
        <v>1109</v>
      </c>
      <c r="F107" s="544" t="s">
        <v>591</v>
      </c>
      <c r="G107" s="544" t="s">
        <v>137</v>
      </c>
      <c r="H107" s="544">
        <v>23.82</v>
      </c>
      <c r="I107" s="544" t="s">
        <v>592</v>
      </c>
      <c r="J107" s="555">
        <v>1.47</v>
      </c>
      <c r="K107" s="544">
        <v>22.35</v>
      </c>
      <c r="L107" s="569">
        <v>0</v>
      </c>
      <c r="M107" s="570">
        <v>0</v>
      </c>
      <c r="N107" s="544">
        <v>0</v>
      </c>
      <c r="O107" s="544">
        <v>0.39945713300000002</v>
      </c>
      <c r="P107" s="554">
        <v>22.826118650000002</v>
      </c>
      <c r="Q107" s="549" t="s">
        <v>618</v>
      </c>
    </row>
    <row r="108" spans="1:17">
      <c r="A108" s="541">
        <v>46358</v>
      </c>
      <c r="B108" s="554" t="s">
        <v>711</v>
      </c>
      <c r="C108" s="543" t="s">
        <v>711</v>
      </c>
      <c r="D108" s="544" t="s">
        <v>617</v>
      </c>
      <c r="E108" s="544" t="s">
        <v>1109</v>
      </c>
      <c r="F108" s="544" t="s">
        <v>591</v>
      </c>
      <c r="G108" s="544" t="s">
        <v>137</v>
      </c>
      <c r="H108" s="544">
        <v>26.32</v>
      </c>
      <c r="I108" s="544" t="s">
        <v>592</v>
      </c>
      <c r="J108" s="555">
        <v>2.61</v>
      </c>
      <c r="K108" s="544">
        <v>23.71</v>
      </c>
      <c r="L108" s="569">
        <v>0</v>
      </c>
      <c r="M108" s="570">
        <v>0</v>
      </c>
      <c r="N108" s="544">
        <v>0</v>
      </c>
      <c r="O108" s="544">
        <v>0.87859941100000005</v>
      </c>
      <c r="P108" s="554">
        <v>19.302404209999999</v>
      </c>
      <c r="Q108" s="549" t="s">
        <v>618</v>
      </c>
    </row>
    <row r="109" spans="1:17">
      <c r="A109" s="541">
        <v>46358</v>
      </c>
      <c r="B109" s="554" t="s">
        <v>720</v>
      </c>
      <c r="C109" s="543" t="s">
        <v>720</v>
      </c>
      <c r="D109" s="544" t="s">
        <v>721</v>
      </c>
      <c r="E109" s="544" t="s">
        <v>1109</v>
      </c>
      <c r="F109" s="544" t="s">
        <v>591</v>
      </c>
      <c r="G109" s="544" t="s">
        <v>137</v>
      </c>
      <c r="H109" s="544">
        <v>19</v>
      </c>
      <c r="I109" s="544" t="s">
        <v>592</v>
      </c>
      <c r="J109" s="555">
        <v>0.22</v>
      </c>
      <c r="K109" s="544">
        <v>18.78</v>
      </c>
      <c r="L109" s="569">
        <v>0</v>
      </c>
      <c r="M109" s="570">
        <v>0</v>
      </c>
      <c r="N109" s="544">
        <v>0</v>
      </c>
      <c r="O109" s="544">
        <v>3.8725859000000001E-2</v>
      </c>
      <c r="P109" s="554">
        <v>54.303657989999998</v>
      </c>
      <c r="Q109" s="549" t="s">
        <v>618</v>
      </c>
    </row>
    <row r="110" spans="1:17">
      <c r="A110" s="541">
        <v>46358</v>
      </c>
      <c r="B110" s="554" t="s">
        <v>722</v>
      </c>
      <c r="C110" s="543" t="s">
        <v>722</v>
      </c>
      <c r="D110" s="544" t="s">
        <v>721</v>
      </c>
      <c r="E110" s="544" t="s">
        <v>1109</v>
      </c>
      <c r="F110" s="544" t="s">
        <v>591</v>
      </c>
      <c r="G110" s="544" t="s">
        <v>137</v>
      </c>
      <c r="H110" s="544">
        <v>20.5</v>
      </c>
      <c r="I110" s="544" t="s">
        <v>592</v>
      </c>
      <c r="J110" s="555">
        <v>0.75</v>
      </c>
      <c r="K110" s="544">
        <v>19.75</v>
      </c>
      <c r="L110" s="569">
        <v>0</v>
      </c>
      <c r="M110" s="570">
        <v>0</v>
      </c>
      <c r="N110" s="544">
        <v>0</v>
      </c>
      <c r="O110" s="544">
        <v>0.16506319899999999</v>
      </c>
      <c r="P110" s="554">
        <v>48.454764470000001</v>
      </c>
      <c r="Q110" s="549" t="s">
        <v>618</v>
      </c>
    </row>
    <row r="111" spans="1:17">
      <c r="A111" s="541">
        <v>46358</v>
      </c>
      <c r="B111" s="554" t="s">
        <v>739</v>
      </c>
      <c r="C111" s="543" t="s">
        <v>739</v>
      </c>
      <c r="D111" s="544" t="s">
        <v>619</v>
      </c>
      <c r="E111" s="544" t="s">
        <v>1109</v>
      </c>
      <c r="F111" s="544" t="s">
        <v>591</v>
      </c>
      <c r="G111" s="544" t="s">
        <v>137</v>
      </c>
      <c r="H111" s="544">
        <v>12.11</v>
      </c>
      <c r="I111" s="544" t="s">
        <v>592</v>
      </c>
      <c r="J111" s="555">
        <v>0.01</v>
      </c>
      <c r="K111" s="544">
        <v>12.1</v>
      </c>
      <c r="L111" s="569">
        <v>0</v>
      </c>
      <c r="M111" s="570">
        <v>0</v>
      </c>
      <c r="N111" s="544">
        <v>0</v>
      </c>
      <c r="O111" s="571">
        <v>2.14026E-12</v>
      </c>
      <c r="P111" s="554">
        <v>46.226210899999998</v>
      </c>
      <c r="Q111" s="549" t="s">
        <v>618</v>
      </c>
    </row>
    <row r="112" spans="1:17">
      <c r="A112" s="541">
        <v>46358</v>
      </c>
      <c r="B112" s="554" t="s">
        <v>740</v>
      </c>
      <c r="C112" s="543" t="s">
        <v>740</v>
      </c>
      <c r="D112" s="544" t="s">
        <v>619</v>
      </c>
      <c r="E112" s="544" t="s">
        <v>1109</v>
      </c>
      <c r="F112" s="544" t="s">
        <v>591</v>
      </c>
      <c r="G112" s="544" t="s">
        <v>137</v>
      </c>
      <c r="H112" s="544">
        <v>13.36</v>
      </c>
      <c r="I112" s="544" t="s">
        <v>592</v>
      </c>
      <c r="J112" s="555">
        <v>0.01</v>
      </c>
      <c r="K112" s="544">
        <v>13.35</v>
      </c>
      <c r="L112" s="569">
        <v>0</v>
      </c>
      <c r="M112" s="570">
        <v>0</v>
      </c>
      <c r="N112" s="544">
        <v>0</v>
      </c>
      <c r="O112" s="571">
        <v>4.4333800000000001E-8</v>
      </c>
      <c r="P112" s="554">
        <v>45.303777820000001</v>
      </c>
      <c r="Q112" s="549" t="s">
        <v>618</v>
      </c>
    </row>
    <row r="113" spans="1:17">
      <c r="A113" s="541">
        <v>46358</v>
      </c>
      <c r="B113" s="554" t="s">
        <v>780</v>
      </c>
      <c r="C113" s="543" t="s">
        <v>780</v>
      </c>
      <c r="D113" s="544" t="s">
        <v>781</v>
      </c>
      <c r="E113" s="544" t="s">
        <v>1109</v>
      </c>
      <c r="F113" s="544" t="s">
        <v>596</v>
      </c>
      <c r="G113" s="544" t="s">
        <v>137</v>
      </c>
      <c r="H113" s="544">
        <v>57.32</v>
      </c>
      <c r="I113" s="544" t="s">
        <v>592</v>
      </c>
      <c r="J113" s="555">
        <v>1.91</v>
      </c>
      <c r="K113" s="544">
        <v>0</v>
      </c>
      <c r="L113" s="569">
        <v>0</v>
      </c>
      <c r="M113" s="570">
        <v>0</v>
      </c>
      <c r="N113" s="544">
        <v>0</v>
      </c>
      <c r="O113" s="544">
        <v>0.37640278700000002</v>
      </c>
      <c r="P113" s="554">
        <v>37.682912420000001</v>
      </c>
      <c r="Q113" s="549" t="s">
        <v>618</v>
      </c>
    </row>
    <row r="114" spans="1:17">
      <c r="A114" s="541">
        <v>46358</v>
      </c>
      <c r="B114" s="554" t="s">
        <v>782</v>
      </c>
      <c r="C114" s="543" t="s">
        <v>782</v>
      </c>
      <c r="D114" s="544" t="s">
        <v>781</v>
      </c>
      <c r="E114" s="544" t="s">
        <v>1109</v>
      </c>
      <c r="F114" s="544" t="s">
        <v>591</v>
      </c>
      <c r="G114" s="544" t="s">
        <v>137</v>
      </c>
      <c r="H114" s="544">
        <v>47.82</v>
      </c>
      <c r="I114" s="544" t="s">
        <v>592</v>
      </c>
      <c r="J114" s="555">
        <v>0.05</v>
      </c>
      <c r="K114" s="544">
        <v>47.77</v>
      </c>
      <c r="L114" s="569">
        <v>0</v>
      </c>
      <c r="M114" s="570">
        <v>0</v>
      </c>
      <c r="N114" s="544">
        <v>0</v>
      </c>
      <c r="O114" s="544">
        <v>8.7222500000000002E-4</v>
      </c>
      <c r="P114" s="554">
        <v>61.081688960000001</v>
      </c>
      <c r="Q114" s="549" t="s">
        <v>618</v>
      </c>
    </row>
    <row r="115" spans="1:17">
      <c r="A115" s="541">
        <v>46358</v>
      </c>
      <c r="B115" s="554" t="s">
        <v>783</v>
      </c>
      <c r="C115" s="543" t="s">
        <v>783</v>
      </c>
      <c r="D115" s="544" t="s">
        <v>781</v>
      </c>
      <c r="E115" s="544" t="s">
        <v>1109</v>
      </c>
      <c r="F115" s="544" t="s">
        <v>591</v>
      </c>
      <c r="G115" s="544" t="s">
        <v>137</v>
      </c>
      <c r="H115" s="544">
        <v>51.82</v>
      </c>
      <c r="I115" s="544" t="s">
        <v>592</v>
      </c>
      <c r="J115" s="555">
        <v>0.02</v>
      </c>
      <c r="K115" s="544">
        <v>51.8</v>
      </c>
      <c r="L115" s="569">
        <v>0</v>
      </c>
      <c r="M115" s="570">
        <v>0</v>
      </c>
      <c r="N115" s="544">
        <v>0</v>
      </c>
      <c r="O115" s="544">
        <v>7.3349799999999996E-3</v>
      </c>
      <c r="P115" s="554">
        <v>52.16111944</v>
      </c>
      <c r="Q115" s="549" t="s">
        <v>618</v>
      </c>
    </row>
    <row r="116" spans="1:17">
      <c r="A116" s="541">
        <v>46358</v>
      </c>
      <c r="B116" s="554" t="s">
        <v>788</v>
      </c>
      <c r="C116" s="543" t="s">
        <v>788</v>
      </c>
      <c r="D116" s="544" t="s">
        <v>749</v>
      </c>
      <c r="E116" s="544" t="s">
        <v>1109</v>
      </c>
      <c r="F116" s="544" t="s">
        <v>591</v>
      </c>
      <c r="G116" s="544" t="s">
        <v>137</v>
      </c>
      <c r="H116" s="544">
        <v>43</v>
      </c>
      <c r="I116" s="544" t="s">
        <v>592</v>
      </c>
      <c r="J116" s="555">
        <v>0.1</v>
      </c>
      <c r="K116" s="544">
        <v>42.9</v>
      </c>
      <c r="L116" s="569">
        <v>0</v>
      </c>
      <c r="M116" s="570">
        <v>0</v>
      </c>
      <c r="N116" s="544">
        <v>0</v>
      </c>
      <c r="O116" s="571">
        <v>1.10079E-12</v>
      </c>
      <c r="P116" s="554">
        <v>37.897426670000002</v>
      </c>
      <c r="Q116" s="549" t="s">
        <v>618</v>
      </c>
    </row>
    <row r="117" spans="1:17">
      <c r="A117" s="541">
        <v>46358</v>
      </c>
      <c r="B117" s="554" t="s">
        <v>789</v>
      </c>
      <c r="C117" s="543" t="s">
        <v>789</v>
      </c>
      <c r="D117" s="544" t="s">
        <v>749</v>
      </c>
      <c r="E117" s="544" t="s">
        <v>1109</v>
      </c>
      <c r="F117" s="544" t="s">
        <v>591</v>
      </c>
      <c r="G117" s="544" t="s">
        <v>137</v>
      </c>
      <c r="H117" s="544">
        <v>48</v>
      </c>
      <c r="I117" s="544" t="s">
        <v>592</v>
      </c>
      <c r="J117" s="555">
        <v>0.02</v>
      </c>
      <c r="K117" s="544">
        <v>47.98</v>
      </c>
      <c r="L117" s="569">
        <v>0</v>
      </c>
      <c r="M117" s="570">
        <v>0</v>
      </c>
      <c r="N117" s="544">
        <v>0</v>
      </c>
      <c r="O117" s="571">
        <v>2.7417399999999998E-7</v>
      </c>
      <c r="P117" s="554">
        <v>36.185729449999997</v>
      </c>
      <c r="Q117" s="549" t="s">
        <v>618</v>
      </c>
    </row>
    <row r="118" spans="1:17">
      <c r="A118" s="541">
        <v>46358</v>
      </c>
      <c r="B118" s="542" t="s">
        <v>794</v>
      </c>
      <c r="C118" s="542" t="s">
        <v>794</v>
      </c>
      <c r="D118" s="544" t="s">
        <v>795</v>
      </c>
      <c r="E118" s="544" t="s">
        <v>1109</v>
      </c>
      <c r="F118" s="544" t="s">
        <v>591</v>
      </c>
      <c r="G118" s="544" t="s">
        <v>137</v>
      </c>
      <c r="H118" s="544">
        <v>50.38</v>
      </c>
      <c r="I118" s="544" t="s">
        <v>592</v>
      </c>
      <c r="J118" s="555">
        <v>0.01</v>
      </c>
      <c r="K118" s="544">
        <v>50.37</v>
      </c>
      <c r="L118" s="569">
        <v>0</v>
      </c>
      <c r="M118" s="570">
        <v>0</v>
      </c>
      <c r="N118" s="544">
        <v>0</v>
      </c>
      <c r="O118" s="544">
        <v>2.781337E-3</v>
      </c>
      <c r="P118" s="554">
        <v>51.736451940000002</v>
      </c>
      <c r="Q118" s="549" t="s">
        <v>618</v>
      </c>
    </row>
    <row r="119" spans="1:17">
      <c r="A119" s="541">
        <v>46358</v>
      </c>
      <c r="B119" s="542" t="s">
        <v>801</v>
      </c>
      <c r="C119" s="542" t="s">
        <v>801</v>
      </c>
      <c r="D119" s="544" t="s">
        <v>619</v>
      </c>
      <c r="E119" s="544" t="s">
        <v>1109</v>
      </c>
      <c r="F119" s="544" t="s">
        <v>591</v>
      </c>
      <c r="G119" s="544" t="s">
        <v>137</v>
      </c>
      <c r="H119" s="544">
        <v>11.42</v>
      </c>
      <c r="I119" s="544" t="s">
        <v>592</v>
      </c>
      <c r="J119" s="555">
        <v>0.01</v>
      </c>
      <c r="K119" s="544">
        <v>11.41</v>
      </c>
      <c r="L119" s="569">
        <v>0</v>
      </c>
      <c r="M119" s="570">
        <v>0</v>
      </c>
      <c r="N119" s="544">
        <v>0</v>
      </c>
      <c r="O119" s="571">
        <v>2.14026E-12</v>
      </c>
      <c r="P119" s="554">
        <v>46.226210899999998</v>
      </c>
      <c r="Q119" s="549" t="s">
        <v>618</v>
      </c>
    </row>
    <row r="120" spans="1:17">
      <c r="A120" s="541">
        <v>46358</v>
      </c>
      <c r="B120" s="542" t="s">
        <v>802</v>
      </c>
      <c r="C120" s="542" t="s">
        <v>802</v>
      </c>
      <c r="D120" s="544" t="s">
        <v>619</v>
      </c>
      <c r="E120" s="544" t="s">
        <v>1109</v>
      </c>
      <c r="F120" s="544" t="s">
        <v>591</v>
      </c>
      <c r="G120" s="544" t="s">
        <v>137</v>
      </c>
      <c r="H120" s="544">
        <v>12.67</v>
      </c>
      <c r="I120" s="544" t="s">
        <v>592</v>
      </c>
      <c r="J120" s="555">
        <v>0.01</v>
      </c>
      <c r="K120" s="544">
        <v>12.66</v>
      </c>
      <c r="L120" s="569">
        <v>0</v>
      </c>
      <c r="M120" s="570">
        <v>0</v>
      </c>
      <c r="N120" s="544">
        <v>0</v>
      </c>
      <c r="O120" s="571">
        <v>4.4333800000000001E-8</v>
      </c>
      <c r="P120" s="554">
        <v>45.303777820000001</v>
      </c>
      <c r="Q120" s="549" t="s">
        <v>618</v>
      </c>
    </row>
    <row r="121" spans="1:17">
      <c r="A121" s="541">
        <v>46358</v>
      </c>
      <c r="B121" s="542" t="s">
        <v>803</v>
      </c>
      <c r="C121" s="542" t="s">
        <v>803</v>
      </c>
      <c r="D121" s="544" t="s">
        <v>619</v>
      </c>
      <c r="E121" s="544" t="s">
        <v>1109</v>
      </c>
      <c r="F121" s="544" t="s">
        <v>591</v>
      </c>
      <c r="G121" s="544" t="s">
        <v>137</v>
      </c>
      <c r="H121" s="544">
        <v>13.67</v>
      </c>
      <c r="I121" s="544" t="s">
        <v>592</v>
      </c>
      <c r="J121" s="555">
        <v>0.01</v>
      </c>
      <c r="K121" s="544">
        <v>13.66</v>
      </c>
      <c r="L121" s="569">
        <v>0</v>
      </c>
      <c r="M121" s="570">
        <v>0</v>
      </c>
      <c r="N121" s="544">
        <v>0</v>
      </c>
      <c r="O121" s="571">
        <v>1.17535E-5</v>
      </c>
      <c r="P121" s="554">
        <v>44.105154429999999</v>
      </c>
      <c r="Q121" s="549" t="s">
        <v>618</v>
      </c>
    </row>
    <row r="122" spans="1:17">
      <c r="A122" s="541">
        <v>46358</v>
      </c>
      <c r="B122" s="542" t="s">
        <v>804</v>
      </c>
      <c r="C122" s="542" t="s">
        <v>804</v>
      </c>
      <c r="D122" s="544" t="s">
        <v>805</v>
      </c>
      <c r="E122" s="544" t="s">
        <v>1109</v>
      </c>
      <c r="F122" s="544" t="s">
        <v>591</v>
      </c>
      <c r="G122" s="544" t="s">
        <v>137</v>
      </c>
      <c r="H122" s="544">
        <v>12.04</v>
      </c>
      <c r="I122" s="544" t="s">
        <v>592</v>
      </c>
      <c r="J122" s="555">
        <v>0.01</v>
      </c>
      <c r="K122" s="544">
        <v>12.03</v>
      </c>
      <c r="L122" s="569">
        <v>0</v>
      </c>
      <c r="M122" s="570">
        <v>0</v>
      </c>
      <c r="N122" s="544">
        <v>0</v>
      </c>
      <c r="O122" s="571">
        <v>3.87654E-5</v>
      </c>
      <c r="P122" s="554">
        <v>57.121747409999998</v>
      </c>
      <c r="Q122" s="549" t="s">
        <v>618</v>
      </c>
    </row>
    <row r="123" spans="1:17">
      <c r="A123" s="541">
        <v>46358</v>
      </c>
      <c r="B123" s="542" t="s">
        <v>806</v>
      </c>
      <c r="C123" s="542" t="s">
        <v>806</v>
      </c>
      <c r="D123" s="544" t="s">
        <v>805</v>
      </c>
      <c r="E123" s="544" t="s">
        <v>1109</v>
      </c>
      <c r="F123" s="544" t="s">
        <v>591</v>
      </c>
      <c r="G123" s="544" t="s">
        <v>137</v>
      </c>
      <c r="H123" s="544">
        <v>13.04</v>
      </c>
      <c r="I123" s="544" t="s">
        <v>592</v>
      </c>
      <c r="J123" s="555">
        <v>0.01</v>
      </c>
      <c r="K123" s="544">
        <v>13.03</v>
      </c>
      <c r="L123" s="569">
        <v>0</v>
      </c>
      <c r="M123" s="570">
        <v>0</v>
      </c>
      <c r="N123" s="544">
        <v>0</v>
      </c>
      <c r="O123" s="544">
        <v>1.0462659999999999E-3</v>
      </c>
      <c r="P123" s="554">
        <v>54.734998019999999</v>
      </c>
      <c r="Q123" s="549" t="s">
        <v>618</v>
      </c>
    </row>
    <row r="124" spans="1:17">
      <c r="A124" s="541">
        <v>46358</v>
      </c>
      <c r="B124" s="543" t="s">
        <v>810</v>
      </c>
      <c r="C124" s="543" t="s">
        <v>810</v>
      </c>
      <c r="D124" s="544" t="s">
        <v>749</v>
      </c>
      <c r="E124" s="544" t="s">
        <v>1109</v>
      </c>
      <c r="F124" s="544" t="s">
        <v>596</v>
      </c>
      <c r="G124" s="544" t="s">
        <v>137</v>
      </c>
      <c r="H124" s="544">
        <v>54.5</v>
      </c>
      <c r="I124" s="544" t="s">
        <v>592</v>
      </c>
      <c r="J124" s="555">
        <v>4.59</v>
      </c>
      <c r="K124" s="544">
        <v>0</v>
      </c>
      <c r="L124" s="569">
        <v>0</v>
      </c>
      <c r="M124" s="570">
        <v>0</v>
      </c>
      <c r="N124" s="544">
        <v>0</v>
      </c>
      <c r="O124" s="544">
        <v>0.86984758399999995</v>
      </c>
      <c r="P124" s="554">
        <v>31.513061520000001</v>
      </c>
      <c r="Q124" s="549" t="s">
        <v>618</v>
      </c>
    </row>
    <row r="125" spans="1:17">
      <c r="A125" s="541">
        <v>46358</v>
      </c>
      <c r="B125" s="543" t="s">
        <v>811</v>
      </c>
      <c r="C125" s="543" t="s">
        <v>811</v>
      </c>
      <c r="D125" s="544" t="s">
        <v>749</v>
      </c>
      <c r="E125" s="544" t="s">
        <v>1109</v>
      </c>
      <c r="F125" s="544" t="s">
        <v>591</v>
      </c>
      <c r="G125" s="544" t="s">
        <v>137</v>
      </c>
      <c r="H125" s="544">
        <v>47</v>
      </c>
      <c r="I125" s="544" t="s">
        <v>592</v>
      </c>
      <c r="J125" s="555">
        <v>0.03</v>
      </c>
      <c r="K125" s="544">
        <v>46.97</v>
      </c>
      <c r="L125" s="569">
        <v>0</v>
      </c>
      <c r="M125" s="570">
        <v>0</v>
      </c>
      <c r="N125" s="544">
        <v>0</v>
      </c>
      <c r="O125" s="571">
        <v>3.4879399999999999E-8</v>
      </c>
      <c r="P125" s="554">
        <v>36.613385190000002</v>
      </c>
      <c r="Q125" s="549" t="s">
        <v>618</v>
      </c>
    </row>
    <row r="126" spans="1:17">
      <c r="A126" s="541">
        <v>46358</v>
      </c>
      <c r="B126" s="543" t="s">
        <v>812</v>
      </c>
      <c r="C126" s="543" t="s">
        <v>812</v>
      </c>
      <c r="D126" s="544" t="s">
        <v>749</v>
      </c>
      <c r="E126" s="544" t="s">
        <v>1109</v>
      </c>
      <c r="F126" s="544" t="s">
        <v>591</v>
      </c>
      <c r="G126" s="544" t="s">
        <v>137</v>
      </c>
      <c r="H126" s="544">
        <v>50.5</v>
      </c>
      <c r="I126" s="544" t="s">
        <v>592</v>
      </c>
      <c r="J126" s="555">
        <v>0.01</v>
      </c>
      <c r="K126" s="544">
        <v>50.49</v>
      </c>
      <c r="L126" s="569">
        <v>0</v>
      </c>
      <c r="M126" s="570">
        <v>0</v>
      </c>
      <c r="N126" s="544">
        <v>0</v>
      </c>
      <c r="O126" s="571">
        <v>2.18549E-5</v>
      </c>
      <c r="P126" s="554">
        <v>34.841505400000003</v>
      </c>
      <c r="Q126" s="549" t="s">
        <v>618</v>
      </c>
    </row>
    <row r="127" spans="1:17">
      <c r="A127" s="541">
        <v>46358</v>
      </c>
      <c r="B127" s="542" t="s">
        <v>813</v>
      </c>
      <c r="C127" s="542" t="s">
        <v>813</v>
      </c>
      <c r="D127" s="544" t="s">
        <v>617</v>
      </c>
      <c r="E127" s="544" t="s">
        <v>1105</v>
      </c>
      <c r="F127" s="544" t="s">
        <v>596</v>
      </c>
      <c r="G127" s="544" t="s">
        <v>137</v>
      </c>
      <c r="H127" s="544">
        <v>25.31</v>
      </c>
      <c r="I127" s="544" t="s">
        <v>592</v>
      </c>
      <c r="J127" s="555">
        <v>0.52</v>
      </c>
      <c r="K127" s="544">
        <v>0</v>
      </c>
      <c r="L127" s="569">
        <v>0</v>
      </c>
      <c r="M127" s="570">
        <v>0</v>
      </c>
      <c r="N127" s="544">
        <v>0</v>
      </c>
      <c r="O127" s="544">
        <v>6.9480400000000004E-4</v>
      </c>
      <c r="P127" s="554">
        <v>23.783411919999999</v>
      </c>
      <c r="Q127" s="549" t="s">
        <v>618</v>
      </c>
    </row>
    <row r="128" spans="1:17">
      <c r="A128" s="541">
        <v>46358</v>
      </c>
      <c r="B128" s="542" t="s">
        <v>814</v>
      </c>
      <c r="C128" s="542" t="s">
        <v>814</v>
      </c>
      <c r="D128" s="544" t="s">
        <v>617</v>
      </c>
      <c r="E128" s="544" t="s">
        <v>1105</v>
      </c>
      <c r="F128" s="544" t="s">
        <v>591</v>
      </c>
      <c r="G128" s="544" t="s">
        <v>137</v>
      </c>
      <c r="H128" s="544">
        <v>21.31</v>
      </c>
      <c r="I128" s="544" t="s">
        <v>592</v>
      </c>
      <c r="J128" s="555">
        <v>0.81</v>
      </c>
      <c r="K128" s="544">
        <v>20.5</v>
      </c>
      <c r="L128" s="569">
        <v>0</v>
      </c>
      <c r="M128" s="570">
        <v>0</v>
      </c>
      <c r="N128" s="544">
        <v>0</v>
      </c>
      <c r="O128" s="544">
        <v>0.16113061100000001</v>
      </c>
      <c r="P128" s="554">
        <v>28.681611440000001</v>
      </c>
      <c r="Q128" s="549" t="s">
        <v>618</v>
      </c>
    </row>
    <row r="129" spans="1:17">
      <c r="A129" s="541">
        <v>46358</v>
      </c>
      <c r="B129" s="542" t="s">
        <v>815</v>
      </c>
      <c r="C129" s="542" t="s">
        <v>815</v>
      </c>
      <c r="D129" s="544" t="s">
        <v>617</v>
      </c>
      <c r="E129" s="544" t="s">
        <v>1105</v>
      </c>
      <c r="F129" s="544" t="s">
        <v>591</v>
      </c>
      <c r="G129" s="544" t="s">
        <v>137</v>
      </c>
      <c r="H129" s="544">
        <v>23.31</v>
      </c>
      <c r="I129" s="544" t="s">
        <v>592</v>
      </c>
      <c r="J129" s="555">
        <v>1.78</v>
      </c>
      <c r="K129" s="544">
        <v>21.53</v>
      </c>
      <c r="L129" s="569">
        <v>0</v>
      </c>
      <c r="M129" s="570">
        <v>0</v>
      </c>
      <c r="N129" s="544">
        <v>0</v>
      </c>
      <c r="O129" s="544">
        <v>0.43349575200000001</v>
      </c>
      <c r="P129" s="554">
        <v>25.92140165</v>
      </c>
      <c r="Q129" s="549" t="s">
        <v>618</v>
      </c>
    </row>
    <row r="130" spans="1:17">
      <c r="A130" s="541">
        <v>46358</v>
      </c>
      <c r="B130" s="542" t="s">
        <v>816</v>
      </c>
      <c r="C130" s="542" t="s">
        <v>816</v>
      </c>
      <c r="D130" s="544" t="s">
        <v>817</v>
      </c>
      <c r="E130" s="544" t="s">
        <v>1109</v>
      </c>
      <c r="F130" s="544" t="s">
        <v>596</v>
      </c>
      <c r="G130" s="544" t="s">
        <v>137</v>
      </c>
      <c r="H130" s="544">
        <v>75.900000000000006</v>
      </c>
      <c r="I130" s="544" t="s">
        <v>592</v>
      </c>
      <c r="J130" s="555">
        <v>14.18</v>
      </c>
      <c r="K130" s="544">
        <v>0</v>
      </c>
      <c r="L130" s="569">
        <v>0</v>
      </c>
      <c r="M130" s="570">
        <v>0</v>
      </c>
      <c r="N130" s="544">
        <v>0</v>
      </c>
      <c r="O130" s="544">
        <v>2.6288895440000002</v>
      </c>
      <c r="P130" s="554">
        <v>80.836807809999996</v>
      </c>
      <c r="Q130" s="549" t="s">
        <v>618</v>
      </c>
    </row>
    <row r="131" spans="1:17">
      <c r="A131" s="541">
        <v>46358</v>
      </c>
      <c r="B131" s="542" t="s">
        <v>818</v>
      </c>
      <c r="C131" s="542" t="s">
        <v>818</v>
      </c>
      <c r="D131" s="544" t="s">
        <v>817</v>
      </c>
      <c r="E131" s="544" t="s">
        <v>1109</v>
      </c>
      <c r="F131" s="544" t="s">
        <v>596</v>
      </c>
      <c r="G131" s="544" t="s">
        <v>137</v>
      </c>
      <c r="H131" s="544">
        <v>80.900000000000006</v>
      </c>
      <c r="I131" s="544" t="s">
        <v>592</v>
      </c>
      <c r="J131" s="555">
        <v>9.74</v>
      </c>
      <c r="K131" s="544">
        <v>0</v>
      </c>
      <c r="L131" s="569">
        <v>0</v>
      </c>
      <c r="M131" s="570">
        <v>0</v>
      </c>
      <c r="N131" s="544">
        <v>0</v>
      </c>
      <c r="O131" s="544">
        <v>1.7036050780000001</v>
      </c>
      <c r="P131" s="554">
        <v>64.456583089999995</v>
      </c>
      <c r="Q131" s="549" t="s">
        <v>618</v>
      </c>
    </row>
    <row r="132" spans="1:17">
      <c r="A132" s="541">
        <v>46358</v>
      </c>
      <c r="B132" s="572" t="s">
        <v>826</v>
      </c>
      <c r="C132" s="572" t="s">
        <v>826</v>
      </c>
      <c r="D132" s="544" t="s">
        <v>619</v>
      </c>
      <c r="E132" s="544" t="s">
        <v>1109</v>
      </c>
      <c r="F132" s="544" t="s">
        <v>596</v>
      </c>
      <c r="G132" s="544" t="s">
        <v>137</v>
      </c>
      <c r="H132" s="544">
        <v>14.92</v>
      </c>
      <c r="I132" s="544" t="s">
        <v>592</v>
      </c>
      <c r="J132" s="555">
        <v>1.7</v>
      </c>
      <c r="K132" s="544">
        <v>0</v>
      </c>
      <c r="L132" s="569">
        <v>0</v>
      </c>
      <c r="M132" s="570">
        <v>0</v>
      </c>
      <c r="N132" s="544">
        <v>0</v>
      </c>
      <c r="O132" s="544">
        <v>0.31408994899999998</v>
      </c>
      <c r="P132" s="554">
        <v>41.277060849999998</v>
      </c>
      <c r="Q132" s="549" t="s">
        <v>618</v>
      </c>
    </row>
    <row r="133" spans="1:17">
      <c r="A133" s="541">
        <v>46358</v>
      </c>
      <c r="B133" s="572" t="s">
        <v>827</v>
      </c>
      <c r="C133" s="572" t="s">
        <v>827</v>
      </c>
      <c r="D133" s="544" t="s">
        <v>680</v>
      </c>
      <c r="E133" s="544" t="s">
        <v>1120</v>
      </c>
      <c r="F133" s="544" t="s">
        <v>591</v>
      </c>
      <c r="G133" s="544" t="s">
        <v>137</v>
      </c>
      <c r="H133" s="544">
        <v>161000</v>
      </c>
      <c r="I133" s="544" t="s">
        <v>592</v>
      </c>
      <c r="J133" s="555">
        <v>55</v>
      </c>
      <c r="K133" s="544">
        <v>160945</v>
      </c>
      <c r="L133" s="569">
        <v>0</v>
      </c>
      <c r="M133" s="570">
        <v>0</v>
      </c>
      <c r="N133" s="544">
        <v>0</v>
      </c>
      <c r="O133" s="544">
        <v>9.7486000000000003E-4</v>
      </c>
      <c r="P133" s="554">
        <v>38.927446089999997</v>
      </c>
      <c r="Q133" s="549" t="s">
        <v>618</v>
      </c>
    </row>
    <row r="134" spans="1:17">
      <c r="A134" s="541">
        <v>46358</v>
      </c>
      <c r="B134" s="572" t="s">
        <v>828</v>
      </c>
      <c r="C134" s="572" t="s">
        <v>828</v>
      </c>
      <c r="D134" s="544" t="s">
        <v>763</v>
      </c>
      <c r="E134" s="544" t="s">
        <v>1109</v>
      </c>
      <c r="F134" s="544" t="s">
        <v>591</v>
      </c>
      <c r="G134" s="544" t="s">
        <v>137</v>
      </c>
      <c r="H134" s="544">
        <v>108</v>
      </c>
      <c r="I134" s="544" t="s">
        <v>592</v>
      </c>
      <c r="J134" s="555">
        <v>0.1</v>
      </c>
      <c r="K134" s="544">
        <v>107.9</v>
      </c>
      <c r="L134" s="569">
        <v>0</v>
      </c>
      <c r="M134" s="570">
        <v>0</v>
      </c>
      <c r="N134" s="544">
        <v>0</v>
      </c>
      <c r="O134" s="544">
        <v>2.2981743999999998E-2</v>
      </c>
      <c r="P134" s="554">
        <v>62.696760599999998</v>
      </c>
      <c r="Q134" s="549" t="s">
        <v>618</v>
      </c>
    </row>
    <row r="135" spans="1:17">
      <c r="A135" s="541">
        <v>46358</v>
      </c>
      <c r="B135" s="572" t="s">
        <v>829</v>
      </c>
      <c r="C135" s="572" t="s">
        <v>829</v>
      </c>
      <c r="D135" s="544" t="s">
        <v>763</v>
      </c>
      <c r="E135" s="544" t="s">
        <v>1109</v>
      </c>
      <c r="F135" s="544" t="s">
        <v>591</v>
      </c>
      <c r="G135" s="544" t="s">
        <v>137</v>
      </c>
      <c r="H135" s="544">
        <v>113</v>
      </c>
      <c r="I135" s="544" t="s">
        <v>592</v>
      </c>
      <c r="J135" s="555">
        <v>0.17</v>
      </c>
      <c r="K135" s="544">
        <v>112.83</v>
      </c>
      <c r="L135" s="569">
        <v>0</v>
      </c>
      <c r="M135" s="570">
        <v>0</v>
      </c>
      <c r="N135" s="544">
        <v>0</v>
      </c>
      <c r="O135" s="544">
        <v>3.5995555999999998E-2</v>
      </c>
      <c r="P135" s="554">
        <v>50.373854860000002</v>
      </c>
      <c r="Q135" s="549" t="s">
        <v>618</v>
      </c>
    </row>
    <row r="136" spans="1:17">
      <c r="A136" s="541">
        <v>46358</v>
      </c>
      <c r="B136" s="542" t="s">
        <v>832</v>
      </c>
      <c r="C136" s="542" t="s">
        <v>832</v>
      </c>
      <c r="D136" s="544" t="s">
        <v>763</v>
      </c>
      <c r="E136" s="544" t="s">
        <v>1109</v>
      </c>
      <c r="F136" s="544" t="s">
        <v>591</v>
      </c>
      <c r="G136" s="544" t="s">
        <v>137</v>
      </c>
      <c r="H136" s="544">
        <v>114</v>
      </c>
      <c r="I136" s="544" t="s">
        <v>592</v>
      </c>
      <c r="J136" s="555">
        <v>0.15</v>
      </c>
      <c r="K136" s="544">
        <v>113.85</v>
      </c>
      <c r="L136" s="569">
        <v>0</v>
      </c>
      <c r="M136" s="570">
        <v>0</v>
      </c>
      <c r="N136" s="544">
        <v>0</v>
      </c>
      <c r="O136" s="544">
        <v>4.0333622E-2</v>
      </c>
      <c r="P136" s="554">
        <v>48.00654153</v>
      </c>
      <c r="Q136" s="549" t="s">
        <v>618</v>
      </c>
    </row>
    <row r="137" spans="1:17">
      <c r="A137" s="541">
        <v>46358</v>
      </c>
      <c r="B137" s="542" t="s">
        <v>833</v>
      </c>
      <c r="C137" s="542" t="s">
        <v>833</v>
      </c>
      <c r="D137" s="544" t="s">
        <v>834</v>
      </c>
      <c r="E137" s="544" t="s">
        <v>1109</v>
      </c>
      <c r="F137" s="544" t="s">
        <v>596</v>
      </c>
      <c r="G137" s="544" t="s">
        <v>137</v>
      </c>
      <c r="H137" s="544">
        <v>30.14</v>
      </c>
      <c r="I137" s="544" t="s">
        <v>592</v>
      </c>
      <c r="J137" s="555">
        <v>0.48</v>
      </c>
      <c r="K137" s="544">
        <v>0</v>
      </c>
      <c r="L137" s="569">
        <v>0</v>
      </c>
      <c r="M137" s="570">
        <v>0</v>
      </c>
      <c r="N137" s="544">
        <v>0</v>
      </c>
      <c r="O137" s="544">
        <v>7.0272279000000007E-2</v>
      </c>
      <c r="P137" s="554">
        <v>29.731552929999999</v>
      </c>
      <c r="Q137" s="549" t="s">
        <v>618</v>
      </c>
    </row>
    <row r="138" spans="1:17">
      <c r="A138" s="541">
        <v>46358</v>
      </c>
      <c r="B138" s="542" t="s">
        <v>835</v>
      </c>
      <c r="C138" s="542" t="s">
        <v>835</v>
      </c>
      <c r="D138" s="544" t="s">
        <v>834</v>
      </c>
      <c r="E138" s="544" t="s">
        <v>1109</v>
      </c>
      <c r="F138" s="544" t="s">
        <v>591</v>
      </c>
      <c r="G138" s="544" t="s">
        <v>137</v>
      </c>
      <c r="H138" s="544">
        <v>25.89</v>
      </c>
      <c r="I138" s="544" t="s">
        <v>592</v>
      </c>
      <c r="J138" s="555">
        <v>0.04</v>
      </c>
      <c r="K138" s="544">
        <v>25.85</v>
      </c>
      <c r="L138" s="569">
        <v>0</v>
      </c>
      <c r="M138" s="570">
        <v>0</v>
      </c>
      <c r="N138" s="544">
        <v>0</v>
      </c>
      <c r="O138" s="544">
        <v>1.06338E-4</v>
      </c>
      <c r="P138" s="554">
        <v>38.885451029999999</v>
      </c>
      <c r="Q138" s="549" t="s">
        <v>618</v>
      </c>
    </row>
    <row r="139" spans="1:17">
      <c r="A139" s="541">
        <v>46358</v>
      </c>
      <c r="B139" s="542" t="s">
        <v>836</v>
      </c>
      <c r="C139" s="542" t="s">
        <v>836</v>
      </c>
      <c r="D139" s="544" t="s">
        <v>834</v>
      </c>
      <c r="E139" s="544" t="s">
        <v>1109</v>
      </c>
      <c r="F139" s="544" t="s">
        <v>591</v>
      </c>
      <c r="G139" s="544" t="s">
        <v>137</v>
      </c>
      <c r="H139" s="544">
        <v>28.14</v>
      </c>
      <c r="I139" s="544" t="s">
        <v>592</v>
      </c>
      <c r="J139" s="555">
        <v>0.1</v>
      </c>
      <c r="K139" s="544">
        <v>28.04</v>
      </c>
      <c r="L139" s="569">
        <v>0</v>
      </c>
      <c r="M139" s="570">
        <v>0</v>
      </c>
      <c r="N139" s="544">
        <v>0</v>
      </c>
      <c r="O139" s="544">
        <v>8.3920139999999997E-3</v>
      </c>
      <c r="P139" s="554">
        <v>34.852849419999998</v>
      </c>
      <c r="Q139" s="549" t="s">
        <v>618</v>
      </c>
    </row>
    <row r="140" spans="1:17">
      <c r="A140" s="541">
        <v>46358</v>
      </c>
      <c r="B140" s="572" t="s">
        <v>843</v>
      </c>
      <c r="C140" s="572" t="s">
        <v>843</v>
      </c>
      <c r="D140" s="544" t="s">
        <v>680</v>
      </c>
      <c r="E140" s="544" t="s">
        <v>1120</v>
      </c>
      <c r="F140" s="544" t="s">
        <v>591</v>
      </c>
      <c r="G140" s="544" t="s">
        <v>137</v>
      </c>
      <c r="H140" s="544">
        <v>163000</v>
      </c>
      <c r="I140" s="544" t="s">
        <v>592</v>
      </c>
      <c r="J140" s="555">
        <v>200</v>
      </c>
      <c r="K140" s="544">
        <v>162800</v>
      </c>
      <c r="L140" s="569">
        <v>0</v>
      </c>
      <c r="M140" s="570">
        <v>0</v>
      </c>
      <c r="N140" s="544">
        <v>0</v>
      </c>
      <c r="O140" s="544">
        <v>4.819444E-3</v>
      </c>
      <c r="P140" s="554">
        <v>38.772040580000002</v>
      </c>
      <c r="Q140" s="549" t="s">
        <v>618</v>
      </c>
    </row>
    <row r="141" spans="1:17">
      <c r="A141" s="541">
        <v>46358</v>
      </c>
      <c r="B141" s="542" t="s">
        <v>867</v>
      </c>
      <c r="C141" s="542" t="s">
        <v>867</v>
      </c>
      <c r="D141" s="544" t="s">
        <v>799</v>
      </c>
      <c r="E141" s="544" t="s">
        <v>1109</v>
      </c>
      <c r="F141" s="544" t="s">
        <v>591</v>
      </c>
      <c r="G141" s="544" t="s">
        <v>137</v>
      </c>
      <c r="H141" s="544">
        <v>34.15</v>
      </c>
      <c r="I141" s="544" t="s">
        <v>592</v>
      </c>
      <c r="J141" s="555">
        <v>0.04</v>
      </c>
      <c r="K141" s="544">
        <v>34.11</v>
      </c>
      <c r="L141" s="569">
        <v>0</v>
      </c>
      <c r="M141" s="570">
        <v>0</v>
      </c>
      <c r="N141" s="544">
        <v>0</v>
      </c>
      <c r="O141" s="544">
        <v>7.134222E-3</v>
      </c>
      <c r="P141" s="554">
        <v>40.869639290000002</v>
      </c>
      <c r="Q141" s="549" t="s">
        <v>618</v>
      </c>
    </row>
    <row r="142" spans="1:17">
      <c r="A142" s="541">
        <v>46358</v>
      </c>
      <c r="B142" s="542" t="s">
        <v>868</v>
      </c>
      <c r="C142" s="542" t="s">
        <v>868</v>
      </c>
      <c r="D142" s="544" t="s">
        <v>869</v>
      </c>
      <c r="E142" s="544" t="s">
        <v>1109</v>
      </c>
      <c r="F142" s="544" t="s">
        <v>591</v>
      </c>
      <c r="G142" s="544" t="s">
        <v>137</v>
      </c>
      <c r="H142" s="544">
        <v>43.25</v>
      </c>
      <c r="I142" s="544" t="s">
        <v>592</v>
      </c>
      <c r="J142" s="555">
        <v>0.01</v>
      </c>
      <c r="K142" s="544">
        <v>43.24</v>
      </c>
      <c r="L142" s="569">
        <v>0</v>
      </c>
      <c r="M142" s="570">
        <v>0</v>
      </c>
      <c r="N142" s="544">
        <v>0</v>
      </c>
      <c r="O142" s="544">
        <v>2.96898E-3</v>
      </c>
      <c r="P142" s="554">
        <v>66.465536929999999</v>
      </c>
      <c r="Q142" s="549" t="s">
        <v>618</v>
      </c>
    </row>
    <row r="143" spans="1:17">
      <c r="A143" s="541">
        <v>46358</v>
      </c>
      <c r="B143" s="542" t="s">
        <v>870</v>
      </c>
      <c r="C143" s="542" t="s">
        <v>870</v>
      </c>
      <c r="D143" s="544" t="s">
        <v>869</v>
      </c>
      <c r="E143" s="544" t="s">
        <v>1109</v>
      </c>
      <c r="F143" s="544" t="s">
        <v>591</v>
      </c>
      <c r="G143" s="544" t="s">
        <v>137</v>
      </c>
      <c r="H143" s="544">
        <v>46.25</v>
      </c>
      <c r="I143" s="544" t="s">
        <v>592</v>
      </c>
      <c r="J143" s="555">
        <v>0.04</v>
      </c>
      <c r="K143" s="544">
        <v>46.21</v>
      </c>
      <c r="L143" s="569">
        <v>0</v>
      </c>
      <c r="M143" s="570">
        <v>0</v>
      </c>
      <c r="N143" s="544">
        <v>0</v>
      </c>
      <c r="O143" s="544">
        <v>7.212782E-3</v>
      </c>
      <c r="P143" s="554">
        <v>52.248610100000001</v>
      </c>
      <c r="Q143" s="549" t="s">
        <v>618</v>
      </c>
    </row>
    <row r="144" spans="1:17">
      <c r="A144" s="541">
        <v>46358</v>
      </c>
      <c r="B144" s="542" t="s">
        <v>871</v>
      </c>
      <c r="C144" s="542" t="s">
        <v>871</v>
      </c>
      <c r="D144" s="544" t="s">
        <v>869</v>
      </c>
      <c r="E144" s="544" t="s">
        <v>1105</v>
      </c>
      <c r="F144" s="544" t="s">
        <v>596</v>
      </c>
      <c r="G144" s="544" t="s">
        <v>137</v>
      </c>
      <c r="H144" s="544">
        <v>50.5</v>
      </c>
      <c r="I144" s="544" t="s">
        <v>592</v>
      </c>
      <c r="J144" s="555">
        <v>3.44</v>
      </c>
      <c r="K144" s="544">
        <v>0</v>
      </c>
      <c r="L144" s="569">
        <v>0</v>
      </c>
      <c r="M144" s="570">
        <v>0</v>
      </c>
      <c r="N144" s="544">
        <v>0</v>
      </c>
      <c r="O144" s="544">
        <v>0.70410634999999999</v>
      </c>
      <c r="P144" s="554">
        <v>36.224103820000003</v>
      </c>
      <c r="Q144" s="549" t="s">
        <v>618</v>
      </c>
    </row>
    <row r="145" spans="1:17">
      <c r="A145" s="541">
        <v>46358</v>
      </c>
      <c r="B145" s="542" t="s">
        <v>872</v>
      </c>
      <c r="C145" s="542" t="s">
        <v>872</v>
      </c>
      <c r="D145" s="544" t="s">
        <v>869</v>
      </c>
      <c r="E145" s="544" t="s">
        <v>1105</v>
      </c>
      <c r="F145" s="544" t="s">
        <v>591</v>
      </c>
      <c r="G145" s="544" t="s">
        <v>137</v>
      </c>
      <c r="H145" s="544">
        <v>42.5</v>
      </c>
      <c r="I145" s="544" t="s">
        <v>592</v>
      </c>
      <c r="J145" s="555">
        <v>0.14000000000000001</v>
      </c>
      <c r="K145" s="544">
        <v>42.36</v>
      </c>
      <c r="L145" s="569">
        <v>0</v>
      </c>
      <c r="M145" s="570">
        <v>0</v>
      </c>
      <c r="N145" s="544">
        <v>0</v>
      </c>
      <c r="O145" s="544">
        <v>2.7157346999999998E-2</v>
      </c>
      <c r="P145" s="554">
        <v>43.937933010000002</v>
      </c>
      <c r="Q145" s="549" t="s">
        <v>618</v>
      </c>
    </row>
    <row r="146" spans="1:17">
      <c r="A146" s="541">
        <v>46358</v>
      </c>
      <c r="B146" s="542" t="s">
        <v>873</v>
      </c>
      <c r="C146" s="542" t="s">
        <v>873</v>
      </c>
      <c r="D146" s="544" t="s">
        <v>869</v>
      </c>
      <c r="E146" s="544" t="s">
        <v>1105</v>
      </c>
      <c r="F146" s="544" t="s">
        <v>591</v>
      </c>
      <c r="G146" s="544" t="s">
        <v>137</v>
      </c>
      <c r="H146" s="544">
        <v>46.5</v>
      </c>
      <c r="I146" s="544" t="s">
        <v>592</v>
      </c>
      <c r="J146" s="555">
        <v>0.42</v>
      </c>
      <c r="K146" s="544">
        <v>46.08</v>
      </c>
      <c r="L146" s="569">
        <v>0</v>
      </c>
      <c r="M146" s="570">
        <v>0</v>
      </c>
      <c r="N146" s="544">
        <v>0</v>
      </c>
      <c r="O146" s="544">
        <v>7.8701473999999993E-2</v>
      </c>
      <c r="P146" s="554">
        <v>38.558531270000003</v>
      </c>
      <c r="Q146" s="549" t="s">
        <v>618</v>
      </c>
    </row>
    <row r="147" spans="1:17">
      <c r="A147" s="541">
        <v>46358</v>
      </c>
      <c r="B147" s="542" t="s">
        <v>889</v>
      </c>
      <c r="C147" s="542" t="s">
        <v>889</v>
      </c>
      <c r="D147" s="544" t="s">
        <v>890</v>
      </c>
      <c r="E147" s="544" t="s">
        <v>1109</v>
      </c>
      <c r="F147" s="544" t="s">
        <v>591</v>
      </c>
      <c r="G147" s="544" t="s">
        <v>137</v>
      </c>
      <c r="H147" s="544">
        <v>40.94</v>
      </c>
      <c r="I147" s="544" t="s">
        <v>592</v>
      </c>
      <c r="J147" s="555">
        <v>0.01</v>
      </c>
      <c r="K147" s="544">
        <v>40.93</v>
      </c>
      <c r="L147" s="569">
        <v>0</v>
      </c>
      <c r="M147" s="570">
        <v>0</v>
      </c>
      <c r="N147" s="544">
        <v>0</v>
      </c>
      <c r="O147" s="544">
        <v>1.1033154E-2</v>
      </c>
      <c r="P147" s="554">
        <v>73.258782800000006</v>
      </c>
      <c r="Q147" s="549" t="s">
        <v>618</v>
      </c>
    </row>
    <row r="148" spans="1:17">
      <c r="A148" s="541">
        <v>46358</v>
      </c>
      <c r="B148" s="542" t="s">
        <v>891</v>
      </c>
      <c r="C148" s="542" t="s">
        <v>891</v>
      </c>
      <c r="D148" s="544" t="s">
        <v>890</v>
      </c>
      <c r="E148" s="544" t="s">
        <v>1109</v>
      </c>
      <c r="F148" s="544" t="s">
        <v>591</v>
      </c>
      <c r="G148" s="544" t="s">
        <v>137</v>
      </c>
      <c r="H148" s="544">
        <v>42.88</v>
      </c>
      <c r="I148" s="544" t="s">
        <v>592</v>
      </c>
      <c r="J148" s="555">
        <v>0.02</v>
      </c>
      <c r="K148" s="544">
        <v>42.86</v>
      </c>
      <c r="L148" s="569">
        <v>0</v>
      </c>
      <c r="M148" s="570">
        <v>0</v>
      </c>
      <c r="N148" s="544">
        <v>0</v>
      </c>
      <c r="O148" s="544">
        <v>1.5925005999999998E-2</v>
      </c>
      <c r="P148" s="554">
        <v>60.290773379999997</v>
      </c>
      <c r="Q148" s="549" t="s">
        <v>618</v>
      </c>
    </row>
    <row r="149" spans="1:17">
      <c r="A149" s="541">
        <v>46358</v>
      </c>
      <c r="B149" s="572" t="s">
        <v>895</v>
      </c>
      <c r="C149" s="572" t="s">
        <v>895</v>
      </c>
      <c r="D149" s="544" t="s">
        <v>763</v>
      </c>
      <c r="E149" s="544" t="s">
        <v>1109</v>
      </c>
      <c r="F149" s="544" t="s">
        <v>591</v>
      </c>
      <c r="G149" s="544" t="s">
        <v>137</v>
      </c>
      <c r="H149" s="544">
        <v>120</v>
      </c>
      <c r="I149" s="544" t="s">
        <v>592</v>
      </c>
      <c r="J149" s="555">
        <v>0.51</v>
      </c>
      <c r="K149" s="544">
        <v>119.49</v>
      </c>
      <c r="L149" s="569">
        <v>0</v>
      </c>
      <c r="M149" s="570">
        <v>0</v>
      </c>
      <c r="N149" s="544">
        <v>0</v>
      </c>
      <c r="O149" s="544">
        <v>0.112826015</v>
      </c>
      <c r="P149" s="554">
        <v>36.048266920000003</v>
      </c>
      <c r="Q149" s="549" t="s">
        <v>618</v>
      </c>
    </row>
    <row r="150" spans="1:17">
      <c r="A150" s="541">
        <v>46358</v>
      </c>
      <c r="B150" s="572" t="s">
        <v>896</v>
      </c>
      <c r="C150" s="572" t="s">
        <v>896</v>
      </c>
      <c r="D150" s="544" t="s">
        <v>817</v>
      </c>
      <c r="E150" s="544" t="s">
        <v>1109</v>
      </c>
      <c r="F150" s="544" t="s">
        <v>591</v>
      </c>
      <c r="G150" s="544" t="s">
        <v>137</v>
      </c>
      <c r="H150" s="544">
        <v>77.900000000000006</v>
      </c>
      <c r="I150" s="544" t="s">
        <v>592</v>
      </c>
      <c r="J150" s="555">
        <v>0.1</v>
      </c>
      <c r="K150" s="544">
        <v>77.8</v>
      </c>
      <c r="L150" s="569">
        <v>0</v>
      </c>
      <c r="M150" s="570">
        <v>0</v>
      </c>
      <c r="N150" s="544">
        <v>0</v>
      </c>
      <c r="O150" s="544">
        <v>4.7604605000000001E-2</v>
      </c>
      <c r="P150" s="554">
        <v>74.704009999999997</v>
      </c>
      <c r="Q150" s="549" t="s">
        <v>618</v>
      </c>
    </row>
    <row r="151" spans="1:17">
      <c r="A151" s="541">
        <v>46358</v>
      </c>
      <c r="B151" s="572" t="s">
        <v>897</v>
      </c>
      <c r="C151" s="572" t="s">
        <v>897</v>
      </c>
      <c r="D151" s="544" t="s">
        <v>817</v>
      </c>
      <c r="E151" s="544" t="s">
        <v>1109</v>
      </c>
      <c r="F151" s="544" t="s">
        <v>591</v>
      </c>
      <c r="G151" s="544" t="s">
        <v>137</v>
      </c>
      <c r="H151" s="544">
        <v>82.9</v>
      </c>
      <c r="I151" s="544" t="s">
        <v>592</v>
      </c>
      <c r="J151" s="555">
        <v>0.3</v>
      </c>
      <c r="K151" s="544">
        <v>82.6</v>
      </c>
      <c r="L151" s="569">
        <v>0</v>
      </c>
      <c r="M151" s="570">
        <v>0</v>
      </c>
      <c r="N151" s="544">
        <v>0</v>
      </c>
      <c r="O151" s="544">
        <v>9.0191990999999999E-2</v>
      </c>
      <c r="P151" s="554">
        <v>57.305528989999999</v>
      </c>
      <c r="Q151" s="549" t="s">
        <v>618</v>
      </c>
    </row>
    <row r="152" spans="1:17">
      <c r="A152" s="541">
        <v>46358</v>
      </c>
      <c r="B152" s="542" t="s">
        <v>919</v>
      </c>
      <c r="C152" s="542" t="s">
        <v>919</v>
      </c>
      <c r="D152" s="544" t="s">
        <v>619</v>
      </c>
      <c r="E152" s="544" t="s">
        <v>1109</v>
      </c>
      <c r="F152" s="544" t="s">
        <v>591</v>
      </c>
      <c r="G152" s="544" t="s">
        <v>137</v>
      </c>
      <c r="H152" s="544">
        <v>14.67</v>
      </c>
      <c r="I152" s="544" t="s">
        <v>592</v>
      </c>
      <c r="J152" s="555">
        <v>0.02</v>
      </c>
      <c r="K152" s="544">
        <v>14.65</v>
      </c>
      <c r="L152" s="569">
        <v>0</v>
      </c>
      <c r="M152" s="570">
        <v>0</v>
      </c>
      <c r="N152" s="544">
        <v>0</v>
      </c>
      <c r="O152" s="544">
        <v>6.1560300000000005E-4</v>
      </c>
      <c r="P152" s="554">
        <v>42.034246400000001</v>
      </c>
      <c r="Q152" s="549" t="s">
        <v>618</v>
      </c>
    </row>
    <row r="153" spans="1:17">
      <c r="A153" s="541">
        <v>46358</v>
      </c>
      <c r="B153" s="542" t="s">
        <v>920</v>
      </c>
      <c r="C153" s="542" t="s">
        <v>920</v>
      </c>
      <c r="D153" s="544" t="s">
        <v>921</v>
      </c>
      <c r="E153" s="544" t="s">
        <v>1105</v>
      </c>
      <c r="F153" s="544" t="s">
        <v>591</v>
      </c>
      <c r="G153" s="544" t="s">
        <v>137</v>
      </c>
      <c r="H153" s="544">
        <v>21.31</v>
      </c>
      <c r="I153" s="544" t="s">
        <v>592</v>
      </c>
      <c r="J153" s="555">
        <v>0.49</v>
      </c>
      <c r="K153" s="544">
        <v>20.82</v>
      </c>
      <c r="L153" s="569">
        <v>0</v>
      </c>
      <c r="M153" s="570">
        <v>0</v>
      </c>
      <c r="N153" s="544">
        <v>0</v>
      </c>
      <c r="O153" s="544">
        <v>8.6894189999999996E-2</v>
      </c>
      <c r="P153" s="554">
        <v>34.492458480000003</v>
      </c>
      <c r="Q153" s="549" t="s">
        <v>618</v>
      </c>
    </row>
    <row r="154" spans="1:17">
      <c r="A154" s="541">
        <v>46358</v>
      </c>
      <c r="B154" s="542" t="s">
        <v>922</v>
      </c>
      <c r="C154" s="542" t="s">
        <v>922</v>
      </c>
      <c r="D154" s="544" t="s">
        <v>921</v>
      </c>
      <c r="E154" s="544" t="s">
        <v>1105</v>
      </c>
      <c r="F154" s="544" t="s">
        <v>591</v>
      </c>
      <c r="G154" s="544" t="s">
        <v>137</v>
      </c>
      <c r="H154" s="544">
        <v>22.81</v>
      </c>
      <c r="I154" s="544" t="s">
        <v>592</v>
      </c>
      <c r="J154" s="555">
        <v>1.1599999999999999</v>
      </c>
      <c r="K154" s="544">
        <v>21.65</v>
      </c>
      <c r="L154" s="569">
        <v>0</v>
      </c>
      <c r="M154" s="570">
        <v>0</v>
      </c>
      <c r="N154" s="544">
        <v>0</v>
      </c>
      <c r="O154" s="544">
        <v>0.213332998</v>
      </c>
      <c r="P154" s="554">
        <v>34.17594115</v>
      </c>
      <c r="Q154" s="549" t="s">
        <v>618</v>
      </c>
    </row>
    <row r="155" spans="1:17">
      <c r="A155" s="541">
        <v>46358</v>
      </c>
      <c r="B155" s="542" t="s">
        <v>944</v>
      </c>
      <c r="C155" s="542" t="s">
        <v>944</v>
      </c>
      <c r="D155" s="544" t="s">
        <v>945</v>
      </c>
      <c r="E155" s="544" t="s">
        <v>1109</v>
      </c>
      <c r="F155" s="544" t="s">
        <v>591</v>
      </c>
      <c r="G155" s="544" t="s">
        <v>137</v>
      </c>
      <c r="H155" s="544">
        <v>12.48</v>
      </c>
      <c r="I155" s="544" t="s">
        <v>592</v>
      </c>
      <c r="J155" s="555">
        <v>0.02</v>
      </c>
      <c r="K155" s="544">
        <v>12.46</v>
      </c>
      <c r="L155" s="569">
        <v>0</v>
      </c>
      <c r="M155" s="570">
        <v>0</v>
      </c>
      <c r="N155" s="544">
        <v>0</v>
      </c>
      <c r="O155" s="571">
        <v>6.9625699999999996E-6</v>
      </c>
      <c r="P155" s="554">
        <v>26.56857853</v>
      </c>
      <c r="Q155" s="549" t="s">
        <v>618</v>
      </c>
    </row>
    <row r="156" spans="1:17">
      <c r="A156" s="541">
        <v>46358</v>
      </c>
      <c r="B156" s="542" t="s">
        <v>946</v>
      </c>
      <c r="C156" s="542" t="s">
        <v>946</v>
      </c>
      <c r="D156" s="544" t="s">
        <v>945</v>
      </c>
      <c r="E156" s="544" t="s">
        <v>1109</v>
      </c>
      <c r="F156" s="544" t="s">
        <v>591</v>
      </c>
      <c r="G156" s="544" t="s">
        <v>137</v>
      </c>
      <c r="H156" s="544">
        <v>13.23</v>
      </c>
      <c r="I156" s="544" t="s">
        <v>592</v>
      </c>
      <c r="J156" s="555">
        <v>0.04</v>
      </c>
      <c r="K156" s="544">
        <v>13.19</v>
      </c>
      <c r="L156" s="569">
        <v>0</v>
      </c>
      <c r="M156" s="570">
        <v>0</v>
      </c>
      <c r="N156" s="544">
        <v>0</v>
      </c>
      <c r="O156" s="544">
        <v>8.4213300000000001E-4</v>
      </c>
      <c r="P156" s="554">
        <v>23.328378990000001</v>
      </c>
      <c r="Q156" s="549" t="s">
        <v>618</v>
      </c>
    </row>
    <row r="157" spans="1:17">
      <c r="A157" s="541">
        <v>46358</v>
      </c>
      <c r="B157" s="542" t="s">
        <v>947</v>
      </c>
      <c r="C157" s="542" t="s">
        <v>947</v>
      </c>
      <c r="D157" s="544" t="s">
        <v>948</v>
      </c>
      <c r="E157" s="544" t="s">
        <v>1105</v>
      </c>
      <c r="F157" s="544" t="s">
        <v>596</v>
      </c>
      <c r="G157" s="544" t="s">
        <v>137</v>
      </c>
      <c r="H157" s="544">
        <v>34.630000000000003</v>
      </c>
      <c r="I157" s="544" t="s">
        <v>592</v>
      </c>
      <c r="J157" s="555">
        <v>0.81</v>
      </c>
      <c r="K157" s="544">
        <v>0</v>
      </c>
      <c r="L157" s="569">
        <v>0</v>
      </c>
      <c r="M157" s="570">
        <v>0</v>
      </c>
      <c r="N157" s="544">
        <v>0</v>
      </c>
      <c r="O157" s="544">
        <v>0.15803729799999999</v>
      </c>
      <c r="P157" s="554">
        <v>29.46944839</v>
      </c>
      <c r="Q157" s="549" t="s">
        <v>618</v>
      </c>
    </row>
    <row r="158" spans="1:17">
      <c r="A158" s="541">
        <v>46358</v>
      </c>
      <c r="B158" s="542" t="s">
        <v>949</v>
      </c>
      <c r="C158" s="542" t="s">
        <v>949</v>
      </c>
      <c r="D158" s="544" t="s">
        <v>950</v>
      </c>
      <c r="E158" s="544" t="s">
        <v>1105</v>
      </c>
      <c r="F158" s="544" t="s">
        <v>596</v>
      </c>
      <c r="G158" s="544" t="s">
        <v>137</v>
      </c>
      <c r="H158" s="544">
        <v>27.05</v>
      </c>
      <c r="I158" s="544" t="s">
        <v>592</v>
      </c>
      <c r="J158" s="555">
        <v>1.25</v>
      </c>
      <c r="K158" s="544">
        <v>0</v>
      </c>
      <c r="L158" s="569">
        <v>0</v>
      </c>
      <c r="M158" s="570">
        <v>0</v>
      </c>
      <c r="N158" s="544">
        <v>0</v>
      </c>
      <c r="O158" s="544">
        <v>0.19093168699999999</v>
      </c>
      <c r="P158" s="554">
        <v>34.12475586</v>
      </c>
      <c r="Q158" s="549" t="s">
        <v>618</v>
      </c>
    </row>
    <row r="159" spans="1:17">
      <c r="A159" s="541">
        <v>46358</v>
      </c>
      <c r="B159" s="542" t="s">
        <v>951</v>
      </c>
      <c r="C159" s="542" t="s">
        <v>951</v>
      </c>
      <c r="D159" s="544" t="s">
        <v>950</v>
      </c>
      <c r="E159" s="544" t="s">
        <v>1105</v>
      </c>
      <c r="F159" s="544" t="s">
        <v>591</v>
      </c>
      <c r="G159" s="544" t="s">
        <v>137</v>
      </c>
      <c r="H159" s="544">
        <v>22.39</v>
      </c>
      <c r="I159" s="544" t="s">
        <v>592</v>
      </c>
      <c r="J159" s="555">
        <v>0.22</v>
      </c>
      <c r="K159" s="544">
        <v>22.17</v>
      </c>
      <c r="L159" s="569">
        <v>0</v>
      </c>
      <c r="M159" s="570">
        <v>0</v>
      </c>
      <c r="N159" s="544">
        <v>0</v>
      </c>
      <c r="O159" s="544">
        <v>1.8229970000000002E-2</v>
      </c>
      <c r="P159" s="554">
        <v>39.801507309999998</v>
      </c>
      <c r="Q159" s="549" t="s">
        <v>618</v>
      </c>
    </row>
    <row r="160" spans="1:17">
      <c r="A160" s="541">
        <v>46358</v>
      </c>
      <c r="B160" s="542" t="s">
        <v>952</v>
      </c>
      <c r="C160" s="542" t="s">
        <v>952</v>
      </c>
      <c r="D160" s="544" t="s">
        <v>950</v>
      </c>
      <c r="E160" s="544" t="s">
        <v>1105</v>
      </c>
      <c r="F160" s="544" t="s">
        <v>591</v>
      </c>
      <c r="G160" s="544" t="s">
        <v>137</v>
      </c>
      <c r="H160" s="544">
        <v>24.84</v>
      </c>
      <c r="I160" s="544" t="s">
        <v>592</v>
      </c>
      <c r="J160" s="555">
        <v>0.79</v>
      </c>
      <c r="K160" s="544">
        <v>24.05</v>
      </c>
      <c r="L160" s="569">
        <v>0</v>
      </c>
      <c r="M160" s="570">
        <v>0</v>
      </c>
      <c r="N160" s="544">
        <v>0</v>
      </c>
      <c r="O160" s="544">
        <v>8.4246749999999995E-2</v>
      </c>
      <c r="P160" s="554">
        <v>36.857891639999998</v>
      </c>
      <c r="Q160" s="549" t="s">
        <v>618</v>
      </c>
    </row>
    <row r="161" spans="1:17">
      <c r="A161" s="541">
        <v>46358</v>
      </c>
      <c r="B161" s="542" t="s">
        <v>953</v>
      </c>
      <c r="C161" s="542" t="s">
        <v>953</v>
      </c>
      <c r="D161" s="544" t="s">
        <v>954</v>
      </c>
      <c r="E161" s="544" t="s">
        <v>1109</v>
      </c>
      <c r="F161" s="544" t="s">
        <v>596</v>
      </c>
      <c r="G161" s="544" t="s">
        <v>137</v>
      </c>
      <c r="H161" s="544">
        <v>7.03</v>
      </c>
      <c r="I161" s="544" t="s">
        <v>592</v>
      </c>
      <c r="J161" s="555">
        <v>0.02</v>
      </c>
      <c r="K161" s="544">
        <v>0</v>
      </c>
      <c r="L161" s="569">
        <v>0</v>
      </c>
      <c r="M161" s="570">
        <v>0</v>
      </c>
      <c r="N161" s="544">
        <v>0</v>
      </c>
      <c r="O161" s="544">
        <v>3.9785899999999997E-3</v>
      </c>
      <c r="P161" s="554">
        <v>81.407376709999994</v>
      </c>
      <c r="Q161" s="549" t="s">
        <v>618</v>
      </c>
    </row>
    <row r="162" spans="1:17">
      <c r="A162" s="541">
        <v>46358</v>
      </c>
      <c r="B162" s="542" t="s">
        <v>955</v>
      </c>
      <c r="C162" s="542" t="s">
        <v>955</v>
      </c>
      <c r="D162" s="544" t="s">
        <v>954</v>
      </c>
      <c r="E162" s="544" t="s">
        <v>1109</v>
      </c>
      <c r="F162" s="544" t="s">
        <v>596</v>
      </c>
      <c r="G162" s="544" t="s">
        <v>137</v>
      </c>
      <c r="H162" s="544">
        <v>7.83</v>
      </c>
      <c r="I162" s="544" t="s">
        <v>592</v>
      </c>
      <c r="J162" s="555">
        <v>0.01</v>
      </c>
      <c r="K162" s="544">
        <v>0</v>
      </c>
      <c r="L162" s="569">
        <v>0</v>
      </c>
      <c r="M162" s="570">
        <v>0</v>
      </c>
      <c r="N162" s="544">
        <v>0</v>
      </c>
      <c r="O162" s="544">
        <v>1.2553239999999999E-3</v>
      </c>
      <c r="P162" s="554">
        <v>100.60846909999999</v>
      </c>
      <c r="Q162" s="549" t="s">
        <v>618</v>
      </c>
    </row>
    <row r="163" spans="1:17">
      <c r="A163" s="541">
        <v>46358</v>
      </c>
      <c r="B163" s="572" t="s">
        <v>968</v>
      </c>
      <c r="C163" s="572" t="s">
        <v>968</v>
      </c>
      <c r="D163" s="544" t="s">
        <v>969</v>
      </c>
      <c r="E163" s="544" t="s">
        <v>1109</v>
      </c>
      <c r="F163" s="544" t="s">
        <v>596</v>
      </c>
      <c r="G163" s="544" t="s">
        <v>137</v>
      </c>
      <c r="H163" s="544">
        <v>17.670000000000002</v>
      </c>
      <c r="I163" s="544" t="s">
        <v>592</v>
      </c>
      <c r="J163" s="555">
        <v>0.26</v>
      </c>
      <c r="K163" s="544">
        <v>0</v>
      </c>
      <c r="L163" s="569">
        <v>0</v>
      </c>
      <c r="M163" s="570">
        <v>0</v>
      </c>
      <c r="N163" s="544">
        <v>0</v>
      </c>
      <c r="O163" s="544">
        <v>4.7895641000000003E-2</v>
      </c>
      <c r="P163" s="554">
        <v>41.949688010000003</v>
      </c>
      <c r="Q163" s="549" t="s">
        <v>618</v>
      </c>
    </row>
    <row r="164" spans="1:17">
      <c r="A164" s="541">
        <v>46358</v>
      </c>
      <c r="B164" s="572" t="s">
        <v>970</v>
      </c>
      <c r="C164" s="572" t="s">
        <v>970</v>
      </c>
      <c r="D164" s="544" t="s">
        <v>971</v>
      </c>
      <c r="E164" s="544" t="s">
        <v>1109</v>
      </c>
      <c r="F164" s="544" t="s">
        <v>596</v>
      </c>
      <c r="G164" s="544" t="s">
        <v>137</v>
      </c>
      <c r="H164" s="544">
        <v>18.010000000000002</v>
      </c>
      <c r="I164" s="544" t="s">
        <v>592</v>
      </c>
      <c r="J164" s="555">
        <v>0.03</v>
      </c>
      <c r="K164" s="544">
        <v>0</v>
      </c>
      <c r="L164" s="569">
        <v>0</v>
      </c>
      <c r="M164" s="570">
        <v>0</v>
      </c>
      <c r="N164" s="544">
        <v>0</v>
      </c>
      <c r="O164" s="571">
        <v>4.0070900000000002E-7</v>
      </c>
      <c r="P164" s="554">
        <v>15.175352719999999</v>
      </c>
      <c r="Q164" s="549" t="s">
        <v>618</v>
      </c>
    </row>
    <row r="165" spans="1:17">
      <c r="A165" s="541">
        <v>46358</v>
      </c>
      <c r="B165" s="542" t="s">
        <v>972</v>
      </c>
      <c r="C165" s="542" t="s">
        <v>972</v>
      </c>
      <c r="D165" s="544" t="s">
        <v>869</v>
      </c>
      <c r="E165" s="544" t="s">
        <v>1107</v>
      </c>
      <c r="F165" s="544" t="s">
        <v>591</v>
      </c>
      <c r="G165" s="544" t="s">
        <v>137</v>
      </c>
      <c r="H165" s="544">
        <v>45.5</v>
      </c>
      <c r="I165" s="544" t="s">
        <v>592</v>
      </c>
      <c r="J165" s="555">
        <v>0.8</v>
      </c>
      <c r="K165" s="544">
        <v>44.7</v>
      </c>
      <c r="L165" s="569">
        <v>0</v>
      </c>
      <c r="M165" s="570">
        <v>0</v>
      </c>
      <c r="N165" s="544">
        <v>0</v>
      </c>
      <c r="O165" s="544">
        <v>9.9260988999999994E-2</v>
      </c>
      <c r="P165" s="554">
        <v>36.2485365</v>
      </c>
      <c r="Q165" s="549" t="s">
        <v>618</v>
      </c>
    </row>
    <row r="166" spans="1:17">
      <c r="A166" s="541">
        <v>46358</v>
      </c>
      <c r="B166" s="542" t="s">
        <v>973</v>
      </c>
      <c r="C166" s="542" t="s">
        <v>973</v>
      </c>
      <c r="D166" s="544" t="s">
        <v>869</v>
      </c>
      <c r="E166" s="544" t="s">
        <v>1107</v>
      </c>
      <c r="F166" s="544" t="s">
        <v>591</v>
      </c>
      <c r="G166" s="544" t="s">
        <v>137</v>
      </c>
      <c r="H166" s="544">
        <v>49.5</v>
      </c>
      <c r="I166" s="544" t="s">
        <v>592</v>
      </c>
      <c r="J166" s="555">
        <v>1.18</v>
      </c>
      <c r="K166" s="544">
        <v>48.32</v>
      </c>
      <c r="L166" s="569">
        <v>0</v>
      </c>
      <c r="M166" s="570">
        <v>0</v>
      </c>
      <c r="N166" s="544">
        <v>0</v>
      </c>
      <c r="O166" s="544">
        <v>0.25562451899999999</v>
      </c>
      <c r="P166" s="554">
        <v>34.551369780000002</v>
      </c>
      <c r="Q166" s="549" t="s">
        <v>618</v>
      </c>
    </row>
    <row r="167" spans="1:17">
      <c r="A167" s="541">
        <v>46358</v>
      </c>
      <c r="B167" s="542" t="s">
        <v>991</v>
      </c>
      <c r="C167" s="542" t="s">
        <v>991</v>
      </c>
      <c r="D167" s="544" t="s">
        <v>992</v>
      </c>
      <c r="E167" s="544" t="s">
        <v>1105</v>
      </c>
      <c r="F167" s="544" t="s">
        <v>591</v>
      </c>
      <c r="G167" s="544" t="s">
        <v>137</v>
      </c>
      <c r="H167" s="544">
        <v>18.87</v>
      </c>
      <c r="I167" s="544" t="s">
        <v>592</v>
      </c>
      <c r="J167" s="555">
        <v>0.12</v>
      </c>
      <c r="K167" s="544">
        <v>18.75</v>
      </c>
      <c r="L167" s="569">
        <v>0</v>
      </c>
      <c r="M167" s="570">
        <v>0</v>
      </c>
      <c r="N167" s="544">
        <v>0</v>
      </c>
      <c r="O167" s="544">
        <v>2.0906766E-2</v>
      </c>
      <c r="P167" s="554">
        <v>27.937970419999999</v>
      </c>
      <c r="Q167" s="549" t="s">
        <v>618</v>
      </c>
    </row>
    <row r="168" spans="1:17">
      <c r="A168" s="541">
        <v>46358</v>
      </c>
      <c r="B168" s="542" t="s">
        <v>993</v>
      </c>
      <c r="C168" s="542" t="s">
        <v>993</v>
      </c>
      <c r="D168" s="544" t="s">
        <v>834</v>
      </c>
      <c r="E168" s="544" t="s">
        <v>1109</v>
      </c>
      <c r="F168" s="544" t="s">
        <v>596</v>
      </c>
      <c r="G168" s="544" t="s">
        <v>137</v>
      </c>
      <c r="H168" s="544">
        <v>30.64</v>
      </c>
      <c r="I168" s="544" t="s">
        <v>592</v>
      </c>
      <c r="J168" s="555">
        <v>0.28999999999999998</v>
      </c>
      <c r="K168" s="544">
        <v>0</v>
      </c>
      <c r="L168" s="569">
        <v>0</v>
      </c>
      <c r="M168" s="570">
        <v>0</v>
      </c>
      <c r="N168" s="544">
        <v>0</v>
      </c>
      <c r="O168" s="544">
        <v>3.3791276000000002E-2</v>
      </c>
      <c r="P168" s="554">
        <v>28.44859529</v>
      </c>
      <c r="Q168" s="549" t="s">
        <v>618</v>
      </c>
    </row>
    <row r="169" spans="1:17">
      <c r="A169" s="541">
        <v>46358</v>
      </c>
      <c r="B169" s="542" t="s">
        <v>994</v>
      </c>
      <c r="C169" s="542" t="s">
        <v>994</v>
      </c>
      <c r="D169" s="544" t="s">
        <v>834</v>
      </c>
      <c r="E169" s="544" t="s">
        <v>1109</v>
      </c>
      <c r="F169" s="544" t="s">
        <v>591</v>
      </c>
      <c r="G169" s="544" t="s">
        <v>137</v>
      </c>
      <c r="H169" s="544">
        <v>26.64</v>
      </c>
      <c r="I169" s="544" t="s">
        <v>592</v>
      </c>
      <c r="J169" s="555">
        <v>0.02</v>
      </c>
      <c r="K169" s="544">
        <v>26.62</v>
      </c>
      <c r="L169" s="569">
        <v>0</v>
      </c>
      <c r="M169" s="570">
        <v>0</v>
      </c>
      <c r="N169" s="544">
        <v>0</v>
      </c>
      <c r="O169" s="544">
        <v>5.6752500000000004E-4</v>
      </c>
      <c r="P169" s="554">
        <v>37.782816519999997</v>
      </c>
      <c r="Q169" s="549" t="s">
        <v>618</v>
      </c>
    </row>
    <row r="170" spans="1:17">
      <c r="A170" s="541">
        <v>46358</v>
      </c>
      <c r="B170" s="542" t="s">
        <v>995</v>
      </c>
      <c r="C170" s="542" t="s">
        <v>995</v>
      </c>
      <c r="D170" s="544" t="s">
        <v>834</v>
      </c>
      <c r="E170" s="544" t="s">
        <v>1109</v>
      </c>
      <c r="F170" s="544" t="s">
        <v>591</v>
      </c>
      <c r="G170" s="544" t="s">
        <v>137</v>
      </c>
      <c r="H170" s="544">
        <v>28.64</v>
      </c>
      <c r="I170" s="544" t="s">
        <v>592</v>
      </c>
      <c r="J170" s="555">
        <v>0.21</v>
      </c>
      <c r="K170" s="544">
        <v>28.43</v>
      </c>
      <c r="L170" s="569">
        <v>0</v>
      </c>
      <c r="M170" s="570">
        <v>0</v>
      </c>
      <c r="N170" s="544">
        <v>0</v>
      </c>
      <c r="O170" s="544">
        <v>1.7499036999999999E-2</v>
      </c>
      <c r="P170" s="554">
        <v>33.658162730000001</v>
      </c>
      <c r="Q170" s="549" t="s">
        <v>618</v>
      </c>
    </row>
    <row r="171" spans="1:17">
      <c r="A171" s="541">
        <v>46358</v>
      </c>
      <c r="B171" s="542" t="s">
        <v>1002</v>
      </c>
      <c r="C171" s="542" t="s">
        <v>1002</v>
      </c>
      <c r="D171" s="544" t="s">
        <v>1003</v>
      </c>
      <c r="E171" s="544" t="s">
        <v>1109</v>
      </c>
      <c r="F171" s="544" t="s">
        <v>596</v>
      </c>
      <c r="G171" s="544" t="s">
        <v>137</v>
      </c>
      <c r="H171" s="544">
        <v>53.54</v>
      </c>
      <c r="I171" s="544" t="s">
        <v>592</v>
      </c>
      <c r="J171" s="555">
        <v>0.8</v>
      </c>
      <c r="K171" s="544">
        <v>0</v>
      </c>
      <c r="L171" s="569">
        <v>0</v>
      </c>
      <c r="M171" s="570">
        <v>0</v>
      </c>
      <c r="N171" s="544">
        <v>0</v>
      </c>
      <c r="O171" s="571">
        <v>3.3454300000000002E-6</v>
      </c>
      <c r="P171" s="554">
        <v>26.781276080000001</v>
      </c>
      <c r="Q171" s="549" t="s">
        <v>618</v>
      </c>
    </row>
    <row r="172" spans="1:17">
      <c r="A172" s="541">
        <v>46358</v>
      </c>
      <c r="B172" s="542" t="s">
        <v>1004</v>
      </c>
      <c r="C172" s="542" t="s">
        <v>1004</v>
      </c>
      <c r="D172" s="544" t="s">
        <v>1003</v>
      </c>
      <c r="E172" s="544" t="s">
        <v>1109</v>
      </c>
      <c r="F172" s="544" t="s">
        <v>591</v>
      </c>
      <c r="G172" s="544" t="s">
        <v>137</v>
      </c>
      <c r="H172" s="544">
        <v>45.54</v>
      </c>
      <c r="I172" s="544" t="s">
        <v>592</v>
      </c>
      <c r="J172" s="555">
        <v>0.52</v>
      </c>
      <c r="K172" s="544">
        <v>45.02</v>
      </c>
      <c r="L172" s="569">
        <v>0</v>
      </c>
      <c r="M172" s="570">
        <v>0</v>
      </c>
      <c r="N172" s="544">
        <v>0</v>
      </c>
      <c r="O172" s="544">
        <v>6.5921014999999999E-2</v>
      </c>
      <c r="P172" s="554">
        <v>37.105154679999998</v>
      </c>
      <c r="Q172" s="549" t="s">
        <v>618</v>
      </c>
    </row>
    <row r="173" spans="1:17">
      <c r="A173" s="541">
        <v>46358</v>
      </c>
      <c r="B173" s="542" t="s">
        <v>1005</v>
      </c>
      <c r="C173" s="542" t="s">
        <v>1005</v>
      </c>
      <c r="D173" s="544" t="s">
        <v>1003</v>
      </c>
      <c r="E173" s="544" t="s">
        <v>1109</v>
      </c>
      <c r="F173" s="544" t="s">
        <v>591</v>
      </c>
      <c r="G173" s="544" t="s">
        <v>137</v>
      </c>
      <c r="H173" s="544">
        <v>49.29</v>
      </c>
      <c r="I173" s="544" t="s">
        <v>592</v>
      </c>
      <c r="J173" s="555">
        <v>1.82</v>
      </c>
      <c r="K173" s="544">
        <v>47.47</v>
      </c>
      <c r="L173" s="569">
        <v>0</v>
      </c>
      <c r="M173" s="570">
        <v>0</v>
      </c>
      <c r="N173" s="544">
        <v>0</v>
      </c>
      <c r="O173" s="544">
        <v>0.473388537</v>
      </c>
      <c r="P173" s="554">
        <v>31.066796459999999</v>
      </c>
      <c r="Q173" s="549" t="s">
        <v>618</v>
      </c>
    </row>
    <row r="174" spans="1:17">
      <c r="A174" s="541">
        <v>46358</v>
      </c>
      <c r="B174" s="572" t="s">
        <v>1006</v>
      </c>
      <c r="C174" s="572" t="s">
        <v>1006</v>
      </c>
      <c r="D174" s="544" t="s">
        <v>1007</v>
      </c>
      <c r="E174" s="544" t="s">
        <v>1105</v>
      </c>
      <c r="F174" s="544" t="s">
        <v>596</v>
      </c>
      <c r="G174" s="544" t="s">
        <v>137</v>
      </c>
      <c r="H174" s="544">
        <v>7.37</v>
      </c>
      <c r="I174" s="544" t="s">
        <v>592</v>
      </c>
      <c r="J174" s="555">
        <v>0.19</v>
      </c>
      <c r="K174" s="544">
        <v>0</v>
      </c>
      <c r="L174" s="569">
        <v>0</v>
      </c>
      <c r="M174" s="570">
        <v>0</v>
      </c>
      <c r="N174" s="544">
        <v>0</v>
      </c>
      <c r="O174" s="544">
        <v>3.9187514E-2</v>
      </c>
      <c r="P174" s="554">
        <v>36.857944840000002</v>
      </c>
      <c r="Q174" s="549" t="s">
        <v>618</v>
      </c>
    </row>
    <row r="175" spans="1:17">
      <c r="A175" s="541">
        <v>46358</v>
      </c>
      <c r="B175" s="572" t="s">
        <v>1008</v>
      </c>
      <c r="C175" s="572" t="s">
        <v>1008</v>
      </c>
      <c r="D175" s="544" t="s">
        <v>1007</v>
      </c>
      <c r="E175" s="544" t="s">
        <v>1105</v>
      </c>
      <c r="F175" s="544" t="s">
        <v>591</v>
      </c>
      <c r="G175" s="544" t="s">
        <v>137</v>
      </c>
      <c r="H175" s="544">
        <v>6.17</v>
      </c>
      <c r="I175" s="544" t="s">
        <v>592</v>
      </c>
      <c r="J175" s="555">
        <v>0.14000000000000001</v>
      </c>
      <c r="K175" s="544">
        <v>6.03</v>
      </c>
      <c r="L175" s="569">
        <v>0</v>
      </c>
      <c r="M175" s="570">
        <v>0</v>
      </c>
      <c r="N175" s="544">
        <v>0</v>
      </c>
      <c r="O175" s="544">
        <v>1.2107161E-2</v>
      </c>
      <c r="P175" s="554">
        <v>42.393899740000002</v>
      </c>
      <c r="Q175" s="549" t="s">
        <v>618</v>
      </c>
    </row>
    <row r="176" spans="1:17">
      <c r="A176" s="541">
        <v>46358</v>
      </c>
      <c r="B176" s="572" t="s">
        <v>1009</v>
      </c>
      <c r="C176" s="572" t="s">
        <v>1009</v>
      </c>
      <c r="D176" s="544" t="s">
        <v>1007</v>
      </c>
      <c r="E176" s="544" t="s">
        <v>1105</v>
      </c>
      <c r="F176" s="544" t="s">
        <v>591</v>
      </c>
      <c r="G176" s="544" t="s">
        <v>137</v>
      </c>
      <c r="H176" s="544">
        <v>6.77</v>
      </c>
      <c r="I176" s="544" t="s">
        <v>592</v>
      </c>
      <c r="J176" s="555">
        <v>0.41</v>
      </c>
      <c r="K176" s="544">
        <v>6.36</v>
      </c>
      <c r="L176" s="569">
        <v>0</v>
      </c>
      <c r="M176" s="570">
        <v>0</v>
      </c>
      <c r="N176" s="544">
        <v>0</v>
      </c>
      <c r="O176" s="544">
        <v>3.8184115999999997E-2</v>
      </c>
      <c r="P176" s="554">
        <v>39.590114110000002</v>
      </c>
      <c r="Q176" s="549" t="s">
        <v>618</v>
      </c>
    </row>
    <row r="177" spans="1:17">
      <c r="A177" s="541">
        <v>46358</v>
      </c>
      <c r="B177" s="572" t="s">
        <v>1018</v>
      </c>
      <c r="C177" s="572" t="s">
        <v>1018</v>
      </c>
      <c r="D177" s="544" t="s">
        <v>1019</v>
      </c>
      <c r="E177" s="544" t="s">
        <v>1105</v>
      </c>
      <c r="F177" s="544" t="s">
        <v>596</v>
      </c>
      <c r="G177" s="544" t="s">
        <v>137</v>
      </c>
      <c r="H177" s="544">
        <v>15.2</v>
      </c>
      <c r="I177" s="544" t="s">
        <v>592</v>
      </c>
      <c r="J177" s="555">
        <v>0.35</v>
      </c>
      <c r="K177" s="544">
        <v>0</v>
      </c>
      <c r="L177" s="569">
        <v>0</v>
      </c>
      <c r="M177" s="570">
        <v>0</v>
      </c>
      <c r="N177" s="544">
        <v>0</v>
      </c>
      <c r="O177" s="544">
        <v>4.1683349999999996E-3</v>
      </c>
      <c r="P177" s="554">
        <v>34.988947279999998</v>
      </c>
      <c r="Q177" s="549" t="s">
        <v>618</v>
      </c>
    </row>
    <row r="178" spans="1:17">
      <c r="A178" s="541">
        <v>46358</v>
      </c>
      <c r="B178" s="572" t="s">
        <v>1020</v>
      </c>
      <c r="C178" s="572" t="s">
        <v>1020</v>
      </c>
      <c r="D178" s="544" t="s">
        <v>1019</v>
      </c>
      <c r="E178" s="544" t="s">
        <v>1105</v>
      </c>
      <c r="F178" s="544" t="s">
        <v>591</v>
      </c>
      <c r="G178" s="544" t="s">
        <v>137</v>
      </c>
      <c r="H178" s="544">
        <v>12.7</v>
      </c>
      <c r="I178" s="544" t="s">
        <v>592</v>
      </c>
      <c r="J178" s="555">
        <v>0.44</v>
      </c>
      <c r="K178" s="544">
        <v>12.26</v>
      </c>
      <c r="L178" s="569">
        <v>0</v>
      </c>
      <c r="M178" s="570">
        <v>0</v>
      </c>
      <c r="N178" s="544">
        <v>0</v>
      </c>
      <c r="O178" s="544">
        <v>0.13424518199999999</v>
      </c>
      <c r="P178" s="554">
        <v>40.024271409999997</v>
      </c>
      <c r="Q178" s="549" t="s">
        <v>618</v>
      </c>
    </row>
    <row r="179" spans="1:17">
      <c r="A179" s="541">
        <v>46358</v>
      </c>
      <c r="B179" s="572" t="s">
        <v>1021</v>
      </c>
      <c r="C179" s="572" t="s">
        <v>1021</v>
      </c>
      <c r="D179" s="544" t="s">
        <v>1019</v>
      </c>
      <c r="E179" s="544" t="s">
        <v>1105</v>
      </c>
      <c r="F179" s="544" t="s">
        <v>591</v>
      </c>
      <c r="G179" s="544" t="s">
        <v>137</v>
      </c>
      <c r="H179" s="544">
        <v>13.7</v>
      </c>
      <c r="I179" s="544" t="s">
        <v>592</v>
      </c>
      <c r="J179" s="555">
        <v>0.67</v>
      </c>
      <c r="K179" s="544">
        <v>13.03</v>
      </c>
      <c r="L179" s="569">
        <v>0</v>
      </c>
      <c r="M179" s="570">
        <v>0</v>
      </c>
      <c r="N179" s="544">
        <v>0</v>
      </c>
      <c r="O179" s="544">
        <v>0.25800980899999998</v>
      </c>
      <c r="P179" s="554">
        <v>37.679631819999997</v>
      </c>
      <c r="Q179" s="549" t="s">
        <v>618</v>
      </c>
    </row>
    <row r="180" spans="1:17">
      <c r="A180" s="541">
        <v>46358</v>
      </c>
      <c r="B180" s="572" t="s">
        <v>1022</v>
      </c>
      <c r="C180" s="572" t="s">
        <v>1022</v>
      </c>
      <c r="D180" s="544" t="s">
        <v>817</v>
      </c>
      <c r="E180" s="544" t="s">
        <v>1105</v>
      </c>
      <c r="F180" s="544" t="s">
        <v>591</v>
      </c>
      <c r="G180" s="544" t="s">
        <v>137</v>
      </c>
      <c r="H180" s="544">
        <v>81.180000000000007</v>
      </c>
      <c r="I180" s="544" t="s">
        <v>592</v>
      </c>
      <c r="J180" s="555">
        <v>0.86</v>
      </c>
      <c r="K180" s="544">
        <v>80.319999999999993</v>
      </c>
      <c r="L180" s="569">
        <v>0</v>
      </c>
      <c r="M180" s="570">
        <v>0</v>
      </c>
      <c r="N180" s="544">
        <v>0</v>
      </c>
      <c r="O180" s="544">
        <v>0.180589371</v>
      </c>
      <c r="P180" s="554">
        <v>37.681359540000003</v>
      </c>
      <c r="Q180" s="549" t="s">
        <v>618</v>
      </c>
    </row>
    <row r="181" spans="1:17">
      <c r="A181" s="541">
        <v>46358</v>
      </c>
      <c r="B181" s="572" t="s">
        <v>1023</v>
      </c>
      <c r="C181" s="572" t="s">
        <v>1023</v>
      </c>
      <c r="D181" s="544" t="s">
        <v>817</v>
      </c>
      <c r="E181" s="544" t="s">
        <v>1105</v>
      </c>
      <c r="F181" s="544" t="s">
        <v>591</v>
      </c>
      <c r="G181" s="544" t="s">
        <v>137</v>
      </c>
      <c r="H181" s="544">
        <v>86.18</v>
      </c>
      <c r="I181" s="544" t="s">
        <v>592</v>
      </c>
      <c r="J181" s="555">
        <v>1.94</v>
      </c>
      <c r="K181" s="544">
        <v>84.24</v>
      </c>
      <c r="L181" s="569">
        <v>0</v>
      </c>
      <c r="M181" s="570">
        <v>0</v>
      </c>
      <c r="N181" s="544">
        <v>0</v>
      </c>
      <c r="O181" s="544">
        <v>0.37470118499999999</v>
      </c>
      <c r="P181" s="554">
        <v>34.196142250000001</v>
      </c>
      <c r="Q181" s="549" t="s">
        <v>618</v>
      </c>
    </row>
    <row r="182" spans="1:17">
      <c r="A182" s="541">
        <v>46358</v>
      </c>
      <c r="B182" s="542" t="s">
        <v>1025</v>
      </c>
      <c r="C182" s="542" t="s">
        <v>1025</v>
      </c>
      <c r="D182" s="544" t="s">
        <v>945</v>
      </c>
      <c r="E182" s="544" t="s">
        <v>1105</v>
      </c>
      <c r="F182" s="544" t="s">
        <v>596</v>
      </c>
      <c r="G182" s="544" t="s">
        <v>137</v>
      </c>
      <c r="H182" s="544">
        <v>14.48</v>
      </c>
      <c r="I182" s="544" t="s">
        <v>592</v>
      </c>
      <c r="J182" s="555">
        <v>0.35</v>
      </c>
      <c r="K182" s="544">
        <v>0</v>
      </c>
      <c r="L182" s="569">
        <v>0</v>
      </c>
      <c r="M182" s="570">
        <v>0</v>
      </c>
      <c r="N182" s="544">
        <v>0</v>
      </c>
      <c r="O182" s="544">
        <v>3.3968677000000003E-2</v>
      </c>
      <c r="P182" s="554">
        <v>18.119065729999999</v>
      </c>
      <c r="Q182" s="549" t="s">
        <v>618</v>
      </c>
    </row>
    <row r="183" spans="1:17">
      <c r="A183" s="541">
        <v>46358</v>
      </c>
      <c r="B183" s="542" t="s">
        <v>1026</v>
      </c>
      <c r="C183" s="542" t="s">
        <v>1026</v>
      </c>
      <c r="D183" s="544" t="s">
        <v>945</v>
      </c>
      <c r="E183" s="544" t="s">
        <v>1105</v>
      </c>
      <c r="F183" s="544" t="s">
        <v>591</v>
      </c>
      <c r="G183" s="544" t="s">
        <v>137</v>
      </c>
      <c r="H183" s="544">
        <v>12.23</v>
      </c>
      <c r="I183" s="544" t="s">
        <v>592</v>
      </c>
      <c r="J183" s="555">
        <v>0.06</v>
      </c>
      <c r="K183" s="544">
        <v>12.17</v>
      </c>
      <c r="L183" s="569">
        <v>0</v>
      </c>
      <c r="M183" s="570">
        <v>0</v>
      </c>
      <c r="N183" s="544">
        <v>0</v>
      </c>
      <c r="O183" s="544">
        <v>1.4506079999999999E-3</v>
      </c>
      <c r="P183" s="554">
        <v>23.348767840000001</v>
      </c>
      <c r="Q183" s="549" t="s">
        <v>618</v>
      </c>
    </row>
    <row r="184" spans="1:17">
      <c r="A184" s="541">
        <v>46358</v>
      </c>
      <c r="B184" s="542" t="s">
        <v>1027</v>
      </c>
      <c r="C184" s="542" t="s">
        <v>1027</v>
      </c>
      <c r="D184" s="544" t="s">
        <v>945</v>
      </c>
      <c r="E184" s="544" t="s">
        <v>1105</v>
      </c>
      <c r="F184" s="544" t="s">
        <v>591</v>
      </c>
      <c r="G184" s="544" t="s">
        <v>137</v>
      </c>
      <c r="H184" s="544">
        <v>13.23</v>
      </c>
      <c r="I184" s="544" t="s">
        <v>592</v>
      </c>
      <c r="J184" s="555">
        <v>0.13</v>
      </c>
      <c r="K184" s="544">
        <v>13.1</v>
      </c>
      <c r="L184" s="569">
        <v>0</v>
      </c>
      <c r="M184" s="570">
        <v>0</v>
      </c>
      <c r="N184" s="544">
        <v>0</v>
      </c>
      <c r="O184" s="544">
        <v>1.3217550999999999E-2</v>
      </c>
      <c r="P184" s="554">
        <v>21.021757399999998</v>
      </c>
      <c r="Q184" s="549" t="s">
        <v>618</v>
      </c>
    </row>
    <row r="185" spans="1:17">
      <c r="A185" s="541">
        <v>46358</v>
      </c>
      <c r="B185" s="543" t="s">
        <v>1042</v>
      </c>
      <c r="C185" s="543" t="s">
        <v>1042</v>
      </c>
      <c r="D185" s="544" t="s">
        <v>1043</v>
      </c>
      <c r="E185" s="544" t="s">
        <v>1121</v>
      </c>
      <c r="F185" s="544" t="s">
        <v>591</v>
      </c>
      <c r="G185" s="544" t="s">
        <v>137</v>
      </c>
      <c r="H185" s="544">
        <v>14.91</v>
      </c>
      <c r="I185" s="544" t="s">
        <v>592</v>
      </c>
      <c r="J185" s="555">
        <v>0.27</v>
      </c>
      <c r="K185" s="544">
        <v>14.64</v>
      </c>
      <c r="L185" s="569">
        <v>0</v>
      </c>
      <c r="M185" s="570">
        <v>0</v>
      </c>
      <c r="N185" s="544">
        <v>0</v>
      </c>
      <c r="O185" s="544">
        <v>1.9882996999999999E-2</v>
      </c>
      <c r="P185" s="554">
        <v>25.689579770000002</v>
      </c>
      <c r="Q185" s="549" t="s">
        <v>618</v>
      </c>
    </row>
    <row r="186" spans="1:17">
      <c r="A186" s="541">
        <v>46358</v>
      </c>
      <c r="B186" s="543" t="s">
        <v>1044</v>
      </c>
      <c r="C186" s="543" t="s">
        <v>1044</v>
      </c>
      <c r="D186" s="544" t="s">
        <v>1043</v>
      </c>
      <c r="E186" s="544" t="s">
        <v>1121</v>
      </c>
      <c r="F186" s="544" t="s">
        <v>591</v>
      </c>
      <c r="G186" s="544" t="s">
        <v>137</v>
      </c>
      <c r="H186" s="544">
        <v>16.91</v>
      </c>
      <c r="I186" s="544" t="s">
        <v>592</v>
      </c>
      <c r="J186" s="555">
        <v>0.85</v>
      </c>
      <c r="K186" s="544">
        <v>16.059999999999999</v>
      </c>
      <c r="L186" s="569">
        <v>0</v>
      </c>
      <c r="M186" s="570">
        <v>0</v>
      </c>
      <c r="N186" s="544">
        <v>0</v>
      </c>
      <c r="O186" s="544">
        <v>8.5361497999999994E-2</v>
      </c>
      <c r="P186" s="554">
        <v>23.57828799</v>
      </c>
      <c r="Q186" s="549" t="s">
        <v>618</v>
      </c>
    </row>
    <row r="187" spans="1:17">
      <c r="A187" s="541">
        <v>46358</v>
      </c>
      <c r="B187" s="542" t="s">
        <v>1063</v>
      </c>
      <c r="C187" s="542" t="s">
        <v>1063</v>
      </c>
      <c r="D187" s="544" t="s">
        <v>680</v>
      </c>
      <c r="E187" s="544" t="s">
        <v>1122</v>
      </c>
      <c r="F187" s="544" t="s">
        <v>591</v>
      </c>
      <c r="G187" s="544" t="s">
        <v>137</v>
      </c>
      <c r="H187" s="544">
        <v>176000</v>
      </c>
      <c r="I187" s="544" t="s">
        <v>592</v>
      </c>
      <c r="J187" s="555">
        <v>625</v>
      </c>
      <c r="K187" s="544">
        <v>175375</v>
      </c>
      <c r="L187" s="569">
        <v>0</v>
      </c>
      <c r="M187" s="570">
        <v>0</v>
      </c>
      <c r="N187" s="544">
        <v>0</v>
      </c>
      <c r="O187" s="544">
        <v>173.292113</v>
      </c>
      <c r="P187" s="554">
        <v>23.77205751</v>
      </c>
      <c r="Q187" s="549" t="s">
        <v>618</v>
      </c>
    </row>
    <row r="188" spans="1:17">
      <c r="A188" s="541">
        <v>46358</v>
      </c>
      <c r="B188" s="542" t="s">
        <v>1064</v>
      </c>
      <c r="C188" s="542" t="s">
        <v>1064</v>
      </c>
      <c r="D188" s="544" t="s">
        <v>680</v>
      </c>
      <c r="E188" s="544" t="s">
        <v>1122</v>
      </c>
      <c r="F188" s="544" t="s">
        <v>591</v>
      </c>
      <c r="G188" s="544" t="s">
        <v>137</v>
      </c>
      <c r="H188" s="544">
        <v>185000</v>
      </c>
      <c r="I188" s="544" t="s">
        <v>592</v>
      </c>
      <c r="J188" s="555">
        <v>2560</v>
      </c>
      <c r="K188" s="544">
        <v>182440</v>
      </c>
      <c r="L188" s="569">
        <v>0</v>
      </c>
      <c r="M188" s="570">
        <v>0</v>
      </c>
      <c r="N188" s="544">
        <v>0</v>
      </c>
      <c r="O188" s="544">
        <v>499.74172970000001</v>
      </c>
      <c r="P188" s="554">
        <v>21.17821752</v>
      </c>
      <c r="Q188" s="549" t="s">
        <v>618</v>
      </c>
    </row>
    <row r="189" spans="1:17">
      <c r="A189" s="541">
        <v>46358</v>
      </c>
      <c r="B189" s="542" t="s">
        <v>1090</v>
      </c>
      <c r="C189" s="543" t="s">
        <v>1090</v>
      </c>
      <c r="D189" s="544" t="s">
        <v>969</v>
      </c>
      <c r="E189" s="544" t="s">
        <v>1109</v>
      </c>
      <c r="F189" s="544" t="s">
        <v>591</v>
      </c>
      <c r="G189" s="544" t="s">
        <v>137</v>
      </c>
      <c r="H189" s="544">
        <v>16.420000000000002</v>
      </c>
      <c r="I189" s="544" t="s">
        <v>592</v>
      </c>
      <c r="J189" s="555">
        <v>0.09</v>
      </c>
      <c r="K189" s="544">
        <v>16.329999999999998</v>
      </c>
      <c r="L189" s="569">
        <v>0</v>
      </c>
      <c r="M189" s="570">
        <v>0</v>
      </c>
      <c r="N189" s="544">
        <v>0</v>
      </c>
      <c r="O189" s="544">
        <v>1.9843091E-2</v>
      </c>
      <c r="P189" s="554">
        <v>50.040699969999999</v>
      </c>
      <c r="Q189" s="549" t="s">
        <v>618</v>
      </c>
    </row>
    <row r="190" spans="1:17">
      <c r="A190" s="541">
        <v>46358</v>
      </c>
      <c r="B190" s="542" t="s">
        <v>1091</v>
      </c>
      <c r="C190" s="543" t="s">
        <v>1091</v>
      </c>
      <c r="D190" s="544" t="s">
        <v>969</v>
      </c>
      <c r="E190" s="544" t="s">
        <v>1109</v>
      </c>
      <c r="F190" s="544" t="s">
        <v>591</v>
      </c>
      <c r="G190" s="544" t="s">
        <v>137</v>
      </c>
      <c r="H190" s="544">
        <v>17.170000000000002</v>
      </c>
      <c r="I190" s="544" t="s">
        <v>592</v>
      </c>
      <c r="J190" s="555">
        <v>0.24</v>
      </c>
      <c r="K190" s="544">
        <v>16.93</v>
      </c>
      <c r="L190" s="569">
        <v>0</v>
      </c>
      <c r="M190" s="570">
        <v>0</v>
      </c>
      <c r="N190" s="544">
        <v>0</v>
      </c>
      <c r="O190" s="544">
        <v>5.2318642999999998E-2</v>
      </c>
      <c r="P190" s="554">
        <v>43.29933784</v>
      </c>
      <c r="Q190" s="549" t="s">
        <v>618</v>
      </c>
    </row>
    <row r="191" spans="1:17">
      <c r="A191" s="541">
        <v>46358</v>
      </c>
      <c r="B191" s="542" t="s">
        <v>1092</v>
      </c>
      <c r="C191" s="543" t="s">
        <v>1092</v>
      </c>
      <c r="D191" s="544" t="s">
        <v>1093</v>
      </c>
      <c r="E191" s="544" t="s">
        <v>1109</v>
      </c>
      <c r="F191" s="544" t="s">
        <v>591</v>
      </c>
      <c r="G191" s="544" t="s">
        <v>137</v>
      </c>
      <c r="H191" s="544">
        <v>23.49</v>
      </c>
      <c r="I191" s="544" t="s">
        <v>592</v>
      </c>
      <c r="J191" s="555">
        <v>0.04</v>
      </c>
      <c r="K191" s="544">
        <v>23.45</v>
      </c>
      <c r="L191" s="569">
        <v>0</v>
      </c>
      <c r="M191" s="570">
        <v>0</v>
      </c>
      <c r="N191" s="544">
        <v>0</v>
      </c>
      <c r="O191" s="544">
        <v>8.9572539999999996E-3</v>
      </c>
      <c r="P191" s="554">
        <v>54.492544690000003</v>
      </c>
      <c r="Q191" s="549" t="s">
        <v>618</v>
      </c>
    </row>
    <row r="192" spans="1:17">
      <c r="A192" s="541">
        <v>46358</v>
      </c>
      <c r="B192" s="542" t="s">
        <v>1094</v>
      </c>
      <c r="C192" s="543" t="s">
        <v>1094</v>
      </c>
      <c r="D192" s="544" t="s">
        <v>1093</v>
      </c>
      <c r="E192" s="544" t="s">
        <v>1109</v>
      </c>
      <c r="F192" s="544" t="s">
        <v>591</v>
      </c>
      <c r="G192" s="544" t="s">
        <v>137</v>
      </c>
      <c r="H192" s="544">
        <v>24.86</v>
      </c>
      <c r="I192" s="544" t="s">
        <v>592</v>
      </c>
      <c r="J192" s="555">
        <v>0.15</v>
      </c>
      <c r="K192" s="544">
        <v>24.71</v>
      </c>
      <c r="L192" s="569">
        <v>0</v>
      </c>
      <c r="M192" s="570">
        <v>0</v>
      </c>
      <c r="N192" s="544">
        <v>0</v>
      </c>
      <c r="O192" s="544">
        <v>2.7984719000000002E-2</v>
      </c>
      <c r="P192" s="554">
        <v>43.555877250000002</v>
      </c>
      <c r="Q192" s="549" t="s">
        <v>618</v>
      </c>
    </row>
  </sheetData>
  <conditionalFormatting sqref="T2:T3">
    <cfRule type="cellIs" dxfId="3" priority="41" operator="equal">
      <formula>0</formula>
    </cfRule>
  </conditionalFormatting>
  <conditionalFormatting sqref="W2:W3">
    <cfRule type="cellIs" dxfId="2" priority="40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6</vt:i4>
      </vt:variant>
    </vt:vector>
  </HeadingPairs>
  <TitlesOfParts>
    <vt:vector size="24" baseType="lpstr">
      <vt:lpstr>correls (2)</vt:lpstr>
      <vt:lpstr>PAIR_Monitor</vt:lpstr>
      <vt:lpstr>BETAS</vt:lpstr>
      <vt:lpstr>Sheet3</vt:lpstr>
      <vt:lpstr>Sheet2</vt:lpstr>
      <vt:lpstr>Sheet1</vt:lpstr>
      <vt:lpstr>P&amp;L Pivot</vt:lpstr>
      <vt:lpstr>Master P&amp;L</vt:lpstr>
      <vt:lpstr>Options</vt:lpstr>
      <vt:lpstr>Options Price</vt:lpstr>
      <vt:lpstr>Check</vt:lpstr>
      <vt:lpstr>Input_APM</vt:lpstr>
      <vt:lpstr>Input_APM (Zenith)</vt:lpstr>
      <vt:lpstr>Check (Zenith)</vt:lpstr>
      <vt:lpstr>Auxiliar</vt:lpstr>
      <vt:lpstr>CDS</vt:lpstr>
      <vt:lpstr>Check result</vt:lpstr>
      <vt:lpstr>Precificação</vt:lpstr>
      <vt:lpstr>Hoje</vt:lpstr>
      <vt:lpstr>Input_Master</vt:lpstr>
      <vt:lpstr>Input_Zenith</vt:lpstr>
      <vt:lpstr>Ontem</vt:lpstr>
      <vt:lpstr>'Master P&amp;L'!Print_Area</vt:lpstr>
      <vt:lpstr>'P&amp;L Pivot'!Print_Area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Grozdea</dc:creator>
  <cp:keywords/>
  <dc:description/>
  <cp:lastModifiedBy>Felipe Monteiro</cp:lastModifiedBy>
  <cp:revision/>
  <cp:lastPrinted>2025-06-18T21:32:50Z</cp:lastPrinted>
  <dcterms:created xsi:type="dcterms:W3CDTF">2024-03-18T20:23:35Z</dcterms:created>
  <dcterms:modified xsi:type="dcterms:W3CDTF">2026-02-13T21:37:13Z</dcterms:modified>
  <cp:category/>
  <cp:contentStatus/>
</cp:coreProperties>
</file>