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F1BBDD6F-AA09-43C0-A890-F94075D3DF27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P&amp;L'!$A$11:$AD$57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P&amp;L'!$B$2:$AC$57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2" i="2" l="1" a="1"/>
  <c r="AC12" i="2"/>
  <c r="AQ22" i="2" a="1"/>
  <c r="AQ22" i="2"/>
  <c r="AQ21" i="2" a="1"/>
  <c r="AQ21" i="2"/>
  <c r="AQ20" i="2" a="1"/>
  <c r="AQ20" i="2"/>
  <c r="AB14" i="89" a="1"/>
  <c r="AB14" i="89"/>
  <c r="AB13" i="89" a="1"/>
  <c r="AB13" i="89"/>
  <c r="AC28" i="2" a="1"/>
  <c r="AC28" i="2"/>
  <c r="AC27" i="2" a="1"/>
  <c r="AC27" i="2"/>
  <c r="AC8" i="2" a="1"/>
  <c r="AC8" i="2"/>
  <c r="AC17" i="2" a="1"/>
  <c r="AC17" i="2"/>
  <c r="AC16" i="2" a="1"/>
  <c r="AC16" i="2"/>
  <c r="AQ12" i="2" a="1"/>
  <c r="AQ12" i="2"/>
  <c r="AC22" i="2" a="1"/>
  <c r="AC22" i="2"/>
  <c r="AC21" i="2" a="1"/>
  <c r="AC21" i="2"/>
  <c r="AC20" i="2" a="1"/>
  <c r="AC20" i="2"/>
  <c r="AC19" i="2" a="1"/>
  <c r="AC19" i="2"/>
  <c r="AC18" i="2" a="1"/>
  <c r="AC18" i="2"/>
  <c r="AQ7" i="2" a="1"/>
  <c r="AQ7" i="2"/>
  <c r="AQ6" i="2" a="1"/>
  <c r="AQ6" i="2"/>
  <c r="AC7" i="2" a="1"/>
  <c r="AC7" i="2"/>
  <c r="AC6" i="2" a="1"/>
  <c r="AC6" i="2"/>
  <c r="AQ28" i="2" a="1"/>
  <c r="AQ28" i="2"/>
  <c r="AQ27" i="2" a="1"/>
  <c r="AQ27" i="2"/>
  <c r="AQ19" i="2" a="1"/>
  <c r="AQ19" i="2"/>
  <c r="AQ18" i="2" a="1"/>
  <c r="AQ18" i="2"/>
  <c r="AQ5" i="2" a="1"/>
  <c r="AQ5" i="2"/>
  <c r="AQ4" i="2" a="1"/>
  <c r="AQ4" i="2"/>
  <c r="AB96" i="89" a="1"/>
  <c r="AB96" i="89"/>
  <c r="AB95" i="89" a="1"/>
  <c r="AB95" i="89"/>
  <c r="AB94" i="89" a="1"/>
  <c r="AB94" i="89"/>
  <c r="AB105" i="89" a="1"/>
  <c r="AB105" i="89"/>
  <c r="AB104" i="89" a="1"/>
  <c r="AB104" i="89"/>
  <c r="AB103" i="89" a="1"/>
  <c r="AB103" i="89"/>
  <c r="AC9" i="2" a="1"/>
  <c r="AC9" i="2"/>
  <c r="AC11" i="2" a="1"/>
  <c r="AC11" i="2"/>
  <c r="AC10" i="2" a="1"/>
  <c r="AC10" i="2"/>
  <c r="AC5" i="2" a="1"/>
  <c r="AC5" i="2"/>
  <c r="AC4" i="2" a="1"/>
  <c r="AC4" i="2"/>
  <c r="AQ8" i="2" a="1"/>
  <c r="AQ8" i="2"/>
  <c r="AQ15" i="2" a="1"/>
  <c r="AQ15" i="2"/>
  <c r="AB88" i="89" a="1"/>
  <c r="AB88" i="89"/>
  <c r="AB79" i="89" a="1"/>
  <c r="AB79" i="89"/>
  <c r="AB78" i="89" a="1"/>
  <c r="AB78" i="89"/>
  <c r="AB77" i="89" a="1"/>
  <c r="AB77" i="89"/>
  <c r="AQ17" i="2" a="1"/>
  <c r="AQ17" i="2"/>
  <c r="AQ16" i="2" a="1"/>
  <c r="AQ16" i="2"/>
  <c r="AQ9" i="2" a="1"/>
  <c r="AQ9" i="2"/>
  <c r="AQ11" i="2" a="1"/>
  <c r="AQ11" i="2"/>
  <c r="AQ10" i="2" a="1"/>
  <c r="AQ10" i="2"/>
  <c r="AB20" i="89" a="1"/>
  <c r="AB20" i="89"/>
  <c r="AB19" i="89" a="1"/>
  <c r="AB19" i="89"/>
  <c r="AC15" i="2" a="1"/>
  <c r="AC15" i="2"/>
  <c r="AB61" i="89" a="1"/>
  <c r="AB61" i="89"/>
  <c r="R53" i="89" a="1"/>
  <c r="R53" i="89"/>
  <c r="R52" i="89" a="1"/>
  <c r="R52" i="89"/>
  <c r="AB68" i="89" a="1"/>
  <c r="AB68" i="89"/>
  <c r="AB53" i="89" a="1"/>
  <c r="AB53" i="89"/>
  <c r="AB52" i="89" a="1"/>
  <c r="AB52" i="89"/>
  <c r="AQ26" i="2" a="1"/>
  <c r="AQ26" i="2"/>
  <c r="AQ25" i="2" a="1"/>
  <c r="AQ25" i="2"/>
  <c r="AQ24" i="2" a="1"/>
  <c r="AQ24" i="2"/>
  <c r="AQ23" i="2" a="1"/>
  <c r="AQ23" i="2"/>
  <c r="AB37" i="89" a="1"/>
  <c r="AB37" i="89"/>
  <c r="AB36" i="89" a="1"/>
  <c r="AB36" i="89"/>
  <c r="AB31" i="89" a="1"/>
  <c r="AB31" i="89"/>
  <c r="AB30" i="89" a="1"/>
  <c r="AB30" i="89"/>
  <c r="AC26" i="2" a="1"/>
  <c r="AC26" i="2"/>
  <c r="AC25" i="2" a="1"/>
  <c r="AC25" i="2"/>
  <c r="AC24" i="2" a="1"/>
  <c r="AC24" i="2"/>
  <c r="AC23" i="2" a="1"/>
  <c r="AC23" i="2"/>
  <c r="S61" i="89" a="1"/>
  <c r="S61" i="89"/>
  <c r="R61" i="89" a="1"/>
  <c r="Z12" i="2"/>
  <c r="AV12" i="2" s="1" a="1"/>
  <c r="S53" i="89" a="1"/>
  <c r="AV12" i="2" l="1"/>
  <c r="R61" i="89"/>
  <c r="S53" i="89"/>
  <c r="Z19" i="2"/>
  <c r="AV19" i="2" s="1" a="1"/>
  <c r="S68" i="89" a="1"/>
  <c r="AV19" i="2" l="1"/>
  <c r="S68" i="89"/>
  <c r="R68" i="89" a="1"/>
  <c r="Z17" i="2"/>
  <c r="AV17" i="2" s="1" a="1"/>
  <c r="C61" i="89" a="1"/>
  <c r="AV17" i="2" l="1"/>
  <c r="R68" i="89"/>
  <c r="C61" i="89"/>
  <c r="D68" i="89" a="1"/>
  <c r="D68" i="89"/>
  <c r="E53" i="89" a="1"/>
  <c r="E53" i="89"/>
  <c r="V52" i="89" a="1"/>
  <c r="V52" i="89"/>
  <c r="D53" i="89" a="1"/>
  <c r="D53" i="89"/>
  <c r="Z61" i="89" a="1"/>
  <c r="Z61" i="89"/>
  <c r="E68" i="89" a="1"/>
  <c r="E68" i="89"/>
  <c r="T68" i="89" a="1"/>
  <c r="T68" i="89"/>
  <c r="Z53" i="89" a="1"/>
  <c r="Z53" i="89"/>
  <c r="AA53" i="89" a="1"/>
  <c r="AA53" i="89"/>
  <c r="C68" i="89" a="1"/>
  <c r="C68" i="89"/>
  <c r="T61" i="89" a="1"/>
  <c r="T61" i="89"/>
  <c r="E61" i="89" a="1"/>
  <c r="E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Z68" i="89" a="1"/>
  <c r="Z68" i="89"/>
  <c r="AA68" i="89" a="1"/>
  <c r="AA68" i="89"/>
  <c r="V61" i="89" a="1"/>
  <c r="V61" i="89"/>
  <c r="AQ14" i="2" a="1"/>
  <c r="AQ14" i="2"/>
  <c r="AB8" i="89" a="1"/>
  <c r="AB8" i="89"/>
  <c r="AB7" i="89" a="1"/>
  <c r="AB7" i="89"/>
  <c r="AC14" i="2" a="1"/>
  <c r="AC14" i="2"/>
  <c r="F39" i="446" a="1"/>
  <c r="F39" i="446"/>
  <c r="D39" i="446" a="1"/>
  <c r="D39" i="446"/>
  <c r="G34" i="446" a="1"/>
  <c r="G34" i="446"/>
  <c r="F34" i="446" a="1"/>
  <c r="F34" i="446"/>
  <c r="F41" i="446" a="1"/>
  <c r="F41" i="446"/>
  <c r="F42" i="446" a="1"/>
  <c r="F42" i="446"/>
  <c r="D40" i="446" a="1"/>
  <c r="D40" i="446"/>
  <c r="G41" i="446" a="1"/>
  <c r="G41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G45" i="446" a="1"/>
  <c r="G45" i="446"/>
  <c r="D44" i="446" a="1"/>
  <c r="D44" i="446"/>
  <c r="F43" i="446" a="1"/>
  <c r="F43" i="446"/>
  <c r="C88" i="89" a="1"/>
  <c r="C88" i="89"/>
  <c r="V88" i="89" a="1"/>
  <c r="V88" i="89"/>
  <c r="T14" i="89" a="1"/>
  <c r="T14" i="89"/>
  <c r="AA30" i="89" a="1"/>
  <c r="AA30" i="89"/>
  <c r="V79" i="89" a="1"/>
  <c r="V79" i="89"/>
  <c r="T96" i="89" a="1"/>
  <c r="T96" i="89"/>
  <c r="C30" i="89" a="1"/>
  <c r="C30" i="89"/>
  <c r="T79" i="89" a="1"/>
  <c r="T79" i="89"/>
  <c r="T88" i="89" a="1"/>
  <c r="T88" i="89"/>
  <c r="O14" i="89" a="1"/>
  <c r="O14" i="89"/>
  <c r="Z14" i="89" a="1"/>
  <c r="C37" i="89" a="1"/>
  <c r="Z14" i="89" l="1"/>
  <c r="C37" i="89"/>
  <c r="V37" i="89" a="1"/>
  <c r="V37" i="89"/>
  <c r="O88" i="89" a="1"/>
  <c r="O88" i="89"/>
  <c r="V96" i="89" a="1"/>
  <c r="V96" i="89"/>
  <c r="O79" i="89" a="1"/>
  <c r="O79" i="89"/>
  <c r="Z79" i="89" a="1"/>
  <c r="O37" i="89" a="1"/>
  <c r="Z79" i="89" l="1"/>
  <c r="O37" i="89"/>
  <c r="Z37" i="89" a="1"/>
  <c r="V30" i="89" a="1"/>
  <c r="Z37" i="89" l="1"/>
  <c r="V30" i="89"/>
  <c r="C79" i="89" a="1"/>
  <c r="C79" i="89"/>
  <c r="T30" i="89" a="1"/>
  <c r="T30" i="89"/>
  <c r="T37" i="89" a="1"/>
  <c r="T37" i="89"/>
  <c r="O96" i="89" a="1"/>
  <c r="O96" i="89"/>
  <c r="Z96" i="89" a="1"/>
  <c r="Z88" i="89" a="1"/>
  <c r="Z96" i="89" l="1"/>
  <c r="Z88" i="89"/>
  <c r="C96" i="89" a="1"/>
  <c r="C96" i="89"/>
  <c r="C14" i="89" a="1"/>
  <c r="C14" i="89"/>
  <c r="V14" i="89" a="1"/>
  <c r="V14" i="89"/>
  <c r="O30" i="89" a="1"/>
  <c r="O30" i="89"/>
  <c r="Z30" i="89" a="1"/>
  <c r="F10" i="446" a="1"/>
  <c r="Z30" i="89" l="1"/>
  <c r="F10" i="446"/>
  <c r="G13" i="446" a="1"/>
  <c r="G13" i="446"/>
  <c r="F12" i="446" a="1"/>
  <c r="F12" i="446"/>
  <c r="F16" i="446" a="1"/>
  <c r="F16" i="446"/>
  <c r="F13" i="446" a="1"/>
  <c r="F13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S31" i="89" a="1"/>
  <c r="S31" i="89"/>
  <c r="R31" i="89" a="1"/>
  <c r="Z6" i="2"/>
  <c r="AV6" i="2" s="1" a="1"/>
  <c r="Z21" i="2"/>
  <c r="AV21" i="2" s="1" a="1"/>
  <c r="Z28" i="2"/>
  <c r="AV28" i="2" s="1" a="1"/>
  <c r="Z8" i="2"/>
  <c r="AV8" i="2" s="1" a="1"/>
  <c r="Z5" i="2"/>
  <c r="AV5" i="2" s="1" a="1"/>
  <c r="Z15" i="2"/>
  <c r="AV15" i="2" s="1" a="1"/>
  <c r="Z11" i="2"/>
  <c r="AV11" i="2" s="1" a="1"/>
  <c r="T22" i="2" a="1"/>
  <c r="AV6" i="2" l="1"/>
  <c r="AV28" i="2"/>
  <c r="AV11" i="2"/>
  <c r="AV15" i="2"/>
  <c r="AV5" i="2"/>
  <c r="AV8" i="2"/>
  <c r="AV21" i="2"/>
  <c r="R31" i="89"/>
  <c r="T22" i="2"/>
  <c r="AA13" i="2" a="1"/>
  <c r="AA13" i="2"/>
  <c r="AD22" i="2" a="1"/>
  <c r="AD22" i="2"/>
  <c r="AA24" i="2" a="1"/>
  <c r="AA24" i="2"/>
  <c r="T27" i="2" a="1"/>
  <c r="T27" i="2"/>
  <c r="C25" i="2" a="1"/>
  <c r="C25" i="2"/>
  <c r="AR19" i="2" a="1"/>
  <c r="AR19" i="2"/>
  <c r="AA7" i="2" a="1"/>
  <c r="AA7" i="2"/>
  <c r="AD7" i="2" a="1"/>
  <c r="AD7" i="2"/>
  <c r="D24" i="2" a="1"/>
  <c r="D24" i="2"/>
  <c r="AR24" i="2" a="1"/>
  <c r="AR24" i="2"/>
  <c r="AA16" i="2" a="1"/>
  <c r="AA16" i="2"/>
  <c r="D25" i="2" a="1"/>
  <c r="D25" i="2"/>
  <c r="AR27" i="2" a="1"/>
  <c r="AR27" i="2"/>
  <c r="F13" i="2" a="1"/>
  <c r="F13" i="2"/>
  <c r="D23" i="2" a="1"/>
  <c r="D23" i="2"/>
  <c r="C23" i="2" a="1"/>
  <c r="C23" i="2"/>
  <c r="E24" i="2" a="1"/>
  <c r="E24" i="2"/>
  <c r="D16" i="2" a="1"/>
  <c r="D16" i="2"/>
  <c r="E13" i="2" a="1"/>
  <c r="E13" i="2"/>
  <c r="F19" i="2" a="1"/>
  <c r="F19" i="2"/>
  <c r="E22" i="2" a="1"/>
  <c r="E22" i="2"/>
  <c r="T24" i="2" a="1"/>
  <c r="T24" i="2"/>
  <c r="F23" i="2" a="1"/>
  <c r="F23" i="2"/>
  <c r="AD25" i="2" a="1"/>
  <c r="AD25" i="2"/>
  <c r="AR17" i="2" a="1"/>
  <c r="AR17" i="2"/>
  <c r="AD13" i="2" a="1"/>
  <c r="AD13" i="2"/>
  <c r="AD24" i="2" a="1"/>
  <c r="AD24" i="2"/>
  <c r="E17" i="2" a="1"/>
  <c r="E17" i="2"/>
  <c r="E23" i="2" a="1"/>
  <c r="E23" i="2"/>
  <c r="F16" i="2" a="1"/>
  <c r="F16" i="2"/>
  <c r="C17" i="2" a="1"/>
  <c r="C17" i="2"/>
  <c r="AD27" i="2" a="1"/>
  <c r="AD27" i="2"/>
  <c r="AD17" i="2" a="1"/>
  <c r="AD17" i="2"/>
  <c r="AR13" i="2" a="1"/>
  <c r="AR13" i="2"/>
  <c r="C7" i="2" a="1"/>
  <c r="C7" i="2"/>
  <c r="E16" i="2" a="1"/>
  <c r="E16" i="2"/>
  <c r="T25" i="2" a="1"/>
  <c r="T25" i="2"/>
  <c r="AA19" i="2" a="1"/>
  <c r="AA19" i="2"/>
  <c r="F22" i="2" a="1"/>
  <c r="F22" i="2"/>
  <c r="AD23" i="2" a="1"/>
  <c r="AD23" i="2"/>
  <c r="AR22" i="2" a="1"/>
  <c r="AR22" i="2"/>
  <c r="F17" i="2" a="1"/>
  <c r="F17" i="2"/>
  <c r="C27" i="2" a="1"/>
  <c r="C27" i="2"/>
  <c r="E27" i="2" a="1"/>
  <c r="E27" i="2"/>
  <c r="AR23" i="2" a="1"/>
  <c r="AR23" i="2"/>
  <c r="F7" i="2" a="1"/>
  <c r="F7" i="2"/>
  <c r="T7" i="2" a="1"/>
  <c r="T7" i="2"/>
  <c r="E25" i="2" a="1"/>
  <c r="E25" i="2"/>
  <c r="AD19" i="2" a="1"/>
  <c r="AD19" i="2"/>
  <c r="AA17" i="2" a="1"/>
  <c r="AA17" i="2"/>
  <c r="F24" i="2" a="1"/>
  <c r="F24" i="2"/>
  <c r="C22" i="2" a="1"/>
  <c r="C22" i="2"/>
  <c r="AA27" i="2" a="1"/>
  <c r="AA27" i="2"/>
  <c r="T23" i="2" a="1"/>
  <c r="T23" i="2"/>
  <c r="AA25" i="2" a="1"/>
  <c r="AA25" i="2"/>
  <c r="AD16" i="2" a="1"/>
  <c r="AD16" i="2"/>
  <c r="D13" i="2" a="1"/>
  <c r="D13" i="2"/>
  <c r="AA22" i="2" a="1"/>
  <c r="AA22" i="2"/>
  <c r="AR16" i="2" a="1"/>
  <c r="AR16" i="2"/>
  <c r="E19" i="2" a="1"/>
  <c r="E19" i="2"/>
  <c r="D7" i="2" a="1"/>
  <c r="D7" i="2"/>
  <c r="AR7" i="2" a="1"/>
  <c r="AR7" i="2"/>
  <c r="T19" i="2" a="1"/>
  <c r="T19" i="2"/>
  <c r="D19" i="2" a="1"/>
  <c r="D19" i="2"/>
  <c r="C16" i="2" a="1"/>
  <c r="C16" i="2"/>
  <c r="AR25" i="2" a="1"/>
  <c r="AR25" i="2"/>
  <c r="F27" i="2" a="1"/>
  <c r="F27" i="2"/>
  <c r="T17" i="2" a="1"/>
  <c r="T17" i="2"/>
  <c r="E7" i="2" a="1"/>
  <c r="E7" i="2"/>
  <c r="C13" i="2" a="1"/>
  <c r="C13" i="2"/>
  <c r="T13" i="2" a="1"/>
  <c r="T13" i="2"/>
  <c r="F25" i="2" a="1"/>
  <c r="F25" i="2"/>
  <c r="D27" i="2" a="1"/>
  <c r="D27" i="2"/>
  <c r="C24" i="2" a="1"/>
  <c r="C24" i="2"/>
  <c r="D17" i="2" a="1"/>
  <c r="D17" i="2"/>
  <c r="T16" i="2" a="1"/>
  <c r="T16" i="2"/>
  <c r="D22" i="2" a="1"/>
  <c r="D22" i="2"/>
  <c r="C19" i="2" a="1"/>
  <c r="C19" i="2"/>
  <c r="AA23" i="2" a="1"/>
  <c r="AA23" i="2"/>
  <c r="AF57" i="1"/>
  <c r="AF56" i="1"/>
  <c r="G19" i="446" a="1"/>
  <c r="G19" i="446"/>
  <c r="AF53" i="1"/>
  <c r="AF52" i="1"/>
  <c r="K49" i="1"/>
  <c r="AI54" i="1"/>
  <c r="AI57" i="1"/>
  <c r="AI56" i="1"/>
  <c r="AF54" i="1"/>
  <c r="AC53" i="1"/>
  <c r="AC52" i="1"/>
  <c r="AB54" i="1"/>
  <c r="F15" i="446" a="1"/>
  <c r="F15" i="446"/>
  <c r="AC51" i="1"/>
  <c r="AC50" i="1"/>
  <c r="AC49" i="1"/>
  <c r="K57" i="1"/>
  <c r="AC54" i="1"/>
  <c r="AB53" i="1"/>
  <c r="AB52" i="1"/>
  <c r="F14" i="446" a="1"/>
  <c r="F14" i="446"/>
  <c r="AB57" i="1"/>
  <c r="AB56" i="1"/>
  <c r="F19" i="446" a="1"/>
  <c r="F19" i="446"/>
  <c r="G15" i="446" a="1"/>
  <c r="G15" i="446"/>
  <c r="K54" i="1"/>
  <c r="AC57" i="1"/>
  <c r="AC56" i="1"/>
  <c r="G6" i="446" a="1"/>
  <c r="G6" i="446"/>
  <c r="G5" i="446" a="1"/>
  <c r="G5" i="446"/>
  <c r="AI51" i="1"/>
  <c r="AI50" i="1"/>
  <c r="AI49" i="1"/>
  <c r="AF51" i="1"/>
  <c r="AF50" i="1"/>
  <c r="AF49" i="1"/>
  <c r="N1" i="1"/>
  <c r="AI53" i="1"/>
  <c r="AI52" i="1"/>
  <c r="K52" i="1"/>
  <c r="AB51" i="1"/>
  <c r="AB50" i="1"/>
  <c r="AB49" i="1"/>
  <c r="F6" i="446" a="1"/>
  <c r="F6" i="446"/>
  <c r="F5" i="446" a="1"/>
  <c r="F5" i="446"/>
  <c r="N10" i="1"/>
  <c r="G14" i="446" a="1"/>
  <c r="G14" i="446"/>
  <c r="D26" i="2" a="1"/>
  <c r="D26" i="2"/>
  <c r="T26" i="2" a="1"/>
  <c r="T26" i="2"/>
  <c r="E15" i="2" a="1"/>
  <c r="E15" i="2"/>
  <c r="AR10" i="2" a="1"/>
  <c r="AR10" i="2"/>
  <c r="AR12" i="2" a="1"/>
  <c r="AR12" i="2"/>
  <c r="AR9" i="2" a="1"/>
  <c r="AR9" i="2"/>
  <c r="T20" i="2" a="1"/>
  <c r="T20" i="2"/>
  <c r="AA15" i="2" a="1"/>
  <c r="AA15" i="2"/>
  <c r="AA10" i="2" a="1"/>
  <c r="AA10" i="2"/>
  <c r="C6" i="2" a="1"/>
  <c r="C6" i="2"/>
  <c r="C12" i="2" a="1"/>
  <c r="C12" i="2"/>
  <c r="D12" i="2" a="1"/>
  <c r="D12" i="2"/>
  <c r="AA18" i="2" a="1"/>
  <c r="AA18" i="2"/>
  <c r="E9" i="2" a="1"/>
  <c r="E9" i="2"/>
  <c r="T18" i="2" a="1"/>
  <c r="T18" i="2"/>
  <c r="D18" i="2" a="1"/>
  <c r="D18" i="2"/>
  <c r="F20" i="2" a="1"/>
  <c r="F20" i="2"/>
  <c r="D20" i="2" a="1"/>
  <c r="D20" i="2"/>
  <c r="AR20" i="2" a="1"/>
  <c r="AR20" i="2"/>
  <c r="F8" i="2" a="1"/>
  <c r="F8" i="2"/>
  <c r="AR18" i="2" a="1"/>
  <c r="AR18" i="2"/>
  <c r="AD28" i="2" a="1"/>
  <c r="AD28" i="2"/>
  <c r="F10" i="2" a="1"/>
  <c r="F10" i="2"/>
  <c r="AA6" i="2" a="1"/>
  <c r="AA6" i="2"/>
  <c r="E20" i="2" a="1"/>
  <c r="E20" i="2"/>
  <c r="AR28" i="2" a="1"/>
  <c r="AR28" i="2"/>
  <c r="D9" i="2" a="1"/>
  <c r="D9" i="2"/>
  <c r="F9" i="2" a="1"/>
  <c r="F9" i="2"/>
  <c r="E6" i="2" a="1"/>
  <c r="E6" i="2"/>
  <c r="C28" i="2" a="1"/>
  <c r="C28" i="2"/>
  <c r="F6" i="2" a="1"/>
  <c r="F6" i="2"/>
  <c r="E8" i="2" a="1"/>
  <c r="E8" i="2"/>
  <c r="T8" i="2" a="1"/>
  <c r="T8" i="2"/>
  <c r="C10" i="2" a="1"/>
  <c r="C10" i="2"/>
  <c r="AD26" i="2" a="1"/>
  <c r="AD26" i="2"/>
  <c r="E28" i="2" a="1"/>
  <c r="E28" i="2"/>
  <c r="AD15" i="2" a="1"/>
  <c r="AD15" i="2"/>
  <c r="AA12" i="2" a="1"/>
  <c r="AA12" i="2"/>
  <c r="E18" i="2" a="1"/>
  <c r="E18" i="2"/>
  <c r="C26" i="2" a="1"/>
  <c r="C26" i="2"/>
  <c r="T10" i="2" a="1"/>
  <c r="T10" i="2"/>
  <c r="AD8" i="2" a="1"/>
  <c r="AD8" i="2"/>
  <c r="C20" i="2" a="1"/>
  <c r="C20" i="2"/>
  <c r="E12" i="2" a="1"/>
  <c r="E12" i="2"/>
  <c r="C15" i="2" a="1"/>
  <c r="C15" i="2"/>
  <c r="C18" i="2" a="1"/>
  <c r="C18" i="2"/>
  <c r="T15" i="2" a="1"/>
  <c r="T15" i="2"/>
  <c r="T6" i="2" a="1"/>
  <c r="T6" i="2"/>
  <c r="AA8" i="2" a="1"/>
  <c r="AA8" i="2"/>
  <c r="AR8" i="2" a="1"/>
  <c r="AR8" i="2"/>
  <c r="AD10" i="2" a="1"/>
  <c r="AD10" i="2"/>
  <c r="F18" i="2" a="1"/>
  <c r="F18" i="2"/>
  <c r="D28" i="2" a="1"/>
  <c r="D28" i="2"/>
  <c r="T9" i="2" a="1"/>
  <c r="T9" i="2"/>
  <c r="F26" i="2" a="1"/>
  <c r="F26" i="2"/>
  <c r="F28" i="2" a="1"/>
  <c r="F28" i="2"/>
  <c r="AD6" i="2" a="1"/>
  <c r="AD6" i="2"/>
  <c r="AA26" i="2" a="1"/>
  <c r="AA26" i="2"/>
  <c r="D8" i="2" a="1"/>
  <c r="D8" i="2"/>
  <c r="AA20" i="2" a="1"/>
  <c r="AA20" i="2"/>
  <c r="D15" i="2" a="1"/>
  <c r="D15" i="2"/>
  <c r="AR15" i="2" a="1"/>
  <c r="AR15" i="2"/>
  <c r="AD20" i="2" a="1"/>
  <c r="AD20" i="2"/>
  <c r="D10" i="2" a="1"/>
  <c r="D10" i="2"/>
  <c r="T12" i="2" a="1"/>
  <c r="T12" i="2"/>
  <c r="E10" i="2" a="1"/>
  <c r="E10" i="2"/>
  <c r="AR6" i="2" a="1"/>
  <c r="AR6" i="2"/>
  <c r="AA28" i="2" a="1"/>
  <c r="AA28" i="2"/>
  <c r="C8" i="2" a="1"/>
  <c r="C8" i="2"/>
  <c r="AD18" i="2" a="1"/>
  <c r="AD18" i="2"/>
  <c r="AA9" i="2" a="1"/>
  <c r="AA9" i="2"/>
  <c r="AR26" i="2" a="1"/>
  <c r="AR26" i="2"/>
  <c r="D6" i="2" a="1"/>
  <c r="D6" i="2"/>
  <c r="F12" i="2" a="1"/>
  <c r="F12" i="2"/>
  <c r="F15" i="2" a="1"/>
  <c r="F15" i="2"/>
  <c r="AD12" i="2" a="1"/>
  <c r="AD12" i="2"/>
  <c r="C9" i="2" a="1"/>
  <c r="C9" i="2"/>
  <c r="E26" i="2" a="1"/>
  <c r="E26" i="2"/>
  <c r="T28" i="2" a="1"/>
  <c r="T28" i="2"/>
  <c r="AD9" i="2" a="1"/>
  <c r="AD9" i="2"/>
  <c r="E78" i="89" a="1"/>
  <c r="E78" i="89"/>
  <c r="E88" i="89" a="1"/>
  <c r="E88" i="89"/>
  <c r="E79" i="89" a="1"/>
  <c r="E79" i="89"/>
  <c r="E77" i="89" a="1"/>
  <c r="E77" i="89"/>
  <c r="X11" i="338" a="1"/>
  <c r="X11" i="338"/>
  <c r="X10" i="338" a="1"/>
  <c r="X10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AR5" i="2" a="1"/>
  <c r="AR5" i="2"/>
  <c r="E21" i="2" a="1"/>
  <c r="E21" i="2"/>
  <c r="T21" i="2" a="1"/>
  <c r="T21" i="2"/>
  <c r="O13" i="89" a="1"/>
  <c r="O13" i="89"/>
  <c r="AA21" i="2" a="1"/>
  <c r="AA21" i="2"/>
  <c r="T13" i="89" a="1"/>
  <c r="T13" i="89"/>
  <c r="T5" i="2" a="1"/>
  <c r="T5" i="2"/>
  <c r="O105" i="89" a="1"/>
  <c r="O105" i="89"/>
  <c r="D4" i="2" a="1"/>
  <c r="D4" i="2"/>
  <c r="C103" i="89" a="1"/>
  <c r="C103" i="89"/>
  <c r="T11" i="2" a="1"/>
  <c r="T11" i="2"/>
  <c r="O20" i="89" a="1"/>
  <c r="O20" i="89"/>
  <c r="C11" i="2" a="1"/>
  <c r="C11" i="2"/>
  <c r="D21" i="2" a="1"/>
  <c r="D21" i="2"/>
  <c r="C13" i="89" a="1"/>
  <c r="C13" i="89"/>
  <c r="AR4" i="2" a="1"/>
  <c r="AR4" i="2"/>
  <c r="AA4" i="2" a="1"/>
  <c r="AA4" i="2"/>
  <c r="T103" i="89" a="1"/>
  <c r="T103" i="89"/>
  <c r="E5" i="2" a="1"/>
  <c r="E5" i="2"/>
  <c r="C21" i="2" a="1"/>
  <c r="C21" i="2"/>
  <c r="D11" i="2" a="1"/>
  <c r="D11" i="2"/>
  <c r="C20" i="89" a="1"/>
  <c r="C20" i="89"/>
  <c r="F4" i="2" a="1"/>
  <c r="F4" i="2"/>
  <c r="F11" i="2" a="1"/>
  <c r="F11" i="2"/>
  <c r="AR21" i="2" a="1"/>
  <c r="AR21" i="2"/>
  <c r="AD11" i="2" a="1"/>
  <c r="AD11" i="2"/>
  <c r="V20" i="89" a="1"/>
  <c r="V20" i="89"/>
  <c r="Z20" i="89" a="1"/>
  <c r="Z20" i="89"/>
  <c r="AA5" i="2" a="1"/>
  <c r="AA5" i="2"/>
  <c r="T105" i="89" a="1"/>
  <c r="T105" i="89"/>
  <c r="T4" i="2" a="1"/>
  <c r="T4" i="2"/>
  <c r="O103" i="89" a="1"/>
  <c r="O103" i="89"/>
  <c r="Z13" i="89" a="1"/>
  <c r="Z13" i="89"/>
  <c r="AR11" i="2" a="1"/>
  <c r="AR11" i="2"/>
  <c r="F5" i="2" a="1"/>
  <c r="F5" i="2"/>
  <c r="C4" i="2" a="1"/>
  <c r="C4" i="2"/>
  <c r="E11" i="2" a="1"/>
  <c r="E11" i="2"/>
  <c r="AD21" i="2" a="1"/>
  <c r="AD21" i="2"/>
  <c r="V13" i="89" a="1"/>
  <c r="V13" i="89"/>
  <c r="F21" i="2" a="1"/>
  <c r="F21" i="2"/>
  <c r="AD4" i="2" a="1"/>
  <c r="AD4" i="2"/>
  <c r="V103" i="89" a="1"/>
  <c r="V103" i="89"/>
  <c r="AD5" i="2" a="1"/>
  <c r="AD5" i="2"/>
  <c r="V105" i="89" a="1"/>
  <c r="V105" i="89"/>
  <c r="C5" i="2" a="1"/>
  <c r="C5" i="2"/>
  <c r="D5" i="2" a="1"/>
  <c r="D5" i="2"/>
  <c r="C105" i="89" a="1"/>
  <c r="C105" i="89"/>
  <c r="AA11" i="2" a="1"/>
  <c r="AA11" i="2"/>
  <c r="T20" i="89" a="1"/>
  <c r="T20" i="89"/>
  <c r="E4" i="2" a="1"/>
  <c r="E4" i="2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29" i="446" a="1"/>
  <c r="D29" i="446"/>
  <c r="D32" i="446" a="1"/>
  <c r="D32" i="446"/>
  <c r="D33" i="446" a="1"/>
  <c r="D33" i="446"/>
  <c r="D20" i="89" a="1"/>
  <c r="D20" i="89"/>
  <c r="E20" i="89" a="1"/>
  <c r="E20" i="89"/>
  <c r="E95" i="89" a="1"/>
  <c r="E95" i="89"/>
  <c r="E96" i="89" a="1"/>
  <c r="E96" i="89"/>
  <c r="E31" i="89" a="1"/>
  <c r="E31" i="89"/>
  <c r="E104" i="89" a="1"/>
  <c r="E104" i="89"/>
  <c r="D36" i="89" a="1"/>
  <c r="D36" i="89"/>
  <c r="D104" i="89" a="1"/>
  <c r="D104" i="89"/>
  <c r="D96" i="89" a="1"/>
  <c r="D96" i="89"/>
  <c r="E36" i="89" a="1"/>
  <c r="E36" i="89"/>
  <c r="D31" i="89" a="1"/>
  <c r="D31" i="89"/>
  <c r="D95" i="89" a="1"/>
  <c r="D95" i="89"/>
  <c r="E8" i="89" a="1"/>
  <c r="E8" i="89"/>
  <c r="D30" i="89" a="1"/>
  <c r="D30" i="89"/>
  <c r="E94" i="89" a="1"/>
  <c r="E94" i="89"/>
  <c r="E37" i="89" a="1"/>
  <c r="E37" i="89"/>
  <c r="D105" i="89" a="1"/>
  <c r="D105" i="89"/>
  <c r="E14" i="89" a="1"/>
  <c r="E14" i="89"/>
  <c r="D13" i="89" a="1"/>
  <c r="D13" i="89"/>
  <c r="E13" i="89" a="1"/>
  <c r="E13" i="89"/>
  <c r="D7" i="89"/>
  <c r="E19" i="89"/>
  <c r="D14" i="89" a="1"/>
  <c r="D14" i="89"/>
  <c r="D8" i="89" a="1"/>
  <c r="D8" i="89"/>
  <c r="D19" i="89"/>
  <c r="D103" i="89" a="1"/>
  <c r="D103" i="89"/>
  <c r="E7" i="89"/>
  <c r="D94" i="89" a="1"/>
  <c r="D94" i="89"/>
  <c r="E105" i="89" a="1"/>
  <c r="E105" i="89"/>
  <c r="E103" i="89" a="1"/>
  <c r="E103" i="89"/>
  <c r="D37" i="89" a="1"/>
  <c r="D37" i="89"/>
  <c r="E30" i="89" a="1"/>
  <c r="E30" i="89"/>
  <c r="C7" i="89" a="1"/>
  <c r="C7" i="89"/>
  <c r="V7" i="89" a="1"/>
  <c r="V7" i="89"/>
  <c r="C94" i="89" a="1"/>
  <c r="C94" i="89"/>
  <c r="O94" i="89" a="1"/>
  <c r="O94" i="89"/>
  <c r="C8" i="89" a="1"/>
  <c r="C8" i="89"/>
  <c r="V19" i="89"/>
  <c r="T104" i="89" a="1"/>
  <c r="T104" i="89"/>
  <c r="T78" i="89" a="1"/>
  <c r="T78" i="89"/>
  <c r="V8" i="89" a="1"/>
  <c r="V8" i="89"/>
  <c r="T19" i="89"/>
  <c r="T36" i="89" a="1"/>
  <c r="T36" i="89"/>
  <c r="C77" i="89" a="1"/>
  <c r="C77" i="89"/>
  <c r="O95" i="89" a="1"/>
  <c r="O95" i="89"/>
  <c r="T77" i="89" a="1"/>
  <c r="T77" i="89"/>
  <c r="O77" i="89" a="1"/>
  <c r="O77" i="89"/>
  <c r="V104" i="89" a="1"/>
  <c r="V104" i="89"/>
  <c r="C78" i="89" a="1"/>
  <c r="C78" i="89"/>
  <c r="O8" i="89" a="1"/>
  <c r="O8" i="89"/>
  <c r="O104" i="89" a="1"/>
  <c r="O104" i="89"/>
  <c r="V31" i="89" a="1"/>
  <c r="V31" i="89"/>
  <c r="V94" i="89" a="1"/>
  <c r="V94" i="89"/>
  <c r="C19" i="89"/>
  <c r="C36" i="89" a="1"/>
  <c r="C36" i="89"/>
  <c r="O31" i="89" a="1"/>
  <c r="O31" i="89"/>
  <c r="T8" i="89" a="1"/>
  <c r="T8" i="89" l="1"/>
  <c r="V36" i="89" a="1"/>
  <c r="V36" i="89"/>
  <c r="V95" i="89" a="1"/>
  <c r="V95" i="89"/>
  <c r="V77" i="89" a="1"/>
  <c r="V77" i="89"/>
  <c r="T95" i="89" a="1"/>
  <c r="T95" i="89"/>
  <c r="O36" i="89" a="1"/>
  <c r="O36" i="89"/>
  <c r="Z77" i="89" a="1"/>
  <c r="Z77" i="89"/>
  <c r="V78" i="89" a="1"/>
  <c r="V78" i="89"/>
  <c r="O78" i="89" a="1"/>
  <c r="O78" i="89"/>
  <c r="Z78" i="89" a="1"/>
  <c r="Z78" i="89" l="1"/>
  <c r="C31" i="89" a="1"/>
  <c r="C31" i="89"/>
  <c r="C95" i="89" a="1"/>
  <c r="C95" i="89"/>
  <c r="T31" i="89" a="1"/>
  <c r="T31" i="89"/>
  <c r="T94" i="89" a="1"/>
  <c r="T94" i="89"/>
  <c r="T7" i="89" a="1"/>
  <c r="T7" i="89"/>
  <c r="O7" i="89" a="1"/>
  <c r="O7" i="89"/>
  <c r="O19" i="89"/>
  <c r="Z19" i="89" s="1" a="1"/>
  <c r="C104" i="89" a="1"/>
  <c r="Z19" i="89" l="1"/>
  <c r="C104" i="89"/>
  <c r="AC27" i="1" a="1"/>
  <c r="AC27" i="1"/>
  <c r="AI24" i="1"/>
  <c r="AF45" i="1"/>
  <c r="AF44" i="1"/>
  <c r="AF27" i="1"/>
  <c r="AB55" i="1"/>
  <c r="K43" i="1"/>
  <c r="AI27" i="1"/>
  <c r="AB18" i="1"/>
  <c r="AF55" i="1"/>
  <c r="K18" i="1"/>
  <c r="AI14" i="1"/>
  <c r="AB13" i="1"/>
  <c r="K35" i="1"/>
  <c r="K13" i="1"/>
  <c r="AC43" i="1"/>
  <c r="AI45" i="1"/>
  <c r="AI44" i="1"/>
  <c r="AF26" i="1"/>
  <c r="AF24" i="1"/>
  <c r="AF14" i="1"/>
  <c r="AC18" i="1"/>
  <c r="K26" i="1"/>
  <c r="K24" i="1"/>
  <c r="AC45" i="1"/>
  <c r="AC44" i="1"/>
  <c r="AI18" i="1"/>
  <c r="AB27" i="1"/>
  <c r="AI26" i="1"/>
  <c r="AF35" i="1"/>
  <c r="AI43" i="1"/>
  <c r="AC26" i="1"/>
  <c r="AI55" i="1"/>
  <c r="K44" i="1"/>
  <c r="AI13" i="1"/>
  <c r="AC35" i="1"/>
  <c r="AI35" i="1"/>
  <c r="AC55" i="1"/>
  <c r="AF13" i="1"/>
  <c r="AB45" i="1"/>
  <c r="AB44" i="1"/>
  <c r="AC14" i="1"/>
  <c r="AB35" i="1"/>
  <c r="AB24" i="1"/>
  <c r="AC13" i="1"/>
  <c r="K14" i="1"/>
  <c r="AB26" i="1"/>
  <c r="K55" i="1"/>
  <c r="AF18" i="1"/>
  <c r="K27" i="1"/>
  <c r="AB14" i="1"/>
  <c r="AB43" i="1"/>
  <c r="AC24" i="1"/>
  <c r="AF43" i="1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E9" i="1"/>
  <c r="E2" i="1"/>
  <c r="AK9" i="338" a="1"/>
  <c r="AK9" i="338"/>
  <c r="AB15" i="1"/>
  <c r="F23" i="446" a="1"/>
  <c r="F23" i="446"/>
  <c r="AC15" i="1"/>
  <c r="AJ11" i="338" a="1"/>
  <c r="AJ11" i="338"/>
  <c r="AH11" i="338" a="1"/>
  <c r="AH11" i="338"/>
  <c r="AF9" i="338"/>
  <c r="AF19" i="1"/>
  <c r="AH9" i="338" a="1"/>
  <c r="AH9" i="338"/>
  <c r="G36" i="446" a="1"/>
  <c r="G36" i="446"/>
  <c r="AI9" i="338" a="1"/>
  <c r="AI9" i="338"/>
  <c r="N6" i="1"/>
  <c r="AF11" i="338"/>
  <c r="AF34" i="1"/>
  <c r="AF33" i="1"/>
  <c r="K28" i="1"/>
  <c r="AC29" i="1" a="1"/>
  <c r="AC29" i="1"/>
  <c r="AC28" i="1" a="1"/>
  <c r="AC28" i="1"/>
  <c r="D35" i="446" a="1"/>
  <c r="D35" i="446"/>
  <c r="K33" i="1"/>
  <c r="G26" i="446" a="1"/>
  <c r="G26" i="446"/>
  <c r="K19" i="1"/>
  <c r="AB19" i="1"/>
  <c r="F26" i="446" a="1"/>
  <c r="F26" i="446"/>
  <c r="AC19" i="1" a="1"/>
  <c r="AC19" i="1"/>
  <c r="D26" i="446" a="1"/>
  <c r="D26" i="446"/>
  <c r="G23" i="446" a="1"/>
  <c r="G23" i="446"/>
  <c r="AI15" i="1"/>
  <c r="AF10" i="338"/>
  <c r="AF29" i="1"/>
  <c r="AF28" i="1"/>
  <c r="AJ10" i="338" a="1"/>
  <c r="AJ10" i="338"/>
  <c r="AG9" i="338"/>
  <c r="AF15" i="1"/>
  <c r="AC34" i="1" a="1"/>
  <c r="AC34" i="1"/>
  <c r="AC33" i="1" a="1"/>
  <c r="AC33" i="1"/>
  <c r="D36" i="446" a="1"/>
  <c r="D36" i="446"/>
  <c r="AI29" i="1"/>
  <c r="AI28" i="1"/>
  <c r="AJ9" i="338" a="1"/>
  <c r="AJ9" i="338"/>
  <c r="AG22" i="1"/>
  <c r="AI34" i="1"/>
  <c r="AI33" i="1"/>
  <c r="G35" i="446" a="1"/>
  <c r="G35" i="446"/>
  <c r="AG54" i="1"/>
  <c r="AB34" i="1"/>
  <c r="AB33" i="1"/>
  <c r="F36" i="446" a="1"/>
  <c r="F36" i="446"/>
  <c r="AG21" i="1"/>
  <c r="E3" i="1"/>
  <c r="AG55" i="1"/>
  <c r="AG29" i="1"/>
  <c r="AG28" i="1"/>
  <c r="AH10" i="338" a="1"/>
  <c r="AH10" i="338"/>
  <c r="AB29" i="1"/>
  <c r="AB28" i="1"/>
  <c r="F35" i="446" a="1"/>
  <c r="F35" i="446"/>
  <c r="AG35" i="1"/>
  <c r="AG31" i="1"/>
  <c r="AG30" i="1"/>
  <c r="AG15" i="1"/>
  <c r="AI19" i="1"/>
  <c r="AG12" i="1"/>
  <c r="AG26" i="1"/>
  <c r="K15" i="1"/>
  <c r="AC37" i="1"/>
  <c r="AC36" i="1"/>
  <c r="AB23" i="1"/>
  <c r="AI25" i="1"/>
  <c r="K32" i="1"/>
  <c r="E5" i="1"/>
  <c r="AB20" i="1"/>
  <c r="AC25" i="1"/>
  <c r="K23" i="1"/>
  <c r="AF12" i="1"/>
  <c r="AC12" i="1"/>
  <c r="AC40" i="1"/>
  <c r="AC39" i="1"/>
  <c r="AI23" i="1"/>
  <c r="AC20" i="1" a="1"/>
  <c r="AC20" i="1"/>
  <c r="AF37" i="1"/>
  <c r="AF36" i="1"/>
  <c r="AI21" i="1"/>
  <c r="K20" i="1"/>
  <c r="AC47" i="1"/>
  <c r="AI12" i="1"/>
  <c r="K39" i="1"/>
  <c r="AF47" i="1"/>
  <c r="AC21" i="1" a="1"/>
  <c r="AC21" i="1"/>
  <c r="AF42" i="1"/>
  <c r="AF41" i="1"/>
  <c r="AB47" i="1"/>
  <c r="AF32" i="1"/>
  <c r="AF23" i="1"/>
  <c r="AF20" i="1"/>
  <c r="K25" i="1"/>
  <c r="AB42" i="1"/>
  <c r="AB41" i="1"/>
  <c r="AB21" i="1"/>
  <c r="K41" i="1"/>
  <c r="AB37" i="1"/>
  <c r="AB36" i="1"/>
  <c r="AI32" i="1"/>
  <c r="K47" i="1"/>
  <c r="AB32" i="1"/>
  <c r="AB25" i="1"/>
  <c r="AF40" i="1"/>
  <c r="AF39" i="1"/>
  <c r="AF21" i="1"/>
  <c r="AC42" i="1"/>
  <c r="AC41" i="1"/>
  <c r="AI37" i="1"/>
  <c r="AI36" i="1"/>
  <c r="G22" i="446" a="1"/>
  <c r="G22" i="446"/>
  <c r="F24" i="446" a="1"/>
  <c r="F24" i="446"/>
  <c r="AI40" i="1"/>
  <c r="AI39" i="1"/>
  <c r="F22" i="446" a="1"/>
  <c r="F22" i="446"/>
  <c r="F17" i="446" a="1"/>
  <c r="F17" i="446"/>
  <c r="K12" i="1"/>
  <c r="K21" i="1"/>
  <c r="F21" i="446" a="1"/>
  <c r="F21" i="446"/>
  <c r="AC32" i="1"/>
  <c r="N3" i="1"/>
  <c r="AI42" i="1"/>
  <c r="AI41" i="1"/>
  <c r="N8" i="1"/>
  <c r="AB40" i="1"/>
  <c r="AB39" i="1"/>
  <c r="N5" i="1"/>
  <c r="AI47" i="1"/>
  <c r="G21" i="446" a="1"/>
  <c r="G21" i="446"/>
  <c r="AC23" i="1"/>
  <c r="G24" i="446" a="1"/>
  <c r="G24" i="446"/>
  <c r="AF25" i="1"/>
  <c r="N4" i="1"/>
  <c r="AB12" i="1"/>
  <c r="X3" i="1"/>
  <c r="AI20" i="1"/>
  <c r="K36" i="1"/>
  <c r="G17" i="446" a="1"/>
  <c r="G17" i="446"/>
  <c r="AG14" i="1"/>
  <c r="AG27" i="1"/>
  <c r="AG40" i="1"/>
  <c r="AG39" i="1"/>
  <c r="AG46" i="1"/>
  <c r="AG37" i="1"/>
  <c r="AG36" i="1"/>
  <c r="AG18" i="1"/>
  <c r="AG23" i="1"/>
  <c r="AG57" i="1"/>
  <c r="AG56" i="1"/>
  <c r="AG42" i="1"/>
  <c r="AG41" i="1"/>
  <c r="AG19" i="1"/>
  <c r="AG47" i="1"/>
  <c r="AG45" i="1"/>
  <c r="AG44" i="1"/>
  <c r="AG48" i="1"/>
  <c r="J1" i="1"/>
  <c r="J4" i="1"/>
  <c r="J10" i="1"/>
  <c r="N9" i="1"/>
  <c r="E8" i="1"/>
  <c r="J7" i="1"/>
  <c r="J3" i="1"/>
  <c r="E4" i="1"/>
  <c r="N7" i="1"/>
  <c r="J2" i="1"/>
  <c r="AH8" i="338" a="1"/>
  <c r="AH8" i="338"/>
  <c r="AJ8" i="338" a="1"/>
  <c r="AJ8" i="338"/>
  <c r="AF8" i="338"/>
  <c r="G37" i="446" a="1"/>
  <c r="G37" i="446"/>
  <c r="E6" i="1"/>
  <c r="G27" i="446" a="1"/>
  <c r="G27" i="446"/>
  <c r="F37" i="446" a="1"/>
  <c r="F37" i="446"/>
  <c r="F27" i="446" a="1"/>
  <c r="F27" i="446"/>
  <c r="E7" i="1"/>
  <c r="D27" i="446" a="1"/>
  <c r="D27" i="446"/>
  <c r="G30" i="446" a="1"/>
  <c r="G30" i="446"/>
  <c r="D30" i="446" a="1"/>
  <c r="D30" i="446"/>
  <c r="D37" i="446" a="1"/>
  <c r="D37" i="446"/>
  <c r="J8" i="1"/>
  <c r="F30" i="446" a="1"/>
  <c r="F30" i="446"/>
  <c r="AG25" i="1"/>
  <c r="AG51" i="1"/>
  <c r="AG50" i="1"/>
  <c r="AG49" i="1"/>
  <c r="AG20" i="1"/>
  <c r="AG53" i="1"/>
  <c r="AG52" i="1"/>
  <c r="AG13" i="1"/>
  <c r="AG38" i="1"/>
  <c r="AG32" i="1"/>
  <c r="AG34" i="1"/>
  <c r="AG33" i="1"/>
  <c r="AG43" i="1"/>
  <c r="AG24" i="1"/>
  <c r="Z14" i="2"/>
  <c r="AV14" i="2" s="1" a="1"/>
  <c r="AF22" i="1"/>
  <c r="AF48" i="1"/>
  <c r="AC46" i="1"/>
  <c r="AF46" i="1"/>
  <c r="K22" i="1"/>
  <c r="AI22" i="1"/>
  <c r="AB22" i="1"/>
  <c r="AB46" i="1"/>
  <c r="AC48" i="1"/>
  <c r="AI46" i="1"/>
  <c r="K48" i="1"/>
  <c r="AI48" i="1"/>
  <c r="AB48" i="1"/>
  <c r="AC22" i="1"/>
  <c r="K46" i="1"/>
  <c r="L26" i="1"/>
  <c r="L25" i="1"/>
  <c r="L24" i="1"/>
  <c r="L23" i="1"/>
  <c r="L47" i="1" a="1"/>
  <c r="AV14" i="2" l="1"/>
  <c r="L47" i="1"/>
  <c r="L27" i="1"/>
  <c r="S9" i="2" a="1"/>
  <c r="S9" i="2"/>
  <c r="S27" i="2" a="1"/>
  <c r="S27" i="2"/>
  <c r="S26" i="2" a="1"/>
  <c r="S26" i="2"/>
  <c r="S25" i="2" a="1"/>
  <c r="S25" i="2"/>
  <c r="S18" i="2" a="1"/>
  <c r="S18" i="2"/>
  <c r="S17" i="2" a="1"/>
  <c r="S17" i="2"/>
  <c r="S13" i="2" a="1"/>
  <c r="S13" i="2"/>
  <c r="S10" i="2" a="1"/>
  <c r="S10" i="2"/>
  <c r="N68" i="89" a="1"/>
  <c r="N68" i="89"/>
  <c r="L57" i="1"/>
  <c r="L56" i="1"/>
  <c r="L55" i="1"/>
  <c r="L54" i="1"/>
  <c r="L53" i="1"/>
  <c r="L52" i="1"/>
  <c r="L51" i="1"/>
  <c r="L50" i="1"/>
  <c r="L49" i="1"/>
  <c r="L48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2" i="1"/>
  <c r="L21" i="1"/>
  <c r="L20" i="1"/>
  <c r="L19" i="1"/>
  <c r="L18" i="1"/>
  <c r="L17" i="1"/>
  <c r="L16" i="1"/>
  <c r="L15" i="1"/>
  <c r="L14" i="1"/>
  <c r="L13" i="1"/>
  <c r="L12" i="1"/>
  <c r="J6" i="1"/>
  <c r="J9" i="1"/>
  <c r="J5" i="1"/>
  <c r="AI8" i="338" a="1"/>
  <c r="AI8" i="338"/>
  <c r="AK8" i="338" a="1"/>
  <c r="AK8" i="338"/>
  <c r="N2" i="1"/>
  <c r="AG8" i="338"/>
  <c r="G9" i="446" a="1"/>
  <c r="G9" i="446"/>
  <c r="F9" i="446" a="1"/>
  <c r="F9" i="446"/>
  <c r="AB38" i="1"/>
  <c r="AI38" i="1"/>
  <c r="AC38" i="1"/>
  <c r="AF38" i="1"/>
  <c r="E1" i="1"/>
  <c r="AJ12" i="338" a="1"/>
  <c r="AJ12" i="338"/>
  <c r="K30" i="1"/>
  <c r="AI31" i="1"/>
  <c r="AI30" i="1"/>
  <c r="AC31" i="1"/>
  <c r="AC30" i="1"/>
  <c r="AB31" i="1"/>
  <c r="AB30" i="1"/>
  <c r="AH12" i="338" a="1"/>
  <c r="AH12" i="338"/>
  <c r="AF12" i="338"/>
  <c r="AF31" i="1"/>
  <c r="AF30" i="1"/>
  <c r="E14" i="2" a="1"/>
  <c r="E14" i="2"/>
  <c r="F14" i="2" a="1"/>
  <c r="F14" i="2"/>
  <c r="C14" i="2" a="1"/>
  <c r="C14" i="2"/>
  <c r="AR14" i="2" a="1"/>
  <c r="AR14" i="2"/>
  <c r="D14" i="2" a="1"/>
  <c r="D14" i="2"/>
  <c r="AA14" i="2" a="1"/>
  <c r="AA14" i="2"/>
  <c r="T14" i="2" a="1"/>
  <c r="T14" i="2"/>
  <c r="AD14" i="2" a="1"/>
  <c r="AD14" i="2"/>
  <c r="AF10" i="1"/>
  <c r="E10" i="1"/>
  <c r="AB17" i="1"/>
  <c r="AB16" i="1"/>
  <c r="AI17" i="1"/>
  <c r="AI16" i="1"/>
  <c r="AC17" i="1"/>
  <c r="AC16" i="1"/>
  <c r="AF17" i="1"/>
  <c r="AF16" i="1"/>
  <c r="AG17" i="1"/>
  <c r="AG16" i="1"/>
  <c r="K16" i="1"/>
  <c r="C62" i="89" a="1"/>
  <c r="C62" i="89"/>
  <c r="J1" i="24" a="1"/>
  <c r="J1" i="24"/>
  <c r="K2" i="2" a="1"/>
  <c r="K2" i="2"/>
  <c r="AD2" i="1" a="1"/>
  <c r="AD2" i="1"/>
  <c r="AC2" i="1" a="1"/>
  <c r="AC2" i="1"/>
  <c r="T87" i="89" a="1"/>
  <c r="T87" i="89"/>
  <c r="T86" i="89" a="1"/>
  <c r="T86" i="89"/>
  <c r="T44" i="89" a="1"/>
  <c r="T44" i="89"/>
  <c r="T43" i="89" a="1"/>
  <c r="T43" i="89"/>
  <c r="AA87" i="89" a="1"/>
  <c r="AA87" i="89"/>
  <c r="AA86" i="89" a="1"/>
  <c r="AA86" i="89"/>
  <c r="AA44" i="89" a="1"/>
  <c r="AA44" i="89"/>
  <c r="AA43" i="89" a="1"/>
  <c r="AA43" i="89"/>
  <c r="C87" i="89" a="1"/>
  <c r="C87" i="89"/>
  <c r="C86" i="89" a="1"/>
  <c r="C86" i="89"/>
  <c r="C44" i="89" a="1"/>
  <c r="C44" i="89"/>
  <c r="C43" i="89" a="1"/>
  <c r="C43" i="89"/>
  <c r="O87" i="89" a="1"/>
  <c r="O87" i="89"/>
  <c r="Z87" i="89" a="1"/>
  <c r="O86" i="89" a="1"/>
  <c r="Z87" i="89" l="1"/>
  <c r="O86" i="89"/>
  <c r="Z86" i="89" a="1"/>
  <c r="O44" i="89" a="1"/>
  <c r="Z86" i="89" l="1"/>
  <c r="O44" i="89"/>
  <c r="Z44" i="89" a="1"/>
  <c r="O43" i="89" a="1"/>
  <c r="Z44" i="89" l="1"/>
  <c r="O43" i="89"/>
  <c r="Z43" i="89" a="1"/>
  <c r="E87" i="89" a="1"/>
  <c r="Z43" i="89" l="1"/>
  <c r="E87" i="89"/>
  <c r="E86" i="89" a="1"/>
  <c r="E86" i="89"/>
  <c r="E62" i="89" a="1"/>
  <c r="E62" i="89"/>
  <c r="E44" i="89" a="1"/>
  <c r="E44" i="89"/>
  <c r="E43" i="89" a="1"/>
  <c r="E43" i="89"/>
  <c r="T62" i="89" a="1"/>
  <c r="T62" i="89"/>
  <c r="Z62" i="89" a="1"/>
  <c r="Z62" i="89"/>
  <c r="AA62" i="89" a="1"/>
  <c r="AA62" i="89"/>
  <c r="V62" i="89" a="1"/>
  <c r="V62" i="89"/>
  <c r="D62" i="89" a="1"/>
  <c r="D62" i="89"/>
  <c r="D44" i="89" a="1"/>
  <c r="D44" i="89"/>
  <c r="D43" i="89" a="1"/>
  <c r="D43" i="89"/>
  <c r="AB2" i="1" a="1"/>
  <c r="AB2" i="1"/>
  <c r="V87" i="89" a="1"/>
  <c r="V87" i="89"/>
  <c r="V86" i="89" a="1"/>
  <c r="V86" i="89"/>
  <c r="V44" i="89" a="1"/>
  <c r="V44" i="89"/>
  <c r="V43" i="89" a="1"/>
  <c r="V43" i="89"/>
  <c r="J43" i="24"/>
  <c r="J46" i="24"/>
  <c r="I29" i="1" a="1"/>
  <c r="I42" i="1" a="1"/>
  <c r="I31" i="1" a="1"/>
  <c r="I31" i="1" l="1"/>
  <c r="I42" i="1"/>
  <c r="J42" i="1" s="1"/>
  <c r="I29" i="1"/>
  <c r="N42" i="1" l="1"/>
  <c r="T42" i="1" s="1"/>
  <c r="W42" i="1"/>
  <c r="N29" i="1"/>
  <c r="J29" i="1"/>
  <c r="I34" i="1" a="1"/>
  <c r="P42" i="1" l="1"/>
  <c r="V42" i="1" s="1"/>
  <c r="O42" i="1"/>
  <c r="AH42" i="1"/>
  <c r="U42" i="1"/>
  <c r="T29" i="1"/>
  <c r="N31" i="1"/>
  <c r="J31" i="1"/>
  <c r="I34" i="1"/>
  <c r="AD42" i="1" l="1"/>
  <c r="AA42" i="1"/>
  <c r="Y42" i="1"/>
  <c r="Z42" i="1"/>
  <c r="T31" i="1"/>
  <c r="N34" i="1"/>
  <c r="J34" i="1"/>
  <c r="T34" i="1" l="1"/>
  <c r="I57" i="1" a="1"/>
  <c r="I57" i="1" l="1"/>
  <c r="N57" i="1" l="1"/>
  <c r="J57" i="1"/>
  <c r="AD7" i="1" l="1"/>
  <c r="I56" i="1" a="1"/>
  <c r="I53" i="1" a="1"/>
  <c r="I52" i="1" a="1"/>
  <c r="I48" i="1" a="1"/>
  <c r="H8" i="1" a="1"/>
  <c r="I28" i="1" a="1"/>
  <c r="I36" i="1" a="1"/>
  <c r="I13" i="1" a="1"/>
  <c r="C9" i="1" a="1"/>
  <c r="I23" i="1" a="1"/>
  <c r="I20" i="1" a="1"/>
  <c r="I14" i="1" a="1"/>
  <c r="I35" i="1" a="1"/>
  <c r="I12" i="1" a="1"/>
  <c r="C10" i="1" a="1"/>
  <c r="I27" i="1" a="1"/>
  <c r="I25" i="1" a="1"/>
  <c r="I47" i="1" a="1"/>
  <c r="I21" i="1" a="1"/>
  <c r="I55" i="1" a="1"/>
  <c r="I33" i="1" a="1"/>
  <c r="L10" i="1" a="1"/>
  <c r="I51" i="1" a="1"/>
  <c r="I50" i="1" a="1"/>
  <c r="I49" i="1" a="1"/>
  <c r="L8" i="1" a="1"/>
  <c r="C8" i="1" a="1"/>
  <c r="I44" i="1" a="1"/>
  <c r="I41" i="1" a="1"/>
  <c r="I16" i="1" a="1"/>
  <c r="I54" i="1" a="1"/>
  <c r="I32" i="1" a="1"/>
  <c r="H10" i="1" a="1"/>
  <c r="H9" i="1" a="1"/>
  <c r="I26" i="1" a="1"/>
  <c r="I22" i="1" a="1"/>
  <c r="I43" i="1" a="1"/>
  <c r="I40" i="1" a="1"/>
  <c r="I30" i="1" a="1"/>
  <c r="I18" i="1" a="1"/>
  <c r="L9" i="1" a="1"/>
  <c r="I46" i="1" a="1"/>
  <c r="I39" i="1" a="1"/>
  <c r="I24" i="1" a="1"/>
  <c r="I45" i="1" a="1"/>
  <c r="I19" i="1" a="1"/>
  <c r="I17" i="1" a="1"/>
  <c r="I15" i="1" a="1"/>
  <c r="I38" i="1" a="1"/>
  <c r="I37" i="1" a="1"/>
  <c r="C8" i="1" l="1"/>
  <c r="D8" i="1" s="1"/>
  <c r="H8" i="1"/>
  <c r="I8" i="1" s="1"/>
  <c r="L8" i="1"/>
  <c r="M8" i="1" s="1"/>
  <c r="C9" i="1"/>
  <c r="D9" i="1" s="1"/>
  <c r="H9" i="1"/>
  <c r="I9" i="1" s="1"/>
  <c r="L9" i="1"/>
  <c r="M9" i="1" s="1"/>
  <c r="C10" i="1"/>
  <c r="D10" i="1" s="1"/>
  <c r="H10" i="1"/>
  <c r="I10" i="1" s="1"/>
  <c r="L10" i="1"/>
  <c r="M10" i="1" s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30" i="1"/>
  <c r="I32" i="1"/>
  <c r="I33" i="1"/>
  <c r="I35" i="1"/>
  <c r="I36" i="1"/>
  <c r="I37" i="1"/>
  <c r="I38" i="1"/>
  <c r="I39" i="1"/>
  <c r="I40" i="1"/>
  <c r="I41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P29" i="1"/>
  <c r="AH29" i="1"/>
  <c r="P31" i="1"/>
  <c r="AH31" i="1"/>
  <c r="P34" i="1"/>
  <c r="AD34" i="1" s="1"/>
  <c r="AH34" i="1"/>
  <c r="P57" i="1"/>
  <c r="AD8" i="1"/>
  <c r="L7" i="1" a="1"/>
  <c r="N32" i="1" l="1"/>
  <c r="P32" i="1" s="1"/>
  <c r="AD32" i="1" s="1"/>
  <c r="J32" i="1"/>
  <c r="N52" i="1"/>
  <c r="J52" i="1"/>
  <c r="N51" i="1"/>
  <c r="J51" i="1"/>
  <c r="N20" i="1"/>
  <c r="P20" i="1" s="1"/>
  <c r="AD20" i="1" s="1"/>
  <c r="J20" i="1"/>
  <c r="N33" i="1"/>
  <c r="P33" i="1" s="1"/>
  <c r="AD33" i="1" s="1"/>
  <c r="J33" i="1"/>
  <c r="N27" i="1"/>
  <c r="J27" i="1"/>
  <c r="N45" i="1"/>
  <c r="K45" i="1"/>
  <c r="J45" i="1" s="1"/>
  <c r="N43" i="1"/>
  <c r="J43" i="1"/>
  <c r="N40" i="1"/>
  <c r="K40" i="1"/>
  <c r="J40" i="1" s="1"/>
  <c r="N17" i="1"/>
  <c r="J17" i="1"/>
  <c r="N30" i="1"/>
  <c r="P30" i="1" s="1"/>
  <c r="AD30" i="1" s="1"/>
  <c r="J30" i="1"/>
  <c r="N46" i="1"/>
  <c r="J46" i="1"/>
  <c r="N21" i="1"/>
  <c r="P21" i="1" s="1"/>
  <c r="AD21" i="1" s="1"/>
  <c r="J21" i="1"/>
  <c r="N19" i="1"/>
  <c r="P19" i="1" s="1"/>
  <c r="AD19" i="1" s="1"/>
  <c r="J19" i="1"/>
  <c r="N41" i="1"/>
  <c r="P41" i="1" s="1"/>
  <c r="AD41" i="1" s="1"/>
  <c r="J41" i="1"/>
  <c r="N39" i="1"/>
  <c r="J39" i="1"/>
  <c r="N16" i="1"/>
  <c r="J16" i="1"/>
  <c r="N55" i="1"/>
  <c r="J55" i="1"/>
  <c r="N53" i="1"/>
  <c r="J53" i="1"/>
  <c r="N18" i="1"/>
  <c r="J18" i="1"/>
  <c r="N38" i="1"/>
  <c r="J38" i="1"/>
  <c r="N15" i="1"/>
  <c r="P15" i="1" s="1"/>
  <c r="AD15" i="1" s="1"/>
  <c r="J15" i="1"/>
  <c r="N22" i="1"/>
  <c r="J22" i="1"/>
  <c r="N37" i="1"/>
  <c r="K37" i="1"/>
  <c r="J37" i="1" s="1"/>
  <c r="N14" i="1"/>
  <c r="P14" i="1" s="1"/>
  <c r="AD14" i="1" s="1"/>
  <c r="J14" i="1"/>
  <c r="N54" i="1"/>
  <c r="J54" i="1"/>
  <c r="N44" i="1"/>
  <c r="J44" i="1"/>
  <c r="N36" i="1"/>
  <c r="P36" i="1" s="1"/>
  <c r="AD36" i="1" s="1"/>
  <c r="J36" i="1"/>
  <c r="N13" i="1"/>
  <c r="J13" i="1"/>
  <c r="N56" i="1"/>
  <c r="J56" i="1"/>
  <c r="N35" i="1"/>
  <c r="P35" i="1" s="1"/>
  <c r="AD35" i="1" s="1"/>
  <c r="J35" i="1"/>
  <c r="N12" i="1"/>
  <c r="J12" i="1"/>
  <c r="N24" i="1"/>
  <c r="J24" i="1"/>
  <c r="N28" i="1"/>
  <c r="P28" i="1" s="1"/>
  <c r="AD28" i="1" s="1"/>
  <c r="J28" i="1"/>
  <c r="N50" i="1"/>
  <c r="J50" i="1"/>
  <c r="N26" i="1"/>
  <c r="J26" i="1"/>
  <c r="N49" i="1"/>
  <c r="J49" i="1"/>
  <c r="N25" i="1"/>
  <c r="J25" i="1"/>
  <c r="N48" i="1"/>
  <c r="J48" i="1"/>
  <c r="N47" i="1"/>
  <c r="J47" i="1"/>
  <c r="N23" i="1"/>
  <c r="J23" i="1"/>
  <c r="AD31" i="1"/>
  <c r="V31" i="1"/>
  <c r="AD29" i="1"/>
  <c r="V29" i="1"/>
  <c r="L7" i="1"/>
  <c r="M7" i="1" s="1"/>
  <c r="AD57" i="1"/>
  <c r="H7" i="1" a="1"/>
  <c r="P18" i="1" l="1"/>
  <c r="P43" i="1"/>
  <c r="T17" i="1"/>
  <c r="P17" i="1"/>
  <c r="P26" i="1"/>
  <c r="P54" i="1"/>
  <c r="P39" i="1"/>
  <c r="P27" i="1"/>
  <c r="P40" i="1"/>
  <c r="T16" i="1"/>
  <c r="P16" i="1"/>
  <c r="P56" i="1"/>
  <c r="P49" i="1"/>
  <c r="P53" i="1"/>
  <c r="P51" i="1"/>
  <c r="P47" i="1"/>
  <c r="P13" i="1"/>
  <c r="P48" i="1"/>
  <c r="P25" i="1"/>
  <c r="P46" i="1"/>
  <c r="P52" i="1"/>
  <c r="P45" i="1"/>
  <c r="P50" i="1"/>
  <c r="P24" i="1"/>
  <c r="P12" i="1"/>
  <c r="P55" i="1"/>
  <c r="P44" i="1"/>
  <c r="T37" i="1"/>
  <c r="AH37" i="1" s="1"/>
  <c r="P37" i="1"/>
  <c r="P22" i="1"/>
  <c r="P23" i="1"/>
  <c r="P38" i="1"/>
  <c r="H7" i="1"/>
  <c r="I7" i="1" s="1"/>
  <c r="C7" i="1" a="1"/>
  <c r="AD56" i="1" l="1"/>
  <c r="AD46" i="1"/>
  <c r="AD23" i="1"/>
  <c r="AD52" i="1"/>
  <c r="AD25" i="1"/>
  <c r="AD44" i="1"/>
  <c r="AD22" i="1"/>
  <c r="AD17" i="1"/>
  <c r="V17" i="1"/>
  <c r="AD48" i="1"/>
  <c r="F17" i="1"/>
  <c r="AH17" i="1"/>
  <c r="AD39" i="1"/>
  <c r="AD53" i="1"/>
  <c r="AD16" i="1"/>
  <c r="V16" i="1"/>
  <c r="AD47" i="1"/>
  <c r="AD38" i="1"/>
  <c r="F16" i="1"/>
  <c r="AH16" i="1"/>
  <c r="AD27" i="1"/>
  <c r="AD13" i="1"/>
  <c r="AD26" i="1"/>
  <c r="P10" i="1"/>
  <c r="P7" i="1"/>
  <c r="AD12" i="1"/>
  <c r="AD24" i="1"/>
  <c r="AD50" i="1"/>
  <c r="AD49" i="1"/>
  <c r="AD18" i="1"/>
  <c r="AD45" i="1"/>
  <c r="AD40" i="1"/>
  <c r="AD37" i="1"/>
  <c r="V37" i="1"/>
  <c r="AD54" i="1"/>
  <c r="AD55" i="1"/>
  <c r="AD51" i="1"/>
  <c r="AD43" i="1"/>
  <c r="C7" i="1"/>
  <c r="D7" i="1" s="1"/>
  <c r="AE6" i="1"/>
  <c r="L6" i="1" a="1"/>
  <c r="AD10" i="1" l="1"/>
  <c r="L6" i="1"/>
  <c r="M6" i="1" s="1"/>
  <c r="H6" i="1" a="1"/>
  <c r="H6" i="1" l="1"/>
  <c r="I6" i="1" s="1"/>
  <c r="C6" i="1" a="1"/>
  <c r="C6" i="1" l="1"/>
  <c r="D6" i="1" s="1"/>
  <c r="AE5" i="1"/>
  <c r="AE7" i="1" s="1"/>
  <c r="O29" i="1" l="1"/>
  <c r="O31" i="1"/>
  <c r="U29" i="1"/>
  <c r="U31" i="1"/>
  <c r="O34" i="1"/>
  <c r="U34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1" i="1"/>
  <c r="O40" i="1"/>
  <c r="O39" i="1"/>
  <c r="O38" i="1"/>
  <c r="O37" i="1"/>
  <c r="U37" i="1"/>
  <c r="O36" i="1"/>
  <c r="O35" i="1"/>
  <c r="O33" i="1"/>
  <c r="O32" i="1"/>
  <c r="O30" i="1"/>
  <c r="O28" i="1"/>
  <c r="O27" i="1"/>
  <c r="O26" i="1"/>
  <c r="O25" i="1"/>
  <c r="O24" i="1"/>
  <c r="O23" i="1"/>
  <c r="O22" i="1"/>
  <c r="O21" i="1"/>
  <c r="O20" i="1"/>
  <c r="O19" i="1"/>
  <c r="O18" i="1"/>
  <c r="O17" i="1"/>
  <c r="U17" i="1"/>
  <c r="O16" i="1"/>
  <c r="U16" i="1"/>
  <c r="O15" i="1"/>
  <c r="O14" i="1"/>
  <c r="O13" i="1"/>
  <c r="W10" i="1"/>
  <c r="O12" i="1"/>
  <c r="L5" i="1" a="1"/>
  <c r="Y34" i="1" l="1"/>
  <c r="Z34" i="1"/>
  <c r="AA34" i="1"/>
  <c r="AA31" i="1"/>
  <c r="Z31" i="1"/>
  <c r="Y31" i="1"/>
  <c r="AA29" i="1"/>
  <c r="Y29" i="1"/>
  <c r="Z29" i="1"/>
  <c r="W29" i="1"/>
  <c r="W31" i="1"/>
  <c r="W34" i="1"/>
  <c r="L5" i="1"/>
  <c r="M5" i="1" s="1"/>
  <c r="Z16" i="1"/>
  <c r="Y16" i="1"/>
  <c r="Y17" i="1"/>
  <c r="Z17" i="1"/>
  <c r="O6" i="1"/>
  <c r="O5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1" i="1"/>
  <c r="W40" i="1"/>
  <c r="W39" i="1"/>
  <c r="W38" i="1"/>
  <c r="W37" i="1"/>
  <c r="W36" i="1"/>
  <c r="W35" i="1"/>
  <c r="W33" i="1"/>
  <c r="W32" i="1"/>
  <c r="W30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37" i="1"/>
  <c r="Z37" i="1"/>
  <c r="Y37" i="1"/>
  <c r="H5" i="1" a="1"/>
  <c r="H5" i="1" l="1"/>
  <c r="I5" i="1" s="1"/>
  <c r="O8" i="1"/>
  <c r="O7" i="1"/>
  <c r="C5" i="1" a="1"/>
  <c r="C5" i="1" l="1"/>
  <c r="D5" i="1" s="1"/>
  <c r="L4" i="1" a="1"/>
  <c r="L4" i="1" l="1"/>
  <c r="M4" i="1" s="1"/>
  <c r="H4" i="1" a="1"/>
  <c r="H4" i="1" l="1"/>
  <c r="I4" i="1" s="1"/>
  <c r="C4" i="1" a="1"/>
  <c r="C4" i="1" l="1"/>
  <c r="D4" i="1" s="1"/>
  <c r="AC3" i="1" a="1"/>
  <c r="AC3" i="1" l="1"/>
  <c r="AD3" i="1" s="1"/>
  <c r="Z1" i="1" l="1"/>
  <c r="L3" i="1" a="1"/>
  <c r="C3" i="1" a="1"/>
  <c r="H3" i="1" a="1"/>
  <c r="C2" i="1" a="1"/>
  <c r="AI1" i="1"/>
  <c r="AG1" i="1"/>
  <c r="L1" i="1" a="1"/>
  <c r="L2" i="1" a="1"/>
  <c r="H2" i="1" a="1"/>
  <c r="AH5" i="1" l="1"/>
  <c r="AH4" i="1"/>
  <c r="AH3" i="1"/>
  <c r="AJ5" i="1"/>
  <c r="AJ4" i="1"/>
  <c r="AJ3" i="1"/>
  <c r="C2" i="1"/>
  <c r="D2" i="1" s="1"/>
  <c r="H2" i="1"/>
  <c r="I2" i="1" s="1"/>
  <c r="L2" i="1"/>
  <c r="M2" i="1" s="1"/>
  <c r="C3" i="1"/>
  <c r="D3" i="1" s="1"/>
  <c r="H3" i="1"/>
  <c r="I3" i="1" s="1"/>
  <c r="L3" i="1"/>
  <c r="M3" i="1" s="1"/>
  <c r="L1" i="1"/>
  <c r="M1" i="1" s="1"/>
  <c r="H1" i="1" a="1"/>
  <c r="H1" i="1" l="1"/>
  <c r="I1" i="1" s="1"/>
  <c r="C1" i="1" a="1"/>
  <c r="C1" i="1" l="1"/>
  <c r="D1" i="1" s="1"/>
  <c r="L6" i="2"/>
  <c r="L7" i="2"/>
  <c r="P6" i="2" a="1"/>
  <c r="P6" i="2" l="1"/>
  <c r="P7" i="2" a="1"/>
  <c r="P7" i="2" l="1"/>
  <c r="H45" i="2" l="1"/>
  <c r="H44" i="2"/>
  <c r="H43" i="2"/>
  <c r="H42" i="2"/>
  <c r="J40" i="2"/>
  <c r="J39" i="2"/>
  <c r="J38" i="2"/>
  <c r="J37" i="2"/>
  <c r="J36" i="2"/>
  <c r="J45" i="2" s="1"/>
  <c r="I45" i="2" s="1"/>
  <c r="J35" i="2"/>
  <c r="J44" i="2" s="1"/>
  <c r="I44" i="2" s="1"/>
  <c r="J34" i="2"/>
  <c r="J43" i="2" s="1"/>
  <c r="I43" i="2" s="1"/>
  <c r="J33" i="2"/>
  <c r="J42" i="2" s="1"/>
  <c r="I42" i="2" s="1"/>
  <c r="BA28" i="2"/>
  <c r="AN28" i="2" a="1"/>
  <c r="AN28" i="2" l="1"/>
  <c r="AF28" i="2" a="1"/>
  <c r="Q57" i="1" l="1"/>
  <c r="S57" i="1"/>
  <c r="V57" i="1" s="1"/>
  <c r="S56" i="1"/>
  <c r="V56" i="1" s="1"/>
  <c r="Q56" i="1"/>
  <c r="Q55" i="1"/>
  <c r="S55" i="1"/>
  <c r="V55" i="1" s="1"/>
  <c r="S54" i="1"/>
  <c r="V54" i="1" s="1"/>
  <c r="Q54" i="1"/>
  <c r="S53" i="1"/>
  <c r="V53" i="1" s="1"/>
  <c r="Q53" i="1"/>
  <c r="S52" i="1"/>
  <c r="V52" i="1" s="1"/>
  <c r="Q52" i="1"/>
  <c r="S51" i="1"/>
  <c r="V51" i="1" s="1"/>
  <c r="Q51" i="1"/>
  <c r="S50" i="1"/>
  <c r="V50" i="1" s="1"/>
  <c r="Q50" i="1"/>
  <c r="S49" i="1"/>
  <c r="V49" i="1" s="1"/>
  <c r="Q49" i="1"/>
  <c r="S48" i="1"/>
  <c r="V48" i="1" s="1"/>
  <c r="Q48" i="1"/>
  <c r="S47" i="1"/>
  <c r="V47" i="1" s="1"/>
  <c r="Q47" i="1"/>
  <c r="S46" i="1"/>
  <c r="V46" i="1" s="1"/>
  <c r="Q46" i="1"/>
  <c r="S45" i="1"/>
  <c r="V45" i="1" s="1"/>
  <c r="Q45" i="1"/>
  <c r="S44" i="1"/>
  <c r="V44" i="1" s="1"/>
  <c r="Q44" i="1"/>
  <c r="S43" i="1"/>
  <c r="V43" i="1" s="1"/>
  <c r="Q43" i="1"/>
  <c r="S40" i="1"/>
  <c r="V40" i="1" s="1"/>
  <c r="Q40" i="1"/>
  <c r="Q39" i="1"/>
  <c r="S39" i="1"/>
  <c r="V39" i="1" s="1"/>
  <c r="S38" i="1"/>
  <c r="V38" i="1" s="1"/>
  <c r="Q38" i="1"/>
  <c r="S27" i="1"/>
  <c r="V27" i="1" s="1"/>
  <c r="Q27" i="1"/>
  <c r="S26" i="1"/>
  <c r="V26" i="1" s="1"/>
  <c r="Q26" i="1"/>
  <c r="Q25" i="1"/>
  <c r="S25" i="1"/>
  <c r="V25" i="1" s="1"/>
  <c r="S24" i="1"/>
  <c r="V24" i="1" s="1"/>
  <c r="Q24" i="1"/>
  <c r="S23" i="1"/>
  <c r="V23" i="1" s="1"/>
  <c r="Q23" i="1"/>
  <c r="S22" i="1"/>
  <c r="V22" i="1" s="1"/>
  <c r="Q22" i="1"/>
  <c r="S18" i="1"/>
  <c r="V18" i="1" s="1"/>
  <c r="Q18" i="1"/>
  <c r="S13" i="1"/>
  <c r="V13" i="1" s="1"/>
  <c r="Q13" i="1"/>
  <c r="S12" i="1"/>
  <c r="V12" i="1" s="1"/>
  <c r="Q12" i="1"/>
  <c r="AF28" i="2"/>
  <c r="Q28" i="2" a="1"/>
  <c r="Z22" i="2"/>
  <c r="AV22" i="2" s="1" a="1"/>
  <c r="Z7" i="2"/>
  <c r="AV7" i="2" s="1" a="1"/>
  <c r="AQ13" i="2" a="1"/>
  <c r="AC13" i="2" a="1"/>
  <c r="Z27" i="2"/>
  <c r="AV27" i="2" s="1" a="1"/>
  <c r="Z26" i="2"/>
  <c r="AV26" i="2" s="1" a="1"/>
  <c r="AV7" i="2" l="1"/>
  <c r="AV27" i="2"/>
  <c r="AV22" i="2"/>
  <c r="AV26" i="2"/>
  <c r="V9" i="1"/>
  <c r="T3" i="1"/>
  <c r="T2" i="1"/>
  <c r="AQ13" i="2"/>
  <c r="AC13" i="2"/>
  <c r="T40" i="1"/>
  <c r="R40" i="1"/>
  <c r="T18" i="1"/>
  <c r="R18" i="1"/>
  <c r="T43" i="1"/>
  <c r="R43" i="1"/>
  <c r="T53" i="1"/>
  <c r="R53" i="1"/>
  <c r="T54" i="1"/>
  <c r="R54" i="1"/>
  <c r="T23" i="1"/>
  <c r="R23" i="1"/>
  <c r="T45" i="1"/>
  <c r="R45" i="1"/>
  <c r="T56" i="1"/>
  <c r="R56" i="1"/>
  <c r="T47" i="1"/>
  <c r="R47" i="1"/>
  <c r="T25" i="1"/>
  <c r="R25" i="1"/>
  <c r="T57" i="1"/>
  <c r="R57" i="1"/>
  <c r="T26" i="1"/>
  <c r="R26" i="1"/>
  <c r="T48" i="1"/>
  <c r="R48" i="1"/>
  <c r="T46" i="1"/>
  <c r="R46" i="1"/>
  <c r="T22" i="1"/>
  <c r="R22" i="1"/>
  <c r="T49" i="1"/>
  <c r="R49" i="1"/>
  <c r="T44" i="1"/>
  <c r="R44" i="1"/>
  <c r="T38" i="1"/>
  <c r="R38" i="1"/>
  <c r="T50" i="1"/>
  <c r="R50" i="1"/>
  <c r="T27" i="1"/>
  <c r="R27" i="1"/>
  <c r="T12" i="1"/>
  <c r="R12" i="1"/>
  <c r="T51" i="1"/>
  <c r="R51" i="1"/>
  <c r="T55" i="1"/>
  <c r="R55" i="1"/>
  <c r="T39" i="1"/>
  <c r="R39" i="1"/>
  <c r="T52" i="1"/>
  <c r="R52" i="1"/>
  <c r="T24" i="1"/>
  <c r="R24" i="1"/>
  <c r="T13" i="1"/>
  <c r="R13" i="1"/>
  <c r="Q28" i="2"/>
  <c r="P28" i="2" a="1"/>
  <c r="AH53" i="1" l="1"/>
  <c r="U53" i="1"/>
  <c r="AH52" i="1"/>
  <c r="U52" i="1"/>
  <c r="AH46" i="1"/>
  <c r="U46" i="1"/>
  <c r="AH51" i="1"/>
  <c r="U51" i="1"/>
  <c r="AH43" i="1"/>
  <c r="U43" i="1"/>
  <c r="AH22" i="1"/>
  <c r="U22" i="1"/>
  <c r="AH27" i="1"/>
  <c r="U27" i="1"/>
  <c r="AH40" i="1"/>
  <c r="U40" i="1"/>
  <c r="AH25" i="1"/>
  <c r="U25" i="1"/>
  <c r="AH50" i="1"/>
  <c r="U50" i="1"/>
  <c r="AH47" i="1"/>
  <c r="U47" i="1"/>
  <c r="AH55" i="1"/>
  <c r="U55" i="1"/>
  <c r="AH48" i="1"/>
  <c r="U48" i="1"/>
  <c r="AH57" i="1"/>
  <c r="U57" i="1"/>
  <c r="AH39" i="1"/>
  <c r="U39" i="1"/>
  <c r="AH26" i="1"/>
  <c r="U26" i="1"/>
  <c r="F12" i="1"/>
  <c r="AH12" i="1"/>
  <c r="AH10" i="1" s="1"/>
  <c r="U12" i="1"/>
  <c r="AH18" i="1"/>
  <c r="U18" i="1"/>
  <c r="AH38" i="1"/>
  <c r="U38" i="1"/>
  <c r="AH56" i="1"/>
  <c r="U56" i="1"/>
  <c r="AH54" i="1"/>
  <c r="U54" i="1"/>
  <c r="F13" i="1"/>
  <c r="AH13" i="1"/>
  <c r="U13" i="1"/>
  <c r="AH45" i="1"/>
  <c r="U45" i="1"/>
  <c r="AH24" i="1"/>
  <c r="U24" i="1"/>
  <c r="AH44" i="1"/>
  <c r="U44" i="1"/>
  <c r="AH49" i="1"/>
  <c r="U49" i="1"/>
  <c r="AH23" i="1"/>
  <c r="U23" i="1"/>
  <c r="P28" i="2"/>
  <c r="R28" i="2" s="1"/>
  <c r="L28" i="2" a="1"/>
  <c r="AA53" i="1" l="1"/>
  <c r="Z53" i="1"/>
  <c r="Y53" i="1"/>
  <c r="Z50" i="1"/>
  <c r="Y50" i="1"/>
  <c r="AA50" i="1"/>
  <c r="Y55" i="1"/>
  <c r="Z55" i="1"/>
  <c r="AA55" i="1"/>
  <c r="AA52" i="1"/>
  <c r="Z52" i="1"/>
  <c r="Y52" i="1"/>
  <c r="AA56" i="1"/>
  <c r="Z56" i="1"/>
  <c r="Y56" i="1"/>
  <c r="Z38" i="1"/>
  <c r="Y38" i="1"/>
  <c r="AA38" i="1"/>
  <c r="Y25" i="1"/>
  <c r="AA25" i="1"/>
  <c r="Z25" i="1"/>
  <c r="Z18" i="1"/>
  <c r="Y18" i="1"/>
  <c r="AA18" i="1"/>
  <c r="U9" i="1"/>
  <c r="Z49" i="1"/>
  <c r="AA49" i="1"/>
  <c r="Y49" i="1"/>
  <c r="Y40" i="1"/>
  <c r="Z40" i="1"/>
  <c r="AA40" i="1"/>
  <c r="AA57" i="1"/>
  <c r="Z57" i="1"/>
  <c r="Y57" i="1"/>
  <c r="Z27" i="1"/>
  <c r="Y27" i="1"/>
  <c r="AA27" i="1"/>
  <c r="Y44" i="1"/>
  <c r="AA44" i="1"/>
  <c r="Z44" i="1"/>
  <c r="Z22" i="1"/>
  <c r="AA22" i="1"/>
  <c r="Y22" i="1"/>
  <c r="Y24" i="1"/>
  <c r="Z24" i="1"/>
  <c r="AA24" i="1"/>
  <c r="Z43" i="1"/>
  <c r="AA43" i="1"/>
  <c r="Y43" i="1"/>
  <c r="R3" i="1"/>
  <c r="S3" i="1" s="1"/>
  <c r="P3" i="1" s="1"/>
  <c r="Z54" i="1"/>
  <c r="AA54" i="1"/>
  <c r="Y54" i="1"/>
  <c r="AA47" i="1"/>
  <c r="Y47" i="1"/>
  <c r="Z47" i="1"/>
  <c r="AA23" i="1"/>
  <c r="Z23" i="1"/>
  <c r="Y23" i="1"/>
  <c r="R2" i="1"/>
  <c r="S2" i="1" s="1"/>
  <c r="P2" i="1" s="1"/>
  <c r="AA12" i="1"/>
  <c r="Y12" i="1"/>
  <c r="Z12" i="1"/>
  <c r="AA26" i="1"/>
  <c r="Y26" i="1"/>
  <c r="Z26" i="1"/>
  <c r="AA39" i="1"/>
  <c r="Z39" i="1"/>
  <c r="Y39" i="1"/>
  <c r="Y45" i="1"/>
  <c r="AA45" i="1"/>
  <c r="Z45" i="1"/>
  <c r="Y51" i="1"/>
  <c r="AA51" i="1"/>
  <c r="Z51" i="1"/>
  <c r="Z13" i="1"/>
  <c r="AA13" i="1"/>
  <c r="Y13" i="1"/>
  <c r="AA48" i="1"/>
  <c r="Y48" i="1"/>
  <c r="Z48" i="1"/>
  <c r="AA46" i="1"/>
  <c r="Z46" i="1"/>
  <c r="Y46" i="1"/>
  <c r="L28" i="2"/>
  <c r="J28" i="2"/>
  <c r="BB28" i="2" s="1"/>
  <c r="BC28" i="2" s="1"/>
  <c r="BD28" i="2" s="1"/>
  <c r="G28" i="2" a="1"/>
  <c r="G28" i="2" l="1"/>
  <c r="K28" i="2"/>
  <c r="O28" i="2"/>
  <c r="S28" i="2" a="1"/>
  <c r="S28" i="2" l="1"/>
  <c r="AO28" i="2"/>
  <c r="AI28" i="2" s="1"/>
  <c r="AP28" i="2"/>
  <c r="AK28" i="2" s="1"/>
  <c r="U28" i="2"/>
  <c r="V28" i="2" s="1"/>
  <c r="AE28" i="2" l="1"/>
  <c r="AT28" i="2"/>
  <c r="AS28" i="2"/>
  <c r="AL28" i="2"/>
  <c r="AG28" i="2" s="1"/>
  <c r="AB28" i="2"/>
  <c r="M28" i="2"/>
  <c r="BA27" i="2"/>
  <c r="AM28" i="2" l="1"/>
  <c r="AH28" i="2" s="1"/>
  <c r="X28" i="2"/>
  <c r="Y28" i="2" s="1"/>
  <c r="W28" i="2" s="1"/>
  <c r="AN27" i="2" a="1"/>
  <c r="AN27" i="2" l="1"/>
  <c r="AF27" i="2" a="1"/>
  <c r="AF27" i="2" l="1"/>
  <c r="Q27" i="2" a="1"/>
  <c r="Q27" i="2" l="1"/>
  <c r="P27" i="2" a="1"/>
  <c r="P27" i="2" l="1"/>
  <c r="R27" i="2" s="1"/>
  <c r="L27" i="2" a="1"/>
  <c r="L27" i="2" l="1"/>
  <c r="J27" i="2"/>
  <c r="BB27" i="2" s="1"/>
  <c r="BC27" i="2" s="1"/>
  <c r="BD27" i="2" s="1"/>
  <c r="K27" i="2" l="1"/>
  <c r="O27" i="2"/>
  <c r="AP27" i="2" l="1"/>
  <c r="AK27" i="2" s="1"/>
  <c r="S28" i="1" s="1"/>
  <c r="V28" i="1" s="1"/>
  <c r="AO27" i="2" l="1"/>
  <c r="AI27" i="2" s="1"/>
  <c r="U27" i="2"/>
  <c r="V27" i="2" s="1"/>
  <c r="AE27" i="2" l="1"/>
  <c r="AT27" i="2"/>
  <c r="AS27" i="2"/>
  <c r="AL27" i="2"/>
  <c r="Q28" i="1" s="1"/>
  <c r="AB27" i="2"/>
  <c r="M27" i="2"/>
  <c r="BA26" i="2"/>
  <c r="T28" i="1" l="1"/>
  <c r="R28" i="1"/>
  <c r="AG27" i="2"/>
  <c r="AM27" i="2"/>
  <c r="AH27" i="2" s="1"/>
  <c r="X27" i="2"/>
  <c r="Y27" i="2" s="1"/>
  <c r="W27" i="2" s="1"/>
  <c r="AN26" i="2" a="1"/>
  <c r="AH28" i="1" l="1"/>
  <c r="U28" i="1"/>
  <c r="AN26" i="2"/>
  <c r="AF26" i="2" a="1"/>
  <c r="Y28" i="1" l="1"/>
  <c r="AA28" i="1"/>
  <c r="Z28" i="1"/>
  <c r="AF26" i="2"/>
  <c r="Q26" i="2" a="1"/>
  <c r="Q26" i="2" l="1"/>
  <c r="P26" i="2" a="1"/>
  <c r="P26" i="2" l="1"/>
  <c r="R26" i="2" s="1"/>
  <c r="L26" i="2" a="1"/>
  <c r="L26" i="2" l="1"/>
  <c r="J26" i="2"/>
  <c r="BB26" i="2" s="1"/>
  <c r="BC26" i="2" s="1"/>
  <c r="BD26" i="2" s="1"/>
  <c r="K26" i="2" l="1"/>
  <c r="O26" i="2"/>
  <c r="AP26" i="2" l="1"/>
  <c r="AK26" i="2" s="1"/>
  <c r="AO26" i="2" l="1"/>
  <c r="AI26" i="2" s="1"/>
  <c r="U26" i="2"/>
  <c r="V26" i="2" s="1"/>
  <c r="AE26" i="2" l="1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BD25" i="2" s="1"/>
  <c r="K25" i="2" l="1"/>
  <c r="O25" i="2"/>
  <c r="AO25" i="2" l="1"/>
  <c r="AI25" i="2" s="1"/>
  <c r="AP25" i="2"/>
  <c r="AK25" i="2" s="1"/>
  <c r="U25" i="2"/>
  <c r="V25" i="2" s="1"/>
  <c r="Z25" i="2"/>
  <c r="AV25" i="2" s="1" a="1"/>
  <c r="AV25" i="2" l="1"/>
  <c r="AE25" i="2"/>
  <c r="AT25" i="2"/>
  <c r="AS25" i="2"/>
  <c r="AL25" i="2"/>
  <c r="AG25" i="2" s="1"/>
  <c r="AB25" i="2"/>
  <c r="M25" i="2"/>
  <c r="BA24" i="2"/>
  <c r="AM25" i="2" l="1"/>
  <c r="AH25" i="2" s="1"/>
  <c r="X25" i="2"/>
  <c r="Y25" i="2" s="1"/>
  <c r="W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BB24" i="2" s="1"/>
  <c r="BC24" i="2" s="1"/>
  <c r="BD24" i="2" s="1"/>
  <c r="G24" i="2" a="1"/>
  <c r="G24" i="2" l="1"/>
  <c r="K24" i="2"/>
  <c r="O24" i="2"/>
  <c r="S24" i="2" a="1"/>
  <c r="S24" i="2" l="1"/>
  <c r="AO24" i="2"/>
  <c r="AI24" i="2" s="1"/>
  <c r="AP24" i="2"/>
  <c r="AK24" i="2" s="1"/>
  <c r="U24" i="2"/>
  <c r="V24" i="2" s="1"/>
  <c r="Z24" i="2"/>
  <c r="AV24" i="2" s="1" a="1"/>
  <c r="AV24" i="2" l="1"/>
  <c r="AE24" i="2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BD23" i="2" s="1"/>
  <c r="G23" i="2" a="1"/>
  <c r="G23" i="2" l="1"/>
  <c r="K23" i="2"/>
  <c r="S23" i="2" a="1"/>
  <c r="S23" i="2" l="1"/>
  <c r="AP23" i="2"/>
  <c r="AK23" i="2" s="1"/>
  <c r="S15" i="1" s="1"/>
  <c r="V15" i="1" s="1"/>
  <c r="V1" i="1" s="1"/>
  <c r="O23" i="2"/>
  <c r="AO23" i="2" l="1"/>
  <c r="AI23" i="2" s="1"/>
  <c r="U23" i="2"/>
  <c r="V23" i="2" s="1"/>
  <c r="Z23" i="2"/>
  <c r="AV23" i="2" s="1" a="1"/>
  <c r="AV23" i="2" l="1"/>
  <c r="AE23" i="2"/>
  <c r="AT23" i="2"/>
  <c r="AS23" i="2"/>
  <c r="AL23" i="2"/>
  <c r="Q15" i="1" s="1"/>
  <c r="AB23" i="2"/>
  <c r="M23" i="2"/>
  <c r="BA22" i="2"/>
  <c r="T15" i="1" l="1"/>
  <c r="R15" i="1"/>
  <c r="AG23" i="2"/>
  <c r="AM23" i="2"/>
  <c r="AH23" i="2" s="1"/>
  <c r="X23" i="2"/>
  <c r="Y23" i="2" s="1"/>
  <c r="W23" i="2" s="1"/>
  <c r="AN22" i="2" a="1"/>
  <c r="F15" i="1" l="1"/>
  <c r="AH15" i="1"/>
  <c r="U15" i="1"/>
  <c r="AN22" i="2"/>
  <c r="AF22" i="2" a="1"/>
  <c r="AA15" i="1" l="1"/>
  <c r="Z15" i="1"/>
  <c r="Y15" i="1"/>
  <c r="U1" i="1"/>
  <c r="AF22" i="2"/>
  <c r="Q22" i="2" a="1"/>
  <c r="Q22" i="2" l="1"/>
  <c r="P22" i="2" a="1"/>
  <c r="P22" i="2" l="1"/>
  <c r="R22" i="2" s="1"/>
  <c r="L22" i="2" a="1"/>
  <c r="L22" i="2" l="1"/>
  <c r="J22" i="2"/>
  <c r="BB22" i="2" s="1"/>
  <c r="BC22" i="2" s="1"/>
  <c r="BD22" i="2" s="1"/>
  <c r="G22" i="2" a="1"/>
  <c r="G22" i="2" l="1"/>
  <c r="K22" i="2"/>
  <c r="O22" i="2"/>
  <c r="S22" i="2" a="1"/>
  <c r="S22" i="2" l="1"/>
  <c r="AO22" i="2"/>
  <c r="AI22" i="2" s="1"/>
  <c r="AP22" i="2"/>
  <c r="AK22" i="2" s="1"/>
  <c r="U22" i="2"/>
  <c r="V22" i="2" s="1"/>
  <c r="AE22" i="2" l="1"/>
  <c r="AT22" i="2"/>
  <c r="AS22" i="2"/>
  <c r="AL22" i="2"/>
  <c r="AG22" i="2" s="1"/>
  <c r="AB22" i="2"/>
  <c r="M22" i="2"/>
  <c r="BA21" i="2"/>
  <c r="AM22" i="2" l="1"/>
  <c r="AH22" i="2" s="1"/>
  <c r="X22" i="2"/>
  <c r="Y22" i="2" s="1"/>
  <c r="W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BD21" i="2" s="1"/>
  <c r="G21" i="2" a="1"/>
  <c r="G21" i="2" l="1"/>
  <c r="K21" i="2"/>
  <c r="O21" i="2"/>
  <c r="S21" i="2" a="1"/>
  <c r="S21" i="2" l="1"/>
  <c r="AO21" i="2"/>
  <c r="AI21" i="2" s="1"/>
  <c r="AP21" i="2"/>
  <c r="AK21" i="2" s="1"/>
  <c r="U21" i="2"/>
  <c r="V21" i="2" s="1"/>
  <c r="AE21" i="2" l="1"/>
  <c r="AT21" i="2"/>
  <c r="AS21" i="2"/>
  <c r="AL21" i="2"/>
  <c r="AG21" i="2" s="1"/>
  <c r="AB21" i="2"/>
  <c r="M21" i="2"/>
  <c r="BA20" i="2"/>
  <c r="AM21" i="2" l="1"/>
  <c r="AH21" i="2" s="1"/>
  <c r="X21" i="2"/>
  <c r="Y21" i="2" s="1"/>
  <c r="W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BD20" i="2" s="1"/>
  <c r="G20" i="2" a="1"/>
  <c r="G20" i="2" l="1"/>
  <c r="K20" i="2"/>
  <c r="O20" i="2"/>
  <c r="S20" i="2" a="1"/>
  <c r="S20" i="2" l="1"/>
  <c r="AO20" i="2"/>
  <c r="AI20" i="2" s="1"/>
  <c r="U20" i="2"/>
  <c r="V20" i="2" s="1"/>
  <c r="AP20" i="2"/>
  <c r="AK20" i="2" s="1"/>
  <c r="S33" i="1" s="1"/>
  <c r="Z20" i="2"/>
  <c r="AV20" i="2" s="1" a="1"/>
  <c r="AV20" i="2" l="1"/>
  <c r="V33" i="1"/>
  <c r="AE20" i="2"/>
  <c r="AT20" i="2"/>
  <c r="AS20" i="2"/>
  <c r="AL20" i="2"/>
  <c r="Q33" i="1" s="1"/>
  <c r="AB20" i="2"/>
  <c r="M20" i="2"/>
  <c r="BA19" i="2"/>
  <c r="T33" i="1" l="1"/>
  <c r="R33" i="1"/>
  <c r="V34" i="1" s="1"/>
  <c r="AG20" i="2"/>
  <c r="AM20" i="2"/>
  <c r="AH20" i="2" s="1"/>
  <c r="X20" i="2"/>
  <c r="Y20" i="2" s="1"/>
  <c r="W20" i="2" s="1"/>
  <c r="AN19" i="2" a="1"/>
  <c r="AH33" i="1" l="1"/>
  <c r="U33" i="1"/>
  <c r="AN19" i="2"/>
  <c r="AF19" i="2" a="1"/>
  <c r="AA33" i="1" l="1"/>
  <c r="Z33" i="1"/>
  <c r="Y33" i="1"/>
  <c r="AF19" i="2"/>
  <c r="Q19" i="2" a="1"/>
  <c r="Q19" i="2" l="1"/>
  <c r="P19" i="2" a="1"/>
  <c r="P19" i="2" l="1"/>
  <c r="R19" i="2" s="1"/>
  <c r="L19" i="2" a="1"/>
  <c r="L19" i="2" l="1"/>
  <c r="J19" i="2"/>
  <c r="BB19" i="2" s="1"/>
  <c r="BC19" i="2" s="1"/>
  <c r="BD19" i="2" s="1"/>
  <c r="G19" i="2" a="1"/>
  <c r="G19" i="2" l="1"/>
  <c r="K19" i="2"/>
  <c r="O19" i="2"/>
  <c r="S19" i="2" a="1"/>
  <c r="S19" i="2" l="1"/>
  <c r="U19" i="2" s="1"/>
  <c r="V19" i="2" s="1"/>
  <c r="AO19" i="2"/>
  <c r="AI19" i="2" s="1"/>
  <c r="AP19" i="2"/>
  <c r="AK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BD18" i="2" s="1"/>
  <c r="K18" i="2" l="1"/>
  <c r="O18" i="2"/>
  <c r="AO18" i="2" l="1"/>
  <c r="AI18" i="2" s="1"/>
  <c r="AP18" i="2"/>
  <c r="AK18" i="2" s="1"/>
  <c r="S21" i="1" s="1"/>
  <c r="V21" i="1" s="1"/>
  <c r="U18" i="2"/>
  <c r="V18" i="2" s="1"/>
  <c r="Z18" i="2"/>
  <c r="AV18" i="2" s="1" a="1"/>
  <c r="AV18" i="2" l="1"/>
  <c r="AE18" i="2"/>
  <c r="AT18" i="2"/>
  <c r="AS18" i="2"/>
  <c r="AL18" i="2"/>
  <c r="Q21" i="1" s="1"/>
  <c r="AB18" i="2"/>
  <c r="M18" i="2"/>
  <c r="BA17" i="2"/>
  <c r="T21" i="1" l="1"/>
  <c r="R21" i="1"/>
  <c r="AG18" i="2"/>
  <c r="AM18" i="2"/>
  <c r="AH18" i="2" s="1"/>
  <c r="X18" i="2"/>
  <c r="Y18" i="2" s="1"/>
  <c r="W18" i="2" s="1"/>
  <c r="AN17" i="2" a="1"/>
  <c r="AH21" i="1" l="1"/>
  <c r="U21" i="1"/>
  <c r="AN17" i="2"/>
  <c r="AF17" i="2" a="1"/>
  <c r="AA21" i="1" l="1"/>
  <c r="Z21" i="1"/>
  <c r="Y21" i="1"/>
  <c r="AF17" i="2"/>
  <c r="Q17" i="2" a="1"/>
  <c r="Q17" i="2" l="1"/>
  <c r="P17" i="2" a="1"/>
  <c r="P17" i="2" l="1"/>
  <c r="R17" i="2" s="1"/>
  <c r="L17" i="2" a="1"/>
  <c r="L17" i="2" l="1"/>
  <c r="J17" i="2"/>
  <c r="BB17" i="2" s="1"/>
  <c r="BC17" i="2" s="1"/>
  <c r="BD17" i="2" s="1"/>
  <c r="K17" i="2" l="1"/>
  <c r="O17" i="2"/>
  <c r="AP17" i="2" l="1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BD16" i="2" s="1"/>
  <c r="G16" i="2" a="1"/>
  <c r="G16" i="2" l="1"/>
  <c r="K16" i="2"/>
  <c r="O16" i="2"/>
  <c r="S16" i="2" a="1"/>
  <c r="S16" i="2" l="1"/>
  <c r="AO16" i="2"/>
  <c r="AI16" i="2" s="1"/>
  <c r="AP16" i="2"/>
  <c r="AK16" i="2" s="1"/>
  <c r="S35" i="1" s="1"/>
  <c r="V35" i="1" s="1"/>
  <c r="U16" i="2"/>
  <c r="V16" i="2" s="1"/>
  <c r="Z16" i="2"/>
  <c r="AV16" i="2" s="1" a="1"/>
  <c r="AV16" i="2" l="1"/>
  <c r="AE16" i="2"/>
  <c r="AT16" i="2"/>
  <c r="AS16" i="2"/>
  <c r="AL16" i="2"/>
  <c r="Q35" i="1" s="1"/>
  <c r="AB16" i="2"/>
  <c r="M16" i="2"/>
  <c r="BA15" i="2"/>
  <c r="T35" i="1" l="1"/>
  <c r="R35" i="1"/>
  <c r="AG16" i="2"/>
  <c r="AM16" i="2"/>
  <c r="AH16" i="2" s="1"/>
  <c r="X16" i="2"/>
  <c r="Y16" i="2" s="1"/>
  <c r="W16" i="2" s="1"/>
  <c r="AN15" i="2" a="1"/>
  <c r="AH35" i="1" l="1"/>
  <c r="U35" i="1"/>
  <c r="AN15" i="2"/>
  <c r="AF15" i="2" a="1"/>
  <c r="AA35" i="1" l="1"/>
  <c r="Y35" i="1"/>
  <c r="Z35" i="1"/>
  <c r="AF15" i="2"/>
  <c r="Q15" i="2" a="1"/>
  <c r="Q15" i="2" l="1"/>
  <c r="P15" i="2" a="1"/>
  <c r="P15" i="2" l="1"/>
  <c r="R15" i="2" s="1"/>
  <c r="L15" i="2" a="1"/>
  <c r="L15" i="2" l="1"/>
  <c r="J15" i="2"/>
  <c r="BB15" i="2" s="1"/>
  <c r="BC15" i="2" s="1"/>
  <c r="BD15" i="2" s="1"/>
  <c r="G15" i="2" a="1"/>
  <c r="G15" i="2" l="1"/>
  <c r="K15" i="2"/>
  <c r="O15" i="2"/>
  <c r="S15" i="2" a="1"/>
  <c r="S15" i="2" l="1"/>
  <c r="AP15" i="2" s="1"/>
  <c r="AK15" i="2" s="1"/>
  <c r="S19" i="1" s="1"/>
  <c r="AO15" i="2"/>
  <c r="AI15" i="2" s="1"/>
  <c r="V19" i="1" l="1"/>
  <c r="U15" i="2"/>
  <c r="V15" i="2" s="1"/>
  <c r="AE15" i="2"/>
  <c r="AT15" i="2"/>
  <c r="AS15" i="2"/>
  <c r="AL15" i="2"/>
  <c r="Q19" i="1" s="1"/>
  <c r="AB15" i="2"/>
  <c r="M15" i="2"/>
  <c r="BA14" i="2"/>
  <c r="T19" i="1" l="1"/>
  <c r="R19" i="1"/>
  <c r="AG15" i="2"/>
  <c r="AM15" i="2"/>
  <c r="AH15" i="2" s="1"/>
  <c r="X15" i="2"/>
  <c r="Y15" i="2" s="1"/>
  <c r="W15" i="2" s="1"/>
  <c r="AN14" i="2" a="1"/>
  <c r="AH19" i="1" l="1"/>
  <c r="U19" i="1"/>
  <c r="AN14" i="2"/>
  <c r="AF14" i="2" a="1"/>
  <c r="Z19" i="1" l="1"/>
  <c r="Y19" i="1"/>
  <c r="AA19" i="1"/>
  <c r="AF14" i="2"/>
  <c r="Q14" i="2" a="1"/>
  <c r="Q14" i="2" l="1"/>
  <c r="P14" i="2" a="1"/>
  <c r="P14" i="2" l="1"/>
  <c r="R14" i="2" s="1"/>
  <c r="L14" i="2" a="1"/>
  <c r="L14" i="2" l="1"/>
  <c r="J14" i="2"/>
  <c r="BB14" i="2" s="1"/>
  <c r="BC14" i="2" s="1"/>
  <c r="BD14" i="2" s="1"/>
  <c r="G14" i="2" a="1"/>
  <c r="G14" i="2" l="1"/>
  <c r="K14" i="2"/>
  <c r="O14" i="2"/>
  <c r="S14" i="2" a="1"/>
  <c r="S14" i="2" l="1"/>
  <c r="AO14" i="2"/>
  <c r="AI14" i="2" s="1"/>
  <c r="AP14" i="2"/>
  <c r="AK14" i="2" s="1"/>
  <c r="U14" i="2"/>
  <c r="V14" i="2" s="1"/>
  <c r="AE14" i="2" l="1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BD13" i="2" s="1"/>
  <c r="K13" i="2" l="1"/>
  <c r="O13" i="2"/>
  <c r="AO13" i="2" l="1"/>
  <c r="AI13" i="2" s="1"/>
  <c r="U13" i="2"/>
  <c r="V13" i="2" s="1"/>
  <c r="AP13" i="2"/>
  <c r="AK13" i="2" s="1"/>
  <c r="S36" i="1" s="1"/>
  <c r="V36" i="1" s="1"/>
  <c r="Z13" i="2"/>
  <c r="AE13" i="2" l="1"/>
  <c r="AT13" i="2"/>
  <c r="AS13" i="2"/>
  <c r="AL13" i="2"/>
  <c r="Q36" i="1" s="1"/>
  <c r="AB13" i="2"/>
  <c r="M13" i="2"/>
  <c r="BA12" i="2"/>
  <c r="AV13" i="2" a="1"/>
  <c r="AV13" i="2" l="1"/>
  <c r="T36" i="1"/>
  <c r="R36" i="1"/>
  <c r="AG13" i="2"/>
  <c r="AM13" i="2"/>
  <c r="AH13" i="2" s="1"/>
  <c r="X13" i="2"/>
  <c r="Y13" i="2" s="1"/>
  <c r="W13" i="2" s="1"/>
  <c r="AN12" i="2" a="1"/>
  <c r="AH36" i="1" l="1"/>
  <c r="U36" i="1"/>
  <c r="AN12" i="2"/>
  <c r="AF12" i="2" a="1"/>
  <c r="AA36" i="1" l="1"/>
  <c r="Z36" i="1"/>
  <c r="Y36" i="1"/>
  <c r="AF12" i="2"/>
  <c r="Q12" i="2" a="1"/>
  <c r="Q12" i="2" l="1"/>
  <c r="P12" i="2" a="1"/>
  <c r="P12" i="2" l="1"/>
  <c r="R12" i="2" s="1"/>
  <c r="L12" i="2" a="1"/>
  <c r="L12" i="2" l="1"/>
  <c r="J12" i="2"/>
  <c r="BB12" i="2" s="1"/>
  <c r="BC12" i="2" s="1"/>
  <c r="BD12" i="2" s="1"/>
  <c r="G12" i="2" a="1"/>
  <c r="G12" i="2" l="1"/>
  <c r="K12" i="2"/>
  <c r="O12" i="2"/>
  <c r="S12" i="2" a="1"/>
  <c r="S12" i="2" l="1"/>
  <c r="AO12" i="2"/>
  <c r="AI12" i="2" s="1"/>
  <c r="AP12" i="2"/>
  <c r="AK12" i="2" s="1"/>
  <c r="S32" i="1" s="1"/>
  <c r="V32" i="1" s="1"/>
  <c r="U12" i="2"/>
  <c r="V12" i="2" s="1"/>
  <c r="AE12" i="2" l="1"/>
  <c r="AT12" i="2"/>
  <c r="AS12" i="2"/>
  <c r="AL12" i="2"/>
  <c r="Q32" i="1" s="1"/>
  <c r="AB12" i="2"/>
  <c r="M12" i="2"/>
  <c r="BA11" i="2"/>
  <c r="T32" i="1" l="1"/>
  <c r="R32" i="1"/>
  <c r="AG12" i="2"/>
  <c r="AM12" i="2"/>
  <c r="AH12" i="2" s="1"/>
  <c r="X12" i="2"/>
  <c r="Y12" i="2" s="1"/>
  <c r="W12" i="2" s="1"/>
  <c r="AN11" i="2" a="1"/>
  <c r="AH32" i="1" l="1"/>
  <c r="U32" i="1"/>
  <c r="AN11" i="2"/>
  <c r="AF11" i="2" a="1"/>
  <c r="AA32" i="1" l="1"/>
  <c r="Y32" i="1"/>
  <c r="Z32" i="1"/>
  <c r="AF11" i="2"/>
  <c r="Q11" i="2" a="1"/>
  <c r="Q11" i="2" l="1"/>
  <c r="P11" i="2" a="1"/>
  <c r="P11" i="2" l="1"/>
  <c r="R11" i="2" s="1"/>
  <c r="L11" i="2" a="1"/>
  <c r="L11" i="2" l="1"/>
  <c r="J11" i="2"/>
  <c r="BB11" i="2" s="1"/>
  <c r="BC11" i="2" s="1"/>
  <c r="BD11" i="2" s="1"/>
  <c r="G11" i="2" a="1"/>
  <c r="G11" i="2" l="1"/>
  <c r="K11" i="2"/>
  <c r="O11" i="2"/>
  <c r="S11" i="2" a="1"/>
  <c r="S11" i="2" l="1"/>
  <c r="AO11" i="2"/>
  <c r="AI11" i="2" s="1"/>
  <c r="U11" i="2"/>
  <c r="V11" i="2" s="1"/>
  <c r="AP11" i="2"/>
  <c r="AK11" i="2" s="1"/>
  <c r="AE11" i="2" l="1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BD10" i="2" s="1"/>
  <c r="K10" i="2" l="1"/>
  <c r="O10" i="2"/>
  <c r="AP10" i="2" l="1"/>
  <c r="AK10" i="2" s="1"/>
  <c r="AO10" i="2" l="1"/>
  <c r="AI10" i="2" s="1"/>
  <c r="U10" i="2"/>
  <c r="V10" i="2" s="1"/>
  <c r="Z10" i="2"/>
  <c r="AV10" i="2" s="1" a="1"/>
  <c r="AV10" i="2" l="1"/>
  <c r="AE10" i="2"/>
  <c r="AT10" i="2"/>
  <c r="AS10" i="2"/>
  <c r="AL10" i="2"/>
  <c r="AG10" i="2" s="1"/>
  <c r="AB10" i="2"/>
  <c r="M10" i="2"/>
  <c r="BA9" i="2"/>
  <c r="AM10" i="2" l="1"/>
  <c r="AH10" i="2" s="1"/>
  <c r="X10" i="2"/>
  <c r="Y10" i="2" s="1"/>
  <c r="W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BD9" i="2" s="1"/>
  <c r="K9" i="2" l="1"/>
  <c r="O9" i="2"/>
  <c r="AP9" i="2" l="1"/>
  <c r="AK9" i="2" s="1"/>
  <c r="S41" i="1" s="1"/>
  <c r="V41" i="1" s="1"/>
  <c r="AO9" i="2" l="1"/>
  <c r="AI9" i="2" s="1"/>
  <c r="U9" i="2"/>
  <c r="V9" i="2" s="1"/>
  <c r="Z9" i="2"/>
  <c r="AV9" i="2" s="1" a="1"/>
  <c r="AV9" i="2" l="1"/>
  <c r="AE9" i="2"/>
  <c r="AT9" i="2"/>
  <c r="AS9" i="2"/>
  <c r="AL9" i="2"/>
  <c r="Q41" i="1" s="1"/>
  <c r="AB9" i="2"/>
  <c r="M9" i="2"/>
  <c r="BA8" i="2"/>
  <c r="T41" i="1" l="1"/>
  <c r="R41" i="1"/>
  <c r="AG9" i="2"/>
  <c r="AM9" i="2"/>
  <c r="AH9" i="2" s="1"/>
  <c r="X9" i="2"/>
  <c r="Y9" i="2" s="1"/>
  <c r="W9" i="2" s="1"/>
  <c r="AN8" i="2" a="1"/>
  <c r="AH41" i="1" l="1"/>
  <c r="U41" i="1"/>
  <c r="AN8" i="2"/>
  <c r="AF8" i="2" a="1"/>
  <c r="Z41" i="1" l="1"/>
  <c r="Y41" i="1"/>
  <c r="AA41" i="1"/>
  <c r="AF8" i="2"/>
  <c r="Q8" i="2" a="1"/>
  <c r="Q8" i="2" l="1"/>
  <c r="P8" i="2" a="1"/>
  <c r="P8" i="2" l="1"/>
  <c r="R8" i="2" s="1"/>
  <c r="L8" i="2" a="1"/>
  <c r="L8" i="2" l="1"/>
  <c r="J8" i="2"/>
  <c r="BB8" i="2" s="1"/>
  <c r="BC8" i="2" s="1"/>
  <c r="BD8" i="2" s="1"/>
  <c r="G8" i="2" a="1"/>
  <c r="G8" i="2" l="1"/>
  <c r="K8" i="2"/>
  <c r="O8" i="2"/>
  <c r="S8" i="2" a="1"/>
  <c r="S8" i="2" l="1"/>
  <c r="AP8" i="2" s="1"/>
  <c r="AK8" i="2" s="1"/>
  <c r="S30" i="1" s="1"/>
  <c r="AO8" i="2"/>
  <c r="AI8" i="2" s="1"/>
  <c r="V30" i="1" l="1"/>
  <c r="U8" i="2"/>
  <c r="V8" i="2" s="1"/>
  <c r="AE8" i="2"/>
  <c r="AT8" i="2"/>
  <c r="AS8" i="2"/>
  <c r="AL8" i="2"/>
  <c r="Q30" i="1" s="1"/>
  <c r="AB8" i="2"/>
  <c r="M8" i="2"/>
  <c r="BA7" i="2"/>
  <c r="T30" i="1" l="1"/>
  <c r="R30" i="1"/>
  <c r="AG8" i="2"/>
  <c r="AM8" i="2"/>
  <c r="AH8" i="2" s="1"/>
  <c r="X8" i="2"/>
  <c r="Y8" i="2" s="1"/>
  <c r="W8" i="2" s="1"/>
  <c r="AN7" i="2" a="1"/>
  <c r="AH30" i="1" l="1"/>
  <c r="U30" i="1"/>
  <c r="AN7" i="2"/>
  <c r="AF7" i="2" a="1"/>
  <c r="Y30" i="1" l="1"/>
  <c r="Z30" i="1"/>
  <c r="AA30" i="1"/>
  <c r="AF7" i="2"/>
  <c r="Q7" i="2" a="1"/>
  <c r="Q7" i="2" l="1"/>
  <c r="R7" i="2" l="1"/>
  <c r="J7" i="2" l="1"/>
  <c r="BB7" i="2" s="1"/>
  <c r="BC7" i="2" s="1"/>
  <c r="BD7" i="2" s="1"/>
  <c r="G7" i="2" a="1"/>
  <c r="G7" i="2" l="1"/>
  <c r="K7" i="2"/>
  <c r="S7" i="2" a="1"/>
  <c r="S7" i="2" l="1"/>
  <c r="AP7" i="2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AN6" i="2" a="1"/>
  <c r="AN6" i="2" l="1"/>
  <c r="AF6" i="2" a="1"/>
  <c r="AF6" i="2" l="1"/>
  <c r="Q6" i="2" a="1"/>
  <c r="Q6" i="2" l="1"/>
  <c r="R6" i="2" l="1"/>
  <c r="J6" i="2" l="1"/>
  <c r="BB6" i="2" s="1"/>
  <c r="BC6" i="2" s="1"/>
  <c r="BD6" i="2" s="1"/>
  <c r="G6" i="2" a="1"/>
  <c r="G6" i="2" l="1"/>
  <c r="K6" i="2"/>
  <c r="O6" i="2"/>
  <c r="S6" i="2" a="1"/>
  <c r="S6" i="2" l="1"/>
  <c r="AP6" i="2"/>
  <c r="AK6" i="2" s="1"/>
  <c r="S14" i="1" s="1"/>
  <c r="V14" i="1" l="1"/>
  <c r="AO6" i="2"/>
  <c r="AI6" i="2" s="1"/>
  <c r="U6" i="2"/>
  <c r="V6" i="2" s="1"/>
  <c r="AE6" i="2" l="1"/>
  <c r="AT6" i="2"/>
  <c r="AS6" i="2"/>
  <c r="AL6" i="2"/>
  <c r="Q14" i="1" s="1"/>
  <c r="AB6" i="2"/>
  <c r="M6" i="2"/>
  <c r="BA5" i="2"/>
  <c r="T14" i="1" l="1"/>
  <c r="R14" i="1"/>
  <c r="AG6" i="2"/>
  <c r="AM6" i="2"/>
  <c r="AH6" i="2" s="1"/>
  <c r="X6" i="2"/>
  <c r="Y6" i="2" s="1"/>
  <c r="W6" i="2" s="1"/>
  <c r="AN5" i="2" a="1"/>
  <c r="F14" i="1" l="1"/>
  <c r="AH14" i="1"/>
  <c r="U14" i="1"/>
  <c r="AN5" i="2"/>
  <c r="AF5" i="2" a="1"/>
  <c r="AA14" i="1" l="1"/>
  <c r="AA5" i="1" s="1"/>
  <c r="Z14" i="1"/>
  <c r="Y14" i="1"/>
  <c r="P6" i="1"/>
  <c r="P5" i="1"/>
  <c r="U5" i="1"/>
  <c r="S5" i="1"/>
  <c r="V5" i="1"/>
  <c r="AF5" i="2"/>
  <c r="Q5" i="2" a="1"/>
  <c r="W5" i="1" l="1"/>
  <c r="X5" i="1" s="1"/>
  <c r="Y5" i="1" s="1"/>
  <c r="AB5" i="1"/>
  <c r="Z5" i="1"/>
  <c r="Q5" i="2"/>
  <c r="P5" i="2" a="1"/>
  <c r="P5" i="2" l="1"/>
  <c r="R5" i="2" s="1"/>
  <c r="L5" i="2" a="1"/>
  <c r="L5" i="2" l="1"/>
  <c r="J5" i="2"/>
  <c r="BB5" i="2" s="1"/>
  <c r="BC5" i="2" s="1"/>
  <c r="BD5" i="2" s="1"/>
  <c r="G5" i="2" a="1"/>
  <c r="G5" i="2" l="1"/>
  <c r="K5" i="2"/>
  <c r="O5" i="2"/>
  <c r="S5" i="2" a="1"/>
  <c r="S5" i="2" l="1"/>
  <c r="AO5" i="2" s="1"/>
  <c r="AI5" i="2" s="1"/>
  <c r="AP5" i="2"/>
  <c r="AK5" i="2" s="1"/>
  <c r="U5" i="2"/>
  <c r="V5" i="2" s="1"/>
  <c r="AE5" i="2" l="1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BD4" i="2" s="1"/>
  <c r="G4" i="2" a="1"/>
  <c r="G4" i="2" l="1"/>
  <c r="K4" i="2"/>
  <c r="S4" i="2" a="1"/>
  <c r="S4" i="2" l="1"/>
  <c r="AP4" i="2"/>
  <c r="AK4" i="2" s="1"/>
  <c r="S20" i="1" s="1"/>
  <c r="O4" i="2"/>
  <c r="V20" i="1" l="1"/>
  <c r="S6" i="1"/>
  <c r="S10" i="1"/>
  <c r="S7" i="1"/>
  <c r="AO4" i="2"/>
  <c r="AI4" i="2" s="1"/>
  <c r="AI1" i="2" s="1"/>
  <c r="U4" i="2"/>
  <c r="V4" i="2" s="1"/>
  <c r="Z4" i="2"/>
  <c r="AV4" i="2" s="1" a="1"/>
  <c r="AV4" i="2" l="1"/>
  <c r="V6" i="1"/>
  <c r="T1" i="1"/>
  <c r="AE4" i="2"/>
  <c r="AT4" i="2"/>
  <c r="AS4" i="2"/>
  <c r="AL4" i="2"/>
  <c r="Q20" i="1" s="1"/>
  <c r="AB4" i="2"/>
  <c r="M4" i="2"/>
  <c r="U2" i="2"/>
  <c r="R2" i="2"/>
  <c r="Q2" i="2" a="1"/>
  <c r="T20" i="1" l="1"/>
  <c r="R20" i="1"/>
  <c r="V7" i="1"/>
  <c r="V10" i="1" s="1"/>
  <c r="AG4" i="2"/>
  <c r="Q2" i="2"/>
  <c r="S2" i="2" s="1"/>
  <c r="AM4" i="2"/>
  <c r="AH4" i="2" s="1"/>
  <c r="X4" i="2"/>
  <c r="Y4" i="2" s="1"/>
  <c r="W4" i="2" s="1"/>
  <c r="P2" i="2" a="1"/>
  <c r="R5" i="1" l="1"/>
  <c r="R6" i="1"/>
  <c r="AH20" i="1"/>
  <c r="U20" i="1"/>
  <c r="P2" i="2"/>
  <c r="L2" i="2" a="1"/>
  <c r="AA20" i="1" l="1"/>
  <c r="Y20" i="1"/>
  <c r="Z20" i="1"/>
  <c r="Z10" i="1" s="1"/>
  <c r="R1" i="1"/>
  <c r="S1" i="1" s="1"/>
  <c r="P1" i="1" s="1"/>
  <c r="U6" i="1"/>
  <c r="R7" i="1"/>
  <c r="R8" i="1"/>
  <c r="L2" i="2"/>
  <c r="Z6" i="1" l="1"/>
  <c r="Z7" i="1" s="1"/>
  <c r="U8" i="1"/>
  <c r="U7" i="1"/>
  <c r="U3" i="1"/>
  <c r="W6" i="1"/>
  <c r="AA6" i="1"/>
  <c r="AA10" i="1"/>
  <c r="I2" i="2"/>
  <c r="X1" i="2"/>
  <c r="W1" i="2"/>
  <c r="V1" i="2"/>
  <c r="R1" i="2"/>
  <c r="O1" i="2"/>
  <c r="X6" i="1" l="1"/>
  <c r="Y6" i="1" s="1"/>
  <c r="Y7" i="1" s="1"/>
  <c r="W2" i="1"/>
  <c r="AB6" i="1"/>
  <c r="AA7" i="1"/>
  <c r="AA8" i="1"/>
  <c r="U10" i="1"/>
  <c r="W7" i="1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H37" i="89" l="1"/>
  <c r="L68" i="89" a="1"/>
  <c r="W68" i="89" a="1"/>
  <c r="G10" i="338" a="1"/>
  <c r="L10" i="446" a="1"/>
  <c r="K68" i="89" a="1"/>
  <c r="W78" i="89" a="1"/>
  <c r="F103" i="89" a="1"/>
  <c r="K96" i="89" a="1"/>
  <c r="I10" i="338" a="1"/>
  <c r="W7" i="89" a="1"/>
  <c r="F104" i="89" a="1"/>
  <c r="K8" i="89" a="1"/>
  <c r="K19" i="89"/>
  <c r="F105" i="89" a="1"/>
  <c r="W79" i="89" a="1"/>
  <c r="L77" i="89" a="1"/>
  <c r="L8" i="446" a="1"/>
  <c r="K105" i="89" a="1"/>
  <c r="L6" i="446" a="1"/>
  <c r="W13" i="89" a="1"/>
  <c r="W94" i="89" a="1"/>
  <c r="K103" i="89" a="1"/>
  <c r="W31" i="89" a="1"/>
  <c r="W96" i="89" a="1"/>
  <c r="L61" i="89" a="1"/>
  <c r="W105" i="89" a="1"/>
  <c r="F36" i="89" a="1"/>
  <c r="W95" i="89" a="1"/>
  <c r="L11" i="446" a="1"/>
  <c r="G9" i="338" a="1"/>
  <c r="G12" i="338" a="1"/>
  <c r="K14" i="89" a="1"/>
  <c r="F30" i="89" a="1"/>
  <c r="K104" i="89" a="1"/>
  <c r="K31" i="89" a="1"/>
  <c r="L37" i="89" a="1"/>
  <c r="K88" i="89" a="1"/>
  <c r="K36" i="89" a="1"/>
  <c r="L7" i="446" a="1"/>
  <c r="F95" i="89" a="1"/>
  <c r="W30" i="89" a="1"/>
  <c r="L88" i="89" a="1"/>
  <c r="F77" i="89" a="1"/>
  <c r="F8" i="89" a="1"/>
  <c r="L14" i="89" a="1"/>
  <c r="W36" i="89" a="1"/>
  <c r="K7" i="89" a="1"/>
  <c r="I50" i="54" a="1"/>
  <c r="F53" i="89" a="1"/>
  <c r="L12" i="446" a="1"/>
  <c r="F78" i="89" a="1"/>
  <c r="W53" i="89" a="1"/>
  <c r="L8" i="89" a="1"/>
  <c r="L13" i="446" a="1"/>
  <c r="W8" i="89" a="1"/>
  <c r="L104" i="89" a="1"/>
  <c r="L96" i="89" a="1"/>
  <c r="L20" i="89" a="1"/>
  <c r="K37" i="89" a="1"/>
  <c r="K77" i="89" a="1"/>
  <c r="G11" i="338" a="1"/>
  <c r="L36" i="89" a="1"/>
  <c r="K94" i="89" a="1"/>
  <c r="F19" i="89"/>
  <c r="F94" i="89" a="1"/>
  <c r="L105" i="89" a="1"/>
  <c r="F13" i="89" a="1"/>
  <c r="K30" i="89" a="1"/>
  <c r="L95" i="89" a="1"/>
  <c r="G8" i="338" a="1"/>
  <c r="K52" i="89" a="1"/>
  <c r="F37" i="89" a="1"/>
  <c r="W61" i="89" a="1"/>
  <c r="W20" i="89" a="1"/>
  <c r="K61" i="89" a="1"/>
  <c r="K13" i="89" a="1"/>
  <c r="L103" i="89" a="1"/>
  <c r="K79" i="89" a="1"/>
  <c r="F88" i="89" a="1"/>
  <c r="K53" i="89" a="1"/>
  <c r="L9" i="446" a="1"/>
  <c r="L94" i="89" a="1"/>
  <c r="F96" i="89" a="1"/>
  <c r="F52" i="89" a="1"/>
  <c r="L5" i="446" a="1"/>
  <c r="K95" i="89" a="1"/>
  <c r="W37" i="89" a="1"/>
  <c r="W77" i="89" a="1"/>
  <c r="L30" i="89" a="1"/>
  <c r="W14" i="89" a="1"/>
  <c r="W19" i="89"/>
  <c r="K20" i="89" a="1"/>
  <c r="L79" i="89" a="1"/>
  <c r="W104" i="89" a="1"/>
  <c r="F79" i="89" a="1"/>
  <c r="L52" i="89" a="1"/>
  <c r="F14" i="89" a="1"/>
  <c r="W88" i="89" a="1"/>
  <c r="W52" i="89" a="1"/>
  <c r="K78" i="89" a="1"/>
  <c r="I8" i="338" a="1"/>
  <c r="F61" i="89" a="1"/>
  <c r="W103" i="89" a="1"/>
  <c r="L13" i="89" a="1"/>
  <c r="F7" i="89" a="1"/>
  <c r="L78" i="89" a="1"/>
  <c r="F31" i="89" a="1"/>
  <c r="L53" i="89" a="1"/>
  <c r="L7" i="89" a="1"/>
  <c r="I12" i="338" a="1"/>
  <c r="I9" i="338" a="1"/>
  <c r="L19" i="89"/>
  <c r="L31" i="89" a="1"/>
  <c r="F20" i="89" a="1"/>
  <c r="I11" i="338" a="1"/>
  <c r="L44" i="89" a="1"/>
  <c r="L87" i="89" a="1"/>
  <c r="L86" i="89" a="1"/>
  <c r="W86" i="89" a="1"/>
  <c r="W87" i="89" a="1"/>
  <c r="L62" i="89" a="1"/>
  <c r="W43" i="89" a="1"/>
  <c r="W44" i="89" a="1"/>
  <c r="K62" i="89" a="1"/>
  <c r="L43" i="89" a="1"/>
  <c r="F62" i="89" a="1"/>
  <c r="K87" i="89" a="1"/>
  <c r="K86" i="89" a="1"/>
  <c r="W62" i="89" a="1"/>
  <c r="K43" i="89" a="1"/>
  <c r="F86" i="89" a="1"/>
  <c r="F44" i="89" a="1"/>
  <c r="F87" i="89" a="1"/>
  <c r="K44" i="89" a="1"/>
  <c r="F43" i="89" a="1"/>
  <c r="F105" i="89" l="1"/>
  <c r="F61" i="89"/>
  <c r="K105" i="89"/>
  <c r="K104" i="89"/>
  <c r="I50" i="54"/>
  <c r="W44" i="89"/>
  <c r="L62" i="89"/>
  <c r="K53" i="89"/>
  <c r="W52" i="89"/>
  <c r="L30" i="89"/>
  <c r="F7" i="89"/>
  <c r="K88" i="89"/>
  <c r="L87" i="89"/>
  <c r="W43" i="89"/>
  <c r="K62" i="89"/>
  <c r="W36" i="89"/>
  <c r="K20" i="89"/>
  <c r="K94" i="89"/>
  <c r="K13" i="89"/>
  <c r="W103" i="89"/>
  <c r="W8" i="89"/>
  <c r="L53" i="89"/>
  <c r="L14" i="89"/>
  <c r="L88" i="89"/>
  <c r="F36" i="89"/>
  <c r="K8" i="89"/>
  <c r="F20" i="89"/>
  <c r="L95" i="89"/>
  <c r="W88" i="89"/>
  <c r="W86" i="89"/>
  <c r="F43" i="89"/>
  <c r="L61" i="89"/>
  <c r="F53" i="89"/>
  <c r="L31" i="89"/>
  <c r="W37" i="89"/>
  <c r="F8" i="89"/>
  <c r="L20" i="89"/>
  <c r="K43" i="89"/>
  <c r="F94" i="89"/>
  <c r="W87" i="89"/>
  <c r="F44" i="89"/>
  <c r="L52" i="89"/>
  <c r="F62" i="89"/>
  <c r="W13" i="89"/>
  <c r="F103" i="89"/>
  <c r="K96" i="89"/>
  <c r="F31" i="89"/>
  <c r="L36" i="89"/>
  <c r="W20" i="89"/>
  <c r="K44" i="89"/>
  <c r="L79" i="89"/>
  <c r="L12" i="446"/>
  <c r="F86" i="89"/>
  <c r="K95" i="89"/>
  <c r="F95" i="89"/>
  <c r="L94" i="89"/>
  <c r="W53" i="89"/>
  <c r="K31" i="89"/>
  <c r="L37" i="89"/>
  <c r="W7" i="89"/>
  <c r="K86" i="89"/>
  <c r="F104" i="89"/>
  <c r="W79" i="89"/>
  <c r="F87" i="89"/>
  <c r="F79" i="89"/>
  <c r="L13" i="446"/>
  <c r="W94" i="89"/>
  <c r="F96" i="89"/>
  <c r="F14" i="89"/>
  <c r="F37" i="89"/>
  <c r="L7" i="89"/>
  <c r="K79" i="89"/>
  <c r="K68" i="89"/>
  <c r="K52" i="89"/>
  <c r="W105" i="89"/>
  <c r="F30" i="89"/>
  <c r="K87" i="89"/>
  <c r="K61" i="89"/>
  <c r="F52" i="89"/>
  <c r="L103" i="89"/>
  <c r="W95" i="89"/>
  <c r="W30" i="89"/>
  <c r="K37" i="89"/>
  <c r="W14" i="89"/>
  <c r="L43" i="89"/>
  <c r="L78" i="89"/>
  <c r="F88" i="89"/>
  <c r="W77" i="89"/>
  <c r="W78" i="89"/>
  <c r="L10" i="446"/>
  <c r="L13" i="89"/>
  <c r="L105" i="89"/>
  <c r="W96" i="89"/>
  <c r="L96" i="89"/>
  <c r="W31" i="89"/>
  <c r="K36" i="89"/>
  <c r="K7" i="89"/>
  <c r="L44" i="89"/>
  <c r="K78" i="89"/>
  <c r="L77" i="89"/>
  <c r="W68" i="89"/>
  <c r="F77" i="89"/>
  <c r="W61" i="89"/>
  <c r="K103" i="89"/>
  <c r="W104" i="89"/>
  <c r="K30" i="89"/>
  <c r="L8" i="89"/>
  <c r="K14" i="89"/>
  <c r="F13" i="89"/>
  <c r="L86" i="89"/>
  <c r="K77" i="89"/>
  <c r="L68" i="89"/>
  <c r="L104" i="89"/>
  <c r="W62" i="89"/>
  <c r="G12" i="338"/>
  <c r="L8" i="446"/>
  <c r="L11" i="446"/>
  <c r="L9" i="446"/>
  <c r="G8" i="338"/>
  <c r="I10" i="338"/>
  <c r="I11" i="338"/>
  <c r="L5" i="446"/>
  <c r="I12" i="338"/>
  <c r="L7" i="446"/>
  <c r="L6" i="446"/>
  <c r="G10" i="338"/>
  <c r="I9" i="338"/>
  <c r="G9" i="338"/>
  <c r="G11" i="338"/>
  <c r="I8" i="338"/>
  <c r="F78" i="89"/>
  <c r="H8" i="338" a="1"/>
  <c r="H11" i="338" a="1"/>
  <c r="J11" i="338" a="1"/>
  <c r="J12" i="338" a="1"/>
  <c r="J10" i="338" a="1"/>
  <c r="H10" i="338" a="1"/>
  <c r="J9" i="338" a="1"/>
  <c r="H9" i="338" a="1"/>
  <c r="J8" i="338" a="1"/>
  <c r="H12" i="338" a="1"/>
  <c r="H8" i="338" l="1"/>
  <c r="H11" i="338"/>
  <c r="H9" i="338"/>
  <c r="J9" i="338"/>
  <c r="H10" i="338"/>
  <c r="J10" i="338"/>
  <c r="J12" i="338"/>
  <c r="J11" i="338"/>
  <c r="H12" i="338"/>
  <c r="J8" i="338"/>
  <c r="S88" i="89" a="1"/>
  <c r="S88" i="89" l="1"/>
  <c r="R88" i="89" a="1"/>
  <c r="S20" i="89" a="1"/>
  <c r="R88" i="89" l="1"/>
  <c r="S20" i="89"/>
  <c r="R20" i="89" a="1"/>
  <c r="S19" i="89" a="1"/>
  <c r="R20" i="89" l="1"/>
  <c r="S19" i="89"/>
  <c r="R19" i="89" a="1"/>
  <c r="S105" i="89" a="1"/>
  <c r="S37" i="89" a="1"/>
  <c r="R19" i="89" l="1"/>
  <c r="S105" i="89"/>
  <c r="S37" i="89"/>
  <c r="R105" i="89" a="1"/>
  <c r="R37" i="89" a="1"/>
  <c r="R105" i="89" l="1"/>
  <c r="R37" i="89"/>
  <c r="X2" i="527" l="1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E17" i="415" s="1"/>
  <c r="D16" i="415"/>
  <c r="C16" i="415"/>
  <c r="D15" i="415"/>
  <c r="C15" i="415"/>
  <c r="E15" i="415" s="1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52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D4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Q102" i="385"/>
  <c r="P102" i="385"/>
  <c r="R102" i="385" s="1"/>
  <c r="M102" i="385"/>
  <c r="L102" i="385"/>
  <c r="K102" i="385"/>
  <c r="J102" i="385"/>
  <c r="H102" i="385"/>
  <c r="G102" i="385"/>
  <c r="F102" i="385"/>
  <c r="E102" i="385"/>
  <c r="D102" i="385"/>
  <c r="C102" i="385"/>
  <c r="Q101" i="385"/>
  <c r="P101" i="385"/>
  <c r="S101" i="385" s="1"/>
  <c r="M101" i="385"/>
  <c r="L101" i="385"/>
  <c r="K101" i="385"/>
  <c r="J101" i="385"/>
  <c r="H101" i="385"/>
  <c r="G101" i="385"/>
  <c r="F101" i="385"/>
  <c r="E101" i="385"/>
  <c r="D101" i="385"/>
  <c r="C101" i="385"/>
  <c r="Q100" i="385"/>
  <c r="P100" i="385"/>
  <c r="S100" i="385" s="1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L64" i="385"/>
  <c r="K64" i="385"/>
  <c r="G64" i="385"/>
  <c r="F64" i="385"/>
  <c r="D64" i="385"/>
  <c r="C64" i="385"/>
  <c r="Q63" i="385"/>
  <c r="P63" i="385"/>
  <c r="L63" i="385"/>
  <c r="K63" i="385"/>
  <c r="G63" i="385"/>
  <c r="F63" i="385"/>
  <c r="H63" i="385" s="1"/>
  <c r="D63" i="385"/>
  <c r="C63" i="385"/>
  <c r="Q62" i="385"/>
  <c r="P62" i="385"/>
  <c r="L62" i="385"/>
  <c r="K62" i="385"/>
  <c r="G62" i="385"/>
  <c r="F62" i="385"/>
  <c r="M62" i="385" s="1"/>
  <c r="D62" i="385"/>
  <c r="C62" i="385"/>
  <c r="Q61" i="385"/>
  <c r="P61" i="385"/>
  <c r="L61" i="385"/>
  <c r="K61" i="385"/>
  <c r="G61" i="385"/>
  <c r="F61" i="385"/>
  <c r="D61" i="385"/>
  <c r="C61" i="385"/>
  <c r="Q60" i="385"/>
  <c r="L60" i="385"/>
  <c r="K60" i="385"/>
  <c r="G60" i="385"/>
  <c r="F60" i="385"/>
  <c r="M60" i="385" s="1"/>
  <c r="D60" i="385"/>
  <c r="C60" i="385"/>
  <c r="Q59" i="385"/>
  <c r="L59" i="385"/>
  <c r="K59" i="385"/>
  <c r="G59" i="385"/>
  <c r="F59" i="385"/>
  <c r="D59" i="385"/>
  <c r="C59" i="385"/>
  <c r="Q58" i="385"/>
  <c r="L58" i="385"/>
  <c r="K58" i="385"/>
  <c r="G58" i="385"/>
  <c r="F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F56" i="385"/>
  <c r="D56" i="385"/>
  <c r="C56" i="385"/>
  <c r="Q55" i="385"/>
  <c r="L55" i="385"/>
  <c r="K55" i="385"/>
  <c r="G55" i="385"/>
  <c r="F55" i="385"/>
  <c r="H55" i="385" s="1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L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S91" i="385" l="1"/>
  <c r="S95" i="385"/>
  <c r="E60" i="385"/>
  <c r="S93" i="385"/>
  <c r="S98" i="385"/>
  <c r="R92" i="385"/>
  <c r="S94" i="385"/>
  <c r="E62" i="385"/>
  <c r="M63" i="385"/>
  <c r="E63" i="385" s="1"/>
  <c r="R98" i="385"/>
  <c r="M55" i="385"/>
  <c r="E55" i="385" s="1"/>
  <c r="M58" i="385"/>
  <c r="M53" i="385"/>
  <c r="E53" i="385" s="1"/>
  <c r="M56" i="385"/>
  <c r="E56" i="385" s="1"/>
  <c r="M64" i="385"/>
  <c r="E64" i="385" s="1"/>
  <c r="R97" i="385"/>
  <c r="H56" i="385"/>
  <c r="R94" i="385"/>
  <c r="M54" i="385"/>
  <c r="E54" i="385" s="1"/>
  <c r="E57" i="385"/>
  <c r="S96" i="385"/>
  <c r="R101" i="385"/>
  <c r="S97" i="385"/>
  <c r="R100" i="385"/>
  <c r="R93" i="385"/>
  <c r="R96" i="385"/>
  <c r="S92" i="385"/>
  <c r="S102" i="385"/>
  <c r="R95" i="385"/>
  <c r="E58" i="385"/>
  <c r="M59" i="385"/>
  <c r="E59" i="385" s="1"/>
  <c r="H54" i="385"/>
  <c r="M61" i="385"/>
  <c r="E61" i="385" s="1"/>
  <c r="H58" i="385"/>
  <c r="H60" i="385"/>
  <c r="H53" i="385"/>
  <c r="H62" i="385"/>
  <c r="H64" i="385"/>
  <c r="H57" i="385"/>
  <c r="H59" i="385"/>
  <c r="H61" i="385"/>
  <c r="E14" i="415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P25" i="385"/>
  <c r="S25" i="385" s="1"/>
  <c r="G50" i="385"/>
  <c r="D51" i="385"/>
  <c r="P27" i="385"/>
  <c r="R27" i="385" s="1"/>
  <c r="F51" i="385"/>
  <c r="H51" i="385" s="1"/>
  <c r="G51" i="385"/>
  <c r="D49" i="385"/>
  <c r="P69" i="385"/>
  <c r="F39" i="385"/>
  <c r="G48" i="385"/>
  <c r="P23" i="385"/>
  <c r="G49" i="385"/>
  <c r="D47" i="385"/>
  <c r="F48" i="385"/>
  <c r="F49" i="385"/>
  <c r="H49" i="385" s="1"/>
  <c r="G52" i="385"/>
  <c r="P24" i="385"/>
  <c r="F47" i="385"/>
  <c r="D50" i="385"/>
  <c r="I173" i="385"/>
  <c r="F52" i="385"/>
  <c r="G47" i="385"/>
  <c r="F50" i="385"/>
  <c r="H50" i="385" s="1"/>
  <c r="P68" i="385"/>
  <c r="R68" i="385" s="1"/>
  <c r="I12" i="385"/>
  <c r="D52" i="385"/>
  <c r="R91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S6" i="385" s="1"/>
  <c r="I181" i="385"/>
  <c r="P46" i="385"/>
  <c r="S46" i="385" s="1"/>
  <c r="I101" i="385"/>
  <c r="P42" i="385"/>
  <c r="I34" i="385"/>
  <c r="D34" i="385"/>
  <c r="G8" i="385"/>
  <c r="I81" i="385"/>
  <c r="P14" i="385"/>
  <c r="F29" i="385"/>
  <c r="I53" i="385"/>
  <c r="J53" i="385" s="1"/>
  <c r="I97" i="385"/>
  <c r="I137" i="385"/>
  <c r="I64" i="385"/>
  <c r="J64" i="385" s="1"/>
  <c r="I115" i="385"/>
  <c r="I155" i="385"/>
  <c r="P79" i="385"/>
  <c r="S79" i="385" s="1"/>
  <c r="D9" i="385"/>
  <c r="I31" i="385"/>
  <c r="P36" i="385"/>
  <c r="R36" i="385" s="1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J61" i="385" s="1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I117" i="385"/>
  <c r="I157" i="385"/>
  <c r="I73" i="385"/>
  <c r="F23" i="385"/>
  <c r="P56" i="385"/>
  <c r="R56" i="385" s="1"/>
  <c r="I95" i="385"/>
  <c r="I135" i="385"/>
  <c r="G39" i="385"/>
  <c r="H39" i="385" s="1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J50" i="385" s="1"/>
  <c r="I70" i="385"/>
  <c r="P85" i="385"/>
  <c r="R85" i="385" s="1"/>
  <c r="I90" i="385"/>
  <c r="G9" i="385"/>
  <c r="F12" i="385"/>
  <c r="I9" i="385"/>
  <c r="G12" i="385"/>
  <c r="D15" i="385"/>
  <c r="I23" i="385"/>
  <c r="F26" i="385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J58" i="385" s="1"/>
  <c r="P73" i="385"/>
  <c r="S73" i="385" s="1"/>
  <c r="I78" i="385"/>
  <c r="P90" i="385"/>
  <c r="S90" i="385" s="1"/>
  <c r="F21" i="385"/>
  <c r="I55" i="385"/>
  <c r="J55" i="385" s="1"/>
  <c r="I75" i="385"/>
  <c r="F10" i="385"/>
  <c r="I18" i="385"/>
  <c r="F24" i="385"/>
  <c r="J24" i="385" s="1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J63" i="385" s="1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J60" i="385" s="1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J57" i="385" s="1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H8" i="385" s="1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J54" i="385" s="1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J62" i="385" s="1"/>
  <c r="P77" i="385"/>
  <c r="R77" i="385" s="1"/>
  <c r="I82" i="385"/>
  <c r="I175" i="385"/>
  <c r="G11" i="385"/>
  <c r="H11" i="385" s="1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J59" i="385" s="1"/>
  <c r="P74" i="385"/>
  <c r="R74" i="385" s="1"/>
  <c r="I79" i="385"/>
  <c r="I17" i="385"/>
  <c r="F20" i="385"/>
  <c r="H20" i="385" s="1"/>
  <c r="D23" i="385"/>
  <c r="P28" i="385"/>
  <c r="R28" i="385" s="1"/>
  <c r="G31" i="385"/>
  <c r="I36" i="385"/>
  <c r="I44" i="385"/>
  <c r="P51" i="385"/>
  <c r="R51" i="385" s="1"/>
  <c r="I56" i="385"/>
  <c r="J56" i="385" s="1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E29" i="415" s="1"/>
  <c r="D50" i="415"/>
  <c r="D34" i="415"/>
  <c r="C52" i="415"/>
  <c r="E52" i="415" s="1"/>
  <c r="C37" i="415"/>
  <c r="D53" i="415"/>
  <c r="E53" i="415" s="1"/>
  <c r="L12" i="385"/>
  <c r="D37" i="415"/>
  <c r="C54" i="415"/>
  <c r="D39" i="415"/>
  <c r="D54" i="415"/>
  <c r="E54" i="415" s="1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E26" i="415" s="1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E8" i="415" s="1"/>
  <c r="C34" i="415"/>
  <c r="E34" i="415" s="1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E5" i="415" s="1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E49" i="415" s="1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15" i="385"/>
  <c r="S63" i="385"/>
  <c r="S62" i="385"/>
  <c r="S22" i="385"/>
  <c r="S14" i="385"/>
  <c r="R64" i="385"/>
  <c r="S37" i="385"/>
  <c r="S69" i="385"/>
  <c r="V37" i="444"/>
  <c r="W37" i="444" s="1"/>
  <c r="S42" i="385"/>
  <c r="V117" i="444"/>
  <c r="W117" i="444" s="1"/>
  <c r="R40" i="385"/>
  <c r="S34" i="385"/>
  <c r="S23" i="385"/>
  <c r="S67" i="385"/>
  <c r="S61" i="385"/>
  <c r="V18" i="444"/>
  <c r="W18" i="444" s="1"/>
  <c r="R20" i="385"/>
  <c r="S21" i="385"/>
  <c r="S19" i="385"/>
  <c r="V137" i="444"/>
  <c r="W137" i="444" s="1"/>
  <c r="V98" i="444"/>
  <c r="W98" i="444" s="1"/>
  <c r="V97" i="444"/>
  <c r="W97" i="444" s="1"/>
  <c r="S26" i="385"/>
  <c r="S66" i="385"/>
  <c r="S86" i="385"/>
  <c r="V155" i="444"/>
  <c r="W155" i="444" s="1"/>
  <c r="R24" i="385"/>
  <c r="V57" i="444"/>
  <c r="W57" i="444" s="1"/>
  <c r="V145" i="444"/>
  <c r="W145" i="444" s="1"/>
  <c r="V17" i="444"/>
  <c r="W17" i="444" s="1"/>
  <c r="S65" i="385"/>
  <c r="V78" i="444"/>
  <c r="W78" i="444" s="1"/>
  <c r="V118" i="444"/>
  <c r="W118" i="444" s="1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40" i="385"/>
  <c r="S64" i="385"/>
  <c r="S88" i="385"/>
  <c r="S24" i="385"/>
  <c r="R19" i="385"/>
  <c r="R23" i="385"/>
  <c r="R59" i="385"/>
  <c r="R63" i="385"/>
  <c r="R67" i="385"/>
  <c r="H29" i="385"/>
  <c r="R14" i="385"/>
  <c r="R22" i="385"/>
  <c r="R42" i="385"/>
  <c r="R62" i="385"/>
  <c r="R66" i="385"/>
  <c r="R26" i="385"/>
  <c r="H24" i="385"/>
  <c r="R21" i="385"/>
  <c r="R25" i="385"/>
  <c r="R53" i="385"/>
  <c r="R61" i="385"/>
  <c r="R65" i="385"/>
  <c r="R69" i="385"/>
  <c r="S8" i="89" a="1"/>
  <c r="H52" i="385" l="1"/>
  <c r="S76" i="385"/>
  <c r="S36" i="385"/>
  <c r="R6" i="385"/>
  <c r="S85" i="385"/>
  <c r="R79" i="385"/>
  <c r="J49" i="385"/>
  <c r="J51" i="385"/>
  <c r="R46" i="385"/>
  <c r="S27" i="385"/>
  <c r="S68" i="385"/>
  <c r="H26" i="385"/>
  <c r="M24" i="385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K106" i="89" l="1"/>
  <c r="I104" i="89"/>
  <c r="AA104" i="89" a="1"/>
  <c r="AA104" i="89" l="1"/>
  <c r="M104" i="89"/>
  <c r="K102" i="89"/>
  <c r="N104" i="89" a="1"/>
  <c r="N104" i="89" l="1"/>
  <c r="P104" i="89"/>
  <c r="Z104" i="89" a="1"/>
  <c r="Z104" i="89" l="1"/>
  <c r="Q104" i="89"/>
  <c r="S104" i="89"/>
  <c r="R104" i="89" s="1" a="1"/>
  <c r="R104" i="89" l="1"/>
  <c r="AC104" i="89"/>
  <c r="Y104" i="89"/>
  <c r="U104" i="89"/>
  <c r="J104" i="89"/>
  <c r="K107" i="89" l="1"/>
  <c r="I103" i="89" l="1"/>
  <c r="M103" i="89"/>
  <c r="AE103" i="89"/>
  <c r="AA103" i="89" a="1"/>
  <c r="N103" i="89" a="1"/>
  <c r="AA103" i="89" l="1"/>
  <c r="I101" i="89"/>
  <c r="I110" i="89"/>
  <c r="I108" i="89"/>
  <c r="N103" i="89"/>
  <c r="I106" i="89"/>
  <c r="P103" i="89"/>
  <c r="Z103" i="89" a="1"/>
  <c r="Z103" i="89" l="1"/>
  <c r="H110" i="89"/>
  <c r="H111" i="89"/>
  <c r="P106" i="89"/>
  <c r="Q106" i="89" s="1"/>
  <c r="Q103" i="89"/>
  <c r="Q102" i="89" s="1"/>
  <c r="I102" i="89"/>
  <c r="Q101" i="89"/>
  <c r="H96" i="89"/>
  <c r="AE96" i="89" s="1"/>
  <c r="AE95" i="89"/>
  <c r="H94" i="89"/>
  <c r="AE94" i="89" s="1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N94" i="89" a="1"/>
  <c r="N96" i="89" a="1"/>
  <c r="N95" i="89" a="1"/>
  <c r="N94" i="89" l="1"/>
  <c r="N96" i="89"/>
  <c r="N95" i="89"/>
  <c r="Y107" i="89"/>
  <c r="I96" i="89"/>
  <c r="K97" i="89"/>
  <c r="J93" i="89"/>
  <c r="M94" i="89"/>
  <c r="I95" i="89"/>
  <c r="M95" i="89"/>
  <c r="K98" i="89"/>
  <c r="I94" i="89"/>
  <c r="AA96" i="89" a="1"/>
  <c r="Z95" i="89" a="1"/>
  <c r="Z94" i="89" a="1"/>
  <c r="AA94" i="89" a="1"/>
  <c r="AA95" i="89" a="1"/>
  <c r="S96" i="89" a="1"/>
  <c r="S95" i="89"/>
  <c r="R95" i="89" s="1" a="1"/>
  <c r="S94" i="89"/>
  <c r="R94" i="89" s="1" a="1"/>
  <c r="R94" i="89" l="1"/>
  <c r="R95" i="89"/>
  <c r="AA96" i="89"/>
  <c r="AA95" i="89"/>
  <c r="AA94" i="89"/>
  <c r="Z94" i="89"/>
  <c r="Z95" i="89"/>
  <c r="AC94" i="89"/>
  <c r="Y94" i="89"/>
  <c r="U94" i="89"/>
  <c r="S96" i="89"/>
  <c r="AC95" i="89"/>
  <c r="Y95" i="89"/>
  <c r="U95" i="89"/>
  <c r="P95" i="89"/>
  <c r="J95" i="89"/>
  <c r="I99" i="89"/>
  <c r="I93" i="89"/>
  <c r="K93" i="89" s="1"/>
  <c r="I97" i="89"/>
  <c r="P94" i="89"/>
  <c r="Q94" i="89" s="1"/>
  <c r="J94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AA88" i="89" a="1"/>
  <c r="N88" i="89" a="1"/>
  <c r="AA88" i="89" l="1"/>
  <c r="N88" i="89"/>
  <c r="D88" i="89"/>
  <c r="P88" i="89" l="1"/>
  <c r="Q88" i="89" s="1"/>
  <c r="AE87" i="89"/>
  <c r="AC88" i="89" l="1"/>
  <c r="Y88" i="89"/>
  <c r="U88" i="89"/>
  <c r="J88" i="89"/>
  <c r="K89" i="89" l="1"/>
  <c r="M87" i="89"/>
  <c r="I87" i="89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N86" i="89" a="1"/>
  <c r="I91" i="89" l="1"/>
  <c r="I89" i="89"/>
  <c r="N86" i="89"/>
  <c r="D86" i="89"/>
  <c r="P86" i="89" l="1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AA79" i="89" a="1"/>
  <c r="N79" i="89" a="1"/>
  <c r="AA79" i="89" l="1"/>
  <c r="N79" i="89"/>
  <c r="D79" i="89"/>
  <c r="P79" i="89" l="1"/>
  <c r="Q79" i="89" s="1"/>
  <c r="AE78" i="89"/>
  <c r="S79" i="89" a="1"/>
  <c r="S79" i="89" l="1"/>
  <c r="R79" i="89" a="1"/>
  <c r="R79" i="89" l="1"/>
  <c r="AC79" i="89"/>
  <c r="Y79" i="89"/>
  <c r="U79" i="89"/>
  <c r="J79" i="89"/>
  <c r="M78" i="89" l="1"/>
  <c r="K80" i="89"/>
  <c r="I78" i="89" l="1"/>
  <c r="AA78" i="89" a="1"/>
  <c r="N78" i="89" a="1"/>
  <c r="AA78" i="89" l="1"/>
  <c r="I83" i="89"/>
  <c r="N78" i="89"/>
  <c r="D78" i="89"/>
  <c r="P78" i="89" l="1"/>
  <c r="AE77" i="89"/>
  <c r="S78" i="89" a="1"/>
  <c r="S78" i="89" l="1"/>
  <c r="Q78" i="89"/>
  <c r="R78" i="89" a="1"/>
  <c r="R78" i="89" l="1"/>
  <c r="AC78" i="89"/>
  <c r="Y78" i="89"/>
  <c r="U78" i="89"/>
  <c r="J78" i="89"/>
  <c r="K81" i="89" l="1"/>
  <c r="I77" i="89"/>
  <c r="AA77" i="89" a="1"/>
  <c r="AA77" i="89" l="1"/>
  <c r="M77" i="89"/>
  <c r="I82" i="89"/>
  <c r="I80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T70" i="89" l="1"/>
  <c r="L72" i="89" l="1"/>
  <c r="K70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N62" i="89" a="1"/>
  <c r="N62" i="89" l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AA61" i="89" a="1"/>
  <c r="AA61" i="89" l="1"/>
  <c r="I63" i="89"/>
  <c r="I64" i="89" s="1"/>
  <c r="K65" i="89"/>
  <c r="K74" i="89" s="1"/>
  <c r="K64" i="89"/>
  <c r="N61" i="89" a="1"/>
  <c r="N61" i="89" l="1"/>
  <c r="P61" i="89" l="1"/>
  <c r="Q61" i="89" s="1"/>
  <c r="Q63" i="89" s="1"/>
  <c r="Q73" i="89" s="1"/>
  <c r="Z60" i="89" l="1"/>
  <c r="AC61" i="89"/>
  <c r="Y61" i="89"/>
  <c r="U61" i="89"/>
  <c r="J61" i="89"/>
  <c r="Y63" i="89" l="1"/>
  <c r="Y64" i="89" s="1"/>
  <c r="M53" i="89" l="1"/>
  <c r="I53" i="89"/>
  <c r="H53" i="89"/>
  <c r="AG53" i="89" l="1"/>
  <c r="N53" i="89"/>
  <c r="P53" i="89" l="1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N44" i="89" a="1"/>
  <c r="N44" i="89" l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M43" i="89" l="1"/>
  <c r="I45" i="89"/>
  <c r="I46" i="89" s="1"/>
  <c r="N43" i="89" a="1"/>
  <c r="N43" i="89" l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A37" i="89" a="1"/>
  <c r="AA37" i="89" l="1"/>
  <c r="AE37" i="89"/>
  <c r="N37" i="89" a="1"/>
  <c r="N37" i="89" l="1"/>
  <c r="P37" i="89" l="1"/>
  <c r="Q37" i="89" s="1"/>
  <c r="AE36" i="89" l="1"/>
  <c r="AC37" i="89" l="1"/>
  <c r="Y37" i="89"/>
  <c r="U37" i="89"/>
  <c r="J37" i="89"/>
  <c r="T38" i="89" l="1"/>
  <c r="K39" i="89" l="1"/>
  <c r="K38" i="89"/>
  <c r="M36" i="89"/>
  <c r="I36" i="89"/>
  <c r="AA36" i="89" a="1"/>
  <c r="AA36" i="89" l="1"/>
  <c r="I38" i="89"/>
  <c r="N36" i="89" a="1"/>
  <c r="N36" i="89" l="1"/>
  <c r="G38" i="89"/>
  <c r="I39" i="89"/>
  <c r="Z36" i="89" a="1"/>
  <c r="Z36" i="89" l="1"/>
  <c r="P36" i="89"/>
  <c r="Q36" i="89" s="1"/>
  <c r="Q38" i="89" s="1"/>
  <c r="P35" i="89" l="1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M30" i="89" l="1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P20" i="89" l="1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AA19" i="89" a="1"/>
  <c r="N19" i="89" a="1"/>
  <c r="AA19" i="89" l="1"/>
  <c r="I21" i="89"/>
  <c r="I22" i="89" s="1"/>
  <c r="N19" i="89"/>
  <c r="J19" i="89"/>
  <c r="G18" i="89"/>
  <c r="P19" i="89" l="1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N14" i="89" a="1"/>
  <c r="AA14" i="89" l="1"/>
  <c r="N14" i="89"/>
  <c r="P14" i="89" l="1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P13" i="89"/>
  <c r="P16" i="89" l="1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Z7" i="89"/>
  <c r="S7" i="89" a="1"/>
  <c r="S7" i="89" l="1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F73" i="54" l="1"/>
  <c r="F72" i="54"/>
  <c r="F67" i="54"/>
  <c r="J55" i="54"/>
  <c r="X105" i="89" l="1"/>
  <c r="AD105" i="89"/>
  <c r="X104" i="89"/>
  <c r="AD104" i="89"/>
  <c r="AD106" i="89" s="1"/>
  <c r="AD103" i="89"/>
  <c r="X103" i="89"/>
  <c r="AD94" i="89"/>
  <c r="AD95" i="89"/>
  <c r="AD97" i="89" s="1"/>
  <c r="X95" i="89"/>
  <c r="X94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B1" i="2"/>
  <c r="L1" i="2"/>
  <c r="K1" i="2"/>
  <c r="X54" i="89" l="1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L12" i="338" a="1"/>
  <c r="V12" i="338" a="1"/>
  <c r="U12" i="338" a="1"/>
  <c r="U12" i="338" l="1"/>
  <c r="V12" i="338"/>
  <c r="L12" i="338"/>
  <c r="N12" i="338" s="1"/>
  <c r="AB12" i="338"/>
  <c r="AD12" i="338"/>
  <c r="Z12" i="338"/>
  <c r="A11" i="338" l="1"/>
  <c r="O11" i="338" l="1"/>
  <c r="K11" i="338"/>
  <c r="L11" i="338" a="1"/>
  <c r="U11" i="338" a="1"/>
  <c r="V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L10" i="338" a="1"/>
  <c r="V10" i="338" a="1"/>
  <c r="U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L9" i="338" a="1"/>
  <c r="U9" i="338" a="1"/>
  <c r="V9" i="338" a="1"/>
  <c r="V9" i="338" l="1"/>
  <c r="U9" i="338"/>
  <c r="L9" i="338"/>
  <c r="AD9" i="338"/>
  <c r="AB9" i="338"/>
  <c r="Z9" i="338"/>
  <c r="N9" i="338" l="1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P11" i="338" a="1"/>
  <c r="AP10" i="338" a="1"/>
  <c r="AU11" i="338" a="1"/>
  <c r="AU9" i="338" a="1"/>
  <c r="AP9" i="338" a="1"/>
  <c r="AP12" i="338" a="1"/>
  <c r="AP8" i="338" a="1"/>
  <c r="AU10" i="338" a="1"/>
  <c r="AU8" i="338" a="1"/>
  <c r="AU12" i="338" a="1"/>
  <c r="AU12" i="338" l="1"/>
  <c r="AU8" i="338"/>
  <c r="AU10" i="338"/>
  <c r="AP8" i="338"/>
  <c r="AO8" i="338" s="1"/>
  <c r="AP12" i="338"/>
  <c r="AP9" i="338"/>
  <c r="AU9" i="338"/>
  <c r="AU11" i="338"/>
  <c r="AP10" i="338"/>
  <c r="AP11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L8" i="338" a="1"/>
  <c r="V8" i="338" a="1"/>
  <c r="U8" i="338" a="1"/>
  <c r="Q10" i="338" a="1"/>
  <c r="Q11" i="338" a="1"/>
  <c r="Q12" i="338" a="1"/>
  <c r="Q9" i="338" a="1"/>
  <c r="Q8" i="338" a="1"/>
  <c r="U8" i="338" l="1"/>
  <c r="V8" i="338"/>
  <c r="L8" i="338"/>
  <c r="Q8" i="338"/>
  <c r="Q9" i="338"/>
  <c r="Q12" i="338"/>
  <c r="Q11" i="338"/>
  <c r="Q10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M11" i="338"/>
  <c r="AS11" i="338"/>
  <c r="AR9" i="338"/>
  <c r="AM12" i="338"/>
  <c r="AM8" i="338"/>
  <c r="AS10" i="338"/>
  <c r="AN11" i="338"/>
  <c r="AS9" i="338"/>
  <c r="AM9" i="338"/>
  <c r="AN12" i="338"/>
  <c r="AS8" i="338"/>
  <c r="AR12" i="338"/>
  <c r="AM10" i="338"/>
  <c r="AN9" i="338"/>
  <c r="AR10" i="338"/>
  <c r="AN10" i="338"/>
  <c r="AS12" i="338"/>
  <c r="AR11" i="338"/>
  <c r="AR8" i="338"/>
  <c r="AN8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3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<sst xmlns="http://schemas.openxmlformats.org/spreadsheetml/2006/main" count="4164" uniqueCount="1127">
  <si>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</si>
  <si>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</si>
  <si>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</si>
  <si>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</si>
  <si>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</si>
  <si>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</si>
  <si>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</si>
  <si>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</si>
  <si>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</si>
  <si>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</si>
  <si>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</si>
  <si>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</si>
  <si>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</si>
  <si>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</si>
  <si>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</si>
  <si>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</si>
  <si>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</si>
  <si>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</si>
  <si>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</si>
  <si>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</si>
  <si>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</si>
  <si>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</si>
  <si>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</si>
  <si>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</si>
  <si>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</si>
  <si>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</si>
  <si>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</si>
  <si>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</si>
  <si>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</si>
  <si>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</si>
  <si>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</si>
  <si>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</si>
  <si>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</si>
  <si>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</si>
  <si>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</si>
  <si>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</si>
  <si>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</si>
  <si>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</si>
  <si>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</si>
  <si>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</si>
  <si>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</si>
  <si>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</si>
  <si>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</si>
  <si>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</si>
  <si>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</si>
  <si>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</si>
  <si>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</si>
  <si>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</si>
  <si>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</si>
  <si>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</si>
  <si>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</si>
  <si>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</si>
  <si>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</si>
  <si>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</si>
  <si>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</si>
  <si>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</si>
  <si>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</si>
  <si>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</si>
  <si>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</si>
  <si>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</si>
  <si>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</si>
  <si>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</si>
  <si>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</si>
  <si>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</si>
  <si>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</si>
  <si>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</si>
  <si>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</si>
  <si>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</si>
  <si>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</si>
  <si>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</si>
  <si>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</si>
  <si>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</si>
  <si>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</si>
  <si>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</si>
  <si>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</si>
  <si>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</si>
  <si>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</si>
  <si>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</si>
  <si>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</si>
  <si>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</si>
  <si>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</si>
  <si>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</si>
  <si>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</si>
  <si>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</si>
  <si>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</si>
  <si>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</si>
  <si>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</si>
  <si>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</si>
  <si>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</si>
  <si>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</si>
  <si>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</si>
  <si>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</si>
  <si>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</si>
  <si>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</si>
  <si>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</si>
  <si>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</si>
  <si>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</si>
  <si>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</si>
  <si>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</si>
  <si>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</si>
  <si>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</si>
  <si>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</si>
  <si>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</si>
  <si>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</si>
  <si>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</si>
  <si>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</si>
  <si>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</si>
  <si>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</si>
  <si>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</si>
  <si>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</si>
  <si>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</si>
  <si>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</si>
  <si>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</si>
  <si>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</si>
  <si>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</si>
  <si>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</si>
  <si>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</si>
  <si>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</si>
  <si>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</si>
  <si>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</si>
  <si>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</si>
  <si>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</si>
  <si>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</si>
  <si>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</si>
  <si>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</si>
  <si>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</si>
  <si>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</si>
  <si>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</si>
  <si>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</si>
  <si>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</si>
  <si>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</si>
  <si>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</si>
  <si>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</si>
  <si>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</si>
  <si>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</si>
  <si>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</si>
  <si>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</si>
  <si>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</si>
  <si>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</si>
  <si>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</si>
  <si>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</si>
  <si>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</si>
  <si>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</si>
  <si>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</si>
  <si>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</si>
  <si>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</si>
  <si>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</si>
  <si>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</si>
  <si>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</si>
  <si>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</si>
  <si>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</si>
  <si>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</si>
  <si>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</si>
  <si>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</si>
  <si>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</si>
  <si>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</si>
  <si>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</si>
  <si>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</si>
  <si>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</si>
  <si>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</si>
  <si>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</si>
  <si>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</si>
  <si>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</si>
  <si>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</si>
  <si>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</si>
  <si>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</si>
  <si>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</si>
  <si>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</si>
  <si>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</si>
  <si>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</si>
  <si>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</si>
  <si>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</si>
  <si>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</si>
  <si>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</si>
  <si>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</si>
  <si>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</si>
  <si>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</si>
  <si>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</si>
  <si>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</si>
  <si>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</si>
  <si>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</si>
  <si>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</si>
  <si>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</si>
  <si>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</si>
  <si>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</si>
  <si>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</si>
  <si>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</si>
  <si>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</si>
  <si>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</si>
  <si>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</si>
  <si>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</si>
  <si>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</si>
  <si>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</si>
  <si>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</si>
  <si>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</si>
  <si>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</si>
  <si>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</si>
  <si>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</si>
  <si>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</si>
  <si>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</si>
  <si>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</si>
  <si>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</si>
  <si>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</si>
  <si>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</si>
  <si>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</si>
  <si>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</si>
  <si>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</si>
  <si>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</si>
  <si>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</si>
  <si>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</si>
  <si>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</si>
  <si>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</si>
  <si>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</si>
  <si>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</si>
  <si>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</si>
  <si>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</si>
  <si>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</si>
  <si>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</si>
  <si>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</si>
  <si>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</si>
  <si>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</si>
  <si>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</si>
  <si>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</si>
  <si>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</si>
  <si>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</si>
  <si>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</si>
  <si>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</si>
  <si>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</si>
  <si>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</si>
  <si>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</si>
  <si>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</si>
  <si>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</si>
  <si>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</si>
  <si>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</si>
  <si>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</si>
  <si>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</si>
  <si>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</si>
  <si>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</si>
  <si>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</si>
  <si>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</si>
  <si>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</si>
  <si>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</si>
  <si>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</si>
  <si>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</si>
  <si>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</si>
  <si>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</si>
  <si>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</si>
  <si>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</si>
  <si>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</si>
  <si>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</si>
  <si>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</si>
  <si>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</si>
  <si>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</si>
  <si>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</si>
  <si>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</si>
  <si>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</si>
  <si>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</si>
  <si>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</si>
  <si>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</si>
  <si>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</si>
  <si>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</si>
  <si>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</si>
  <si>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</si>
  <si>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</si>
  <si>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</si>
  <si>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</si>
  <si>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</si>
  <si>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</si>
  <si>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</si>
  <si>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</si>
  <si>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</si>
  <si>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</si>
  <si>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</si>
  <si>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</si>
  <si>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</si>
  <si>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</si>
  <si>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</si>
  <si>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</si>
  <si>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</si>
  <si>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</si>
  <si>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</si>
  <si>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</si>
  <si>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</si>
  <si>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</si>
  <si>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</si>
  <si>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</si>
  <si>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</si>
  <si>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</si>
  <si>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</si>
  <si>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</si>
  <si>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</si>
  <si>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</si>
  <si>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</si>
  <si>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</si>
  <si>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</si>
  <si>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</si>
  <si>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</si>
  <si>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</si>
  <si>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</si>
  <si>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</si>
  <si>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</si>
  <si>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</si>
  <si>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</si>
  <si>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</si>
  <si>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</si>
  <si>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</si>
  <si>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</si>
  <si>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</si>
  <si>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</si>
  <si>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</si>
  <si>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</si>
  <si>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</si>
  <si>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</si>
  <si>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</si>
  <si>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</si>
  <si>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</si>
  <si>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</si>
  <si>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</si>
  <si>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</si>
  <si>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</si>
  <si>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</si>
  <si>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</si>
  <si>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</si>
  <si>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</si>
  <si>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</si>
  <si>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</si>
  <si>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</si>
  <si>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</si>
  <si>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</si>
  <si>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</si>
  <si>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</si>
  <si>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</si>
  <si>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</si>
  <si>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</si>
  <si>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</si>
  <si>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</si>
  <si>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</si>
  <si>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</si>
  <si>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</si>
  <si>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</si>
  <si>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</si>
  <si>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</si>
  <si>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</si>
  <si>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</si>
  <si>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</si>
  <si>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</si>
  <si>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</si>
  <si>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</si>
  <si>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</si>
  <si>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</si>
  <si>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</si>
  <si>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</si>
  <si>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</si>
  <si>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</si>
  <si>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</si>
  <si>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</si>
  <si>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</si>
  <si>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</si>
  <si>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</si>
  <si>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</si>
  <si>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</si>
  <si>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</si>
  <si>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</si>
  <si>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</si>
  <si>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</si>
  <si>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</si>
  <si>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</si>
  <si>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</si>
  <si>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</si>
  <si>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</si>
  <si>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</si>
  <si>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</si>
  <si>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</si>
  <si>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</si>
  <si>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</si>
  <si>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</si>
  <si>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</si>
  <si>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</si>
  <si>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</si>
  <si>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</si>
  <si>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</si>
  <si>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</si>
  <si>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</si>
  <si>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</si>
  <si>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</si>
  <si>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</si>
  <si>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</si>
  <si>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</si>
  <si>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</si>
  <si>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</si>
  <si>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</si>
  <si>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</si>
  <si>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</si>
  <si>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</si>
  <si>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</si>
  <si>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</si>
  <si>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</si>
  <si>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</si>
  <si>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</si>
  <si>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</si>
  <si>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</si>
  <si>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</si>
  <si>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</si>
  <si>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</si>
  <si>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</si>
  <si>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</si>
  <si>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</si>
  <si>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</si>
  <si>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</si>
  <si>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</si>
  <si>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</si>
  <si>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</si>
  <si>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</si>
  <si>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</si>
  <si>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</si>
  <si>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</si>
  <si>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</si>
  <si>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</si>
  <si>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</si>
  <si>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</si>
  <si>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</si>
  <si>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</si>
  <si>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</si>
  <si>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</si>
  <si>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</si>
  <si>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</si>
  <si>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</si>
  <si>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</si>
  <si>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</si>
  <si>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</si>
  <si>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</si>
  <si>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</si>
  <si>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</si>
  <si>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</si>
  <si>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</si>
  <si>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</si>
  <si>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</si>
  <si>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</si>
  <si>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</si>
  <si>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</si>
  <si>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</si>
  <si>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</si>
  <si>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</si>
  <si>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</si>
  <si>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</si>
  <si>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</si>
  <si>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</si>
  <si>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</si>
  <si>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</si>
  <si>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</si>
  <si>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</si>
  <si>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</si>
  <si>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</si>
  <si>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</si>
  <si>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</si>
  <si>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</si>
  <si>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</si>
  <si>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</si>
  <si>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</si>
  <si>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</si>
  <si>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</si>
  <si>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</si>
  <si>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</si>
  <si>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</si>
  <si>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</si>
  <si>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</si>
  <si>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</si>
  <si>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</si>
  <si>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</si>
  <si>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</si>
  <si>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</si>
  <si>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</si>
  <si>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</si>
  <si>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</si>
  <si>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</si>
  <si>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</si>
  <si>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</si>
  <si>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</si>
  <si>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</si>
  <si>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</si>
  <si>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</si>
  <si>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</si>
  <si>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</si>
  <si>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</si>
  <si>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</si>
  <si>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</si>
  <si>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</si>
  <si>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</si>
  <si>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</si>
  <si>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</si>
  <si>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</si>
  <si>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</si>
  <si>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</si>
  <si>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</si>
  <si>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</si>
  <si>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</si>
  <si>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</si>
  <si>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</si>
  <si>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</si>
  <si>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</si>
  <si>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</si>
  <si>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</si>
  <si>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</si>
  <si>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</si>
  <si>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</si>
  <si>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</si>
  <si>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</si>
  <si>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</si>
  <si>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</si>
  <si>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</si>
  <si>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</si>
  <si>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</si>
  <si>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</si>
  <si>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</si>
  <si>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</si>
  <si>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</si>
  <si>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</si>
  <si>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</si>
  <si>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</si>
  <si>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</si>
  <si>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</si>
  <si>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</si>
  <si>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</si>
  <si>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</si>
  <si>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</si>
  <si>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</si>
  <si>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</si>
  <si>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</si>
  <si>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</si>
  <si>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</si>
  <si>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</si>
  <si>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</si>
  <si>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</si>
  <si>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</si>
  <si>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</si>
  <si>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</si>
  <si>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</si>
  <si>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</si>
  <si>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</si>
  <si>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</si>
  <si>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</si>
  <si>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</si>
  <si>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</si>
  <si>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</si>
  <si>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</si>
  <si>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</si>
  <si>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</si>
  <si>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</si>
  <si>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</si>
  <si>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</si>
  <si>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</si>
  <si>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</si>
  <si>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</si>
  <si>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</si>
  <si>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</si>
  <si>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</si>
  <si>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</si>
  <si>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</si>
  <si>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</si>
  <si>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</si>
  <si>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</si>
  <si>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</si>
  <si>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</si>
  <si>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</si>
  <si>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</si>
  <si>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</si>
  <si>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</si>
  <si>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</si>
  <si>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</si>
  <si>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</si>
  <si>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</si>
  <si>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</si>
  <si>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</si>
  <si>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</si>
  <si>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</si>
  <si>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</si>
  <si>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</si>
  <si>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</si>
  <si>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</si>
  <si>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</si>
  <si>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</si>
  <si>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</si>
  <si>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</si>
  <si>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</si>
  <si>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</si>
  <si>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</si>
  <si>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</si>
  <si>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</si>
  <si>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</si>
  <si>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</si>
  <si>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</si>
  <si>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</si>
  <si>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</si>
  <si>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</si>
  <si>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</si>
  <si>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</si>
  <si>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</si>
  <si>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</si>
  <si>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</si>
  <si>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</si>
  <si>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</si>
  <si>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</si>
  <si>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</si>
  <si>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</si>
  <si>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</si>
  <si>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</si>
  <si>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</si>
  <si>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</si>
  <si>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</si>
  <si>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</si>
  <si>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</si>
  <si>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</si>
  <si>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</si>
  <si>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</si>
  <si>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</si>
  <si>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</si>
  <si>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</si>
  <si>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</si>
  <si>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</si>
  <si>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</si>
  <si>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</si>
  <si>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</si>
  <si>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</si>
  <si>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</si>
  <si>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</si>
  <si>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</si>
  <si>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</si>
  <si>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</si>
  <si>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</si>
  <si>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</si>
  <si>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</si>
  <si>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</si>
  <si>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</si>
  <si>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</si>
  <si>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</si>
  <si>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</si>
  <si>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</si>
  <si>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</si>
  <si>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</si>
  <si>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</si>
  <si>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</si>
  <si>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</si>
  <si>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</si>
  <si>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</si>
  <si>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</si>
  <si>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</si>
  <si>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</si>
  <si>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</si>
  <si>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</si>
  <si>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</si>
  <si>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</si>
  <si>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</si>
  <si>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</si>
  <si>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</si>
  <si>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</si>
  <si>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</si>
  <si>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</si>
  <si>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</si>
  <si>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</si>
  <si>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</si>
  <si>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</si>
  <si>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</si>
  <si>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</si>
  <si>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</si>
  <si>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</si>
  <si>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</si>
  <si>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</si>
  <si>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</si>
  <si>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</si>
  <si>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</si>
  <si>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</si>
  <si>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</si>
  <si>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</si>
  <si>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</si>
  <si>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</si>
  <si>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</si>
  <si>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</si>
  <si>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</si>
  <si>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</si>
  <si>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</si>
  <si>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</si>
  <si>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</si>
  <si>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</si>
  <si>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</si>
  <si>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</si>
  <si>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</si>
  <si>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</si>
  <si>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</si>
  <si>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</si>
  <si>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</si>
  <si>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</si>
  <si>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</si>
  <si>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</si>
  <si>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</si>
  <si>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</si>
  <si>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</si>
  <si>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</si>
  <si>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</si>
  <si>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</si>
  <si>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</si>
  <si>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</si>
  <si>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</si>
  <si>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</si>
  <si>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</si>
  <si>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</si>
  <si>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</si>
  <si>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</si>
  <si>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</si>
  <si>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</si>
  <si>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</si>
  <si>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</si>
  <si>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</si>
  <si>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</si>
  <si>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</si>
  <si>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</si>
  <si>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</si>
  <si>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</si>
  <si>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</si>
  <si>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</si>
  <si>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</si>
  <si>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</si>
  <si>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</si>
  <si>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</si>
  <si>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</si>
  <si>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</si>
  <si>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</si>
  <si>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</si>
  <si>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</si>
  <si>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</si>
  <si>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</si>
  <si>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</si>
  <si>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</si>
  <si>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</si>
  <si>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</si>
  <si>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</si>
  <si>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</si>
  <si>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</si>
  <si>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</si>
  <si>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</si>
  <si>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</si>
  <si>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</si>
  <si>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</si>
  <si>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</si>
  <si>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</si>
  <si>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</si>
  <si>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</si>
  <si>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</si>
  <si>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</si>
  <si>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</si>
  <si>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</si>
  <si>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</si>
  <si>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</si>
  <si>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</si>
  <si>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</si>
  <si>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</si>
  <si>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</si>
  <si>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</si>
  <si>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</si>
  <si>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</si>
  <si>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</si>
  <si>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</si>
  <si>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</si>
  <si>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</si>
  <si>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</si>
  <si>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</si>
  <si>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</si>
  <si>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</si>
  <si>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</si>
  <si>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</si>
  <si>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</si>
  <si>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</si>
  <si>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</si>
  <si>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</si>
  <si>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</si>
  <si>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</si>
  <si>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</si>
  <si>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</si>
  <si>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</si>
  <si>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</si>
  <si>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</si>
  <si>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</si>
  <si>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</si>
  <si>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</si>
  <si>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</si>
  <si>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</si>
  <si>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</si>
  <si>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</si>
  <si>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</si>
  <si>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</si>
  <si>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</si>
  <si>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</si>
  <si>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</si>
  <si>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</si>
  <si>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</si>
  <si>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</si>
  <si>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</si>
  <si>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</si>
  <si>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</si>
  <si>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</si>
  <si>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</si>
  <si>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</si>
  <si>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</si>
  <si>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</si>
  <si>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</si>
  <si>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</si>
  <si>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</si>
  <si>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</si>
  <si>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</si>
  <si>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</si>
  <si>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</si>
  <si>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</si>
  <si>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</si>
  <si>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</si>
  <si>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</si>
  <si>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</si>
  <si>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</si>
  <si>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</si>
  <si>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</si>
  <si>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</si>
  <si>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</si>
  <si>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</si>
  <si>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</si>
  <si>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</si>
  <si>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</si>
  <si>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</si>
  <si>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</si>
  <si>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</si>
  <si>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</si>
  <si>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</si>
  <si>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</si>
  <si>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</si>
  <si>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Pairs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</si>
  <si>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</si>
  <si>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</si>
  <si>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</si>
  <si>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</si>
  <si>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</si>
  <si>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</si>
  <si>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</si>
  <si>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</si>
  <si>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</si>
  <si>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</si>
  <si>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</si>
  <si>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</si>
  <si>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</si>
  <si>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</si>
  <si>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</si>
  <si>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</si>
  <si>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</si>
  <si>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</si>
  <si>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</si>
  <si>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</si>
  <si>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</si>
  <si>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</si>
  <si>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</si>
  <si>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</si>
  <si>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</si>
  <si>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</si>
  <si>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</si>
  <si>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</si>
  <si>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</si>
  <si>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</si>
  <si>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</si>
  <si>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</si>
  <si>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</si>
  <si>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</si>
  <si>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</si>
  <si>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</si>
  <si>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</si>
  <si>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</si>
  <si>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</si>
  <si>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</si>
  <si>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</si>
  <si>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</si>
  <si>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</si>
  <si>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</si>
  <si>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</si>
  <si>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</si>
  <si>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</si>
  <si>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</si>
  <si>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</si>
  <si>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</si>
  <si>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</si>
  <si>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</si>
  <si>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</si>
  <si>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</si>
  <si>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</si>
  <si>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</si>
  <si>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</si>
  <si>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</si>
  <si>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</si>
  <si>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</si>
  <si>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</si>
  <si>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</si>
  <si>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</si>
  <si>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</si>
  <si>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</si>
  <si>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</si>
  <si>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</si>
  <si>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</si>
  <si>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</si>
  <si>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</si>
  <si>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</si>
  <si>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</si>
  <si>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</si>
  <si>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</si>
  <si>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</si>
  <si>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</si>
  <si>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</si>
  <si>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</si>
  <si>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</si>
  <si>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</si>
  <si>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</si>
  <si>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</si>
  <si>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</si>
  <si>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</si>
  <si>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</si>
  <si>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</si>
  <si>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</si>
  <si>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</si>
  <si>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</si>
  <si>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</si>
  <si>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</si>
  <si>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</si>
  <si>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</si>
  <si>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</si>
  <si>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</si>
  <si>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</si>
  <si>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</si>
  <si>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</si>
  <si>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</si>
  <si>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</si>
  <si>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</si>
  <si>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</si>
  <si>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</si>
  <si>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</si>
  <si>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</si>
  <si>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</si>
  <si>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</si>
  <si>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</si>
  <si>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</si>
  <si>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</si>
  <si>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</si>
  <si>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</si>
  <si>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</si>
  <si>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</si>
  <si>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</si>
  <si>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</si>
  <si>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</si>
  <si>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</si>
  <si>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</si>
  <si>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</si>
  <si>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</si>
  <si>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</si>
  <si>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</si>
  <si>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</si>
  <si>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</si>
  <si>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</si>
  <si>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</si>
  <si>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</si>
  <si>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</si>
  <si>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</si>
  <si>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</si>
  <si>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</si>
  <si>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</si>
  <si>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</si>
  <si>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</si>
  <si>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</si>
  <si>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</si>
  <si>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</si>
  <si>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</si>
  <si>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</si>
  <si>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</si>
  <si>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</si>
  <si>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</si>
  <si>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</si>
  <si>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</si>
  <si>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</si>
  <si>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</si>
  <si>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</si>
  <si>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</si>
  <si>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</si>
  <si>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</si>
  <si>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</si>
  <si>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</si>
  <si>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</si>
  <si>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</si>
  <si>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</si>
  <si>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</si>
  <si>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</si>
  <si>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</si>
  <si>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</si>
  <si>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</si>
  <si>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</si>
  <si>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</si>
  <si>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</si>
  <si>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</si>
  <si>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</si>
  <si>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</si>
  <si>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</si>
  <si>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</si>
  <si>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</si>
  <si>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</si>
  <si>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</si>
  <si>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</si>
  <si>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</si>
  <si>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</si>
  <si>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</si>
  <si>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</si>
  <si>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</si>
  <si>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</si>
  <si>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</si>
  <si>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</si>
  <si>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</si>
  <si>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</si>
  <si>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</si>
  <si>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</si>
  <si>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</si>
  <si>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</si>
  <si>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</si>
  <si>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</si>
  <si>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</si>
  <si>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</si>
  <si>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</si>
  <si>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</si>
  <si>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</si>
  <si>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</si>
  <si>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</si>
  <si>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</si>
  <si>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</si>
  <si>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</si>
  <si>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</si>
  <si>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</si>
  <si>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</si>
  <si>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</si>
  <si>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</si>
  <si>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</si>
  <si>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</si>
  <si>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</si>
  <si>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</si>
  <si>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</si>
  <si>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</si>
  <si>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</si>
  <si>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</si>
  <si>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</si>
  <si>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</si>
  <si>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</si>
  <si>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</si>
  <si>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</si>
  <si>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</si>
  <si>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</si>
  <si>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</si>
  <si>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</si>
  <si>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</si>
  <si>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</si>
  <si>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</si>
  <si>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</si>
  <si>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</si>
  <si>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</si>
  <si>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</si>
  <si>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</si>
  <si>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</si>
  <si>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</si>
  <si>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</si>
  <si>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</si>
  <si>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</si>
  <si>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</si>
  <si>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</si>
  <si>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</si>
  <si>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</si>
  <si>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</si>
  <si>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12/18/26 C250</t>
  </si>
  <si>
    <t>AMZN US 12/18/26 C230</t>
  </si>
  <si>
    <t>AMZN US 07/17/26 C230</t>
  </si>
  <si>
    <t>AMZN US 07/17/26 P180</t>
  </si>
  <si>
    <t>AMZN US 12/18/26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</si>
  <si>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</si>
  <si>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</si>
  <si>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</si>
  <si>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</si>
  <si>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</si>
  <si>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</si>
  <si>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</si>
  <si>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</si>
  <si>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</si>
  <si>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</si>
  <si>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</si>
  <si>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</si>
  <si>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</si>
  <si>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</si>
  <si>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</si>
  <si>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</si>
  <si>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</si>
  <si>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</si>
  <si>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</si>
  <si>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</si>
  <si>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</si>
  <si>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</si>
  <si>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</si>
  <si>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</si>
  <si>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NVDA US 03/20/26 C210</t>
  </si>
  <si>
    <t>QQQ US 02/13/26 P595</t>
  </si>
  <si>
    <t>QQQ US 02/13/26 P590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</si>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</sst>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166" fontId="0" fillId="0" borderId="4" xfId="0" applyNumberFormat="1" applyBorder="1" applyAlignment="1">
      <alignment horizontal="right"/>
    </xf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0" xfId="0" applyNumberFormat="1" applyFill="1" applyAlignment="1">
      <alignment horizontal="right"/>
    </xf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43" fontId="0" fillId="0" borderId="52" xfId="190" applyNumberFormat="1" applyFont="1" applyFill="1" applyBorder="1" applyAlignment="1">
      <alignment horizontal="right"/>
    </xf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 applyAlignment="1">
      <alignment horizontal="right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3" xfId="0" applyFont="1" applyFill="1" applyBorder="1" applyAlignment="1">
      <alignment horizontal="left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2" borderId="56" xfId="0" applyFont="1" applyFill="1" applyBorder="1" applyAlignment="1">
      <alignment horizontal="center"/>
    </xf>
    <xf numFmtId="0" fontId="89" fillId="91" borderId="60" xfId="0" applyFont="1" applyFill="1" applyBorder="1" applyAlignment="1">
      <alignment horizontal="center"/>
    </xf>
    <xf numFmtId="0" fontId="89" fillId="90" borderId="56" xfId="0" applyFont="1" applyFill="1" applyBorder="1" applyAlignment="1">
      <alignment horizontal="center"/>
    </xf>
    <xf numFmtId="14" fontId="101" fillId="93" borderId="0" xfId="0" applyNumberFormat="1" applyFont="1" applyFill="1" applyAlignment="1">
      <alignment horizontal="center"/>
    </xf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94" borderId="0" xfId="0" applyFont="1" applyFill="1" applyAlignment="1">
      <alignment horizontal="center"/>
    </xf>
    <xf numFmtId="0" fontId="101" fillId="94" borderId="18" xfId="0" applyFont="1" applyFill="1" applyBorder="1" applyAlignment="1">
      <alignment horizontal="center"/>
    </xf>
    <xf numFmtId="0" fontId="101" fillId="94" borderId="1" xfId="0" applyFont="1" applyFill="1" applyBorder="1" applyAlignment="1">
      <alignment horizontal="center"/>
    </xf>
    <xf numFmtId="0" fontId="102" fillId="0" borderId="0" xfId="0" applyFont="1"/>
    <xf numFmtId="0" fontId="101" fillId="0" borderId="0" xfId="0" applyFont="1"/>
    <xf numFmtId="0" fontId="101" fillId="95" borderId="0" xfId="0" applyFont="1" applyFill="1" applyAlignment="1">
      <alignment horizontal="center"/>
    </xf>
    <xf numFmtId="0" fontId="101" fillId="95" borderId="18" xfId="0" applyFont="1" applyFill="1" applyBorder="1" applyAlignment="1">
      <alignment horizontal="center"/>
    </xf>
    <xf numFmtId="0" fontId="101" fillId="95" borderId="1" xfId="0" applyFont="1" applyFill="1" applyBorder="1" applyAlignment="1">
      <alignment horizontal="center"/>
    </xf>
    <xf numFmtId="0" fontId="101" fillId="96" borderId="0" xfId="0" applyFont="1" applyFill="1" applyAlignment="1">
      <alignment horizontal="center"/>
    </xf>
    <xf numFmtId="0" fontId="103" fillId="0" borderId="0" xfId="0" applyFont="1"/>
    <xf numFmtId="0" fontId="101" fillId="97" borderId="0" xfId="0" applyFont="1" applyFill="1" applyAlignment="1">
      <alignment horizontal="center"/>
    </xf>
    <xf numFmtId="0" fontId="101" fillId="0" borderId="18" xfId="0" applyFont="1" applyBorder="1" applyAlignment="1">
      <alignment horizontal="center"/>
    </xf>
    <xf numFmtId="0" fontId="101" fillId="0" borderId="1" xfId="0" applyFont="1" applyBorder="1" applyAlignment="1">
      <alignment horizontal="center"/>
    </xf>
    <xf numFmtId="0" fontId="104" fillId="95" borderId="0" xfId="0" applyFont="1" applyFill="1" applyAlignment="1">
      <alignment horizontal="center"/>
    </xf>
    <xf numFmtId="0" fontId="104" fillId="0" borderId="0" xfId="0" applyFont="1" applyAlignment="1">
      <alignment horizontal="center"/>
    </xf>
    <xf numFmtId="0" fontId="104" fillId="95" borderId="18" xfId="0" applyFont="1" applyFill="1" applyBorder="1" applyAlignment="1">
      <alignment horizontal="center"/>
    </xf>
    <xf numFmtId="0" fontId="104" fillId="95" borderId="1" xfId="0" applyFont="1" applyFill="1" applyBorder="1" applyAlignment="1">
      <alignment horizontal="center"/>
    </xf>
    <xf numFmtId="0" fontId="104" fillId="0" borderId="0" xfId="0" applyFont="1"/>
    <xf numFmtId="14" fontId="104" fillId="93" borderId="0" xfId="0" applyNumberFormat="1" applyFont="1" applyFill="1" applyAlignment="1">
      <alignment horizontal="center"/>
    </xf>
    <xf numFmtId="0" fontId="104" fillId="0" borderId="19" xfId="0" applyFont="1" applyBorder="1" applyAlignment="1">
      <alignment horizontal="center"/>
    </xf>
    <xf numFmtId="0" fontId="105" fillId="0" borderId="0" xfId="0" applyFont="1" applyAlignment="1">
      <alignment vertical="center" wrapText="1"/>
    </xf>
    <xf numFmtId="0" fontId="101" fillId="0" borderId="0" xfId="0" applyFont="1" applyAlignment="1">
      <alignment horizontal="left"/>
    </xf>
    <xf numFmtId="0" fontId="105" fillId="0" borderId="0" xfId="0" applyFont="1"/>
    <xf numFmtId="14" fontId="101" fillId="0" borderId="0" xfId="0" applyNumberFormat="1" applyFont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11" fontId="101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172" fontId="0" fillId="2" borderId="46" xfId="1" applyNumberFormat="1" applyFont="1" applyFill="1" applyBorder="1"/>
    <xf numFmtId="0" fontId="0" fillId="2" borderId="48" xfId="0" applyFill="1" applyBorder="1"/>
    <xf numFmtId="0" fontId="0" fillId="2" borderId="48" xfId="0" applyFill="1" applyBorder="1" applyAlignment="1">
      <alignment horizontal="center"/>
    </xf>
    <xf numFmtId="166" fontId="0" fillId="2" borderId="48" xfId="190" applyNumberFormat="1" applyFont="1" applyFill="1" applyBorder="1"/>
    <xf numFmtId="166" fontId="0" fillId="2" borderId="48" xfId="0" applyNumberFormat="1" applyFill="1" applyBorder="1" applyAlignment="1">
      <alignment horizontal="right"/>
    </xf>
    <xf numFmtId="43" fontId="0" fillId="2" borderId="48" xfId="190" applyNumberFormat="1" applyFont="1" applyFill="1" applyBorder="1"/>
    <xf numFmtId="10" fontId="0" fillId="2" borderId="51" xfId="1" applyNumberFormat="1" applyFont="1" applyFill="1" applyBorder="1"/>
    <xf numFmtId="43" fontId="0" fillId="2" borderId="52" xfId="190" applyNumberFormat="1" applyFont="1" applyFill="1" applyBorder="1" applyAlignment="1">
      <alignment horizontal="right"/>
    </xf>
    <xf numFmtId="168" fontId="0" fillId="2" borderId="48" xfId="190" applyNumberFormat="1" applyFont="1" applyFill="1" applyBorder="1"/>
    <xf numFmtId="166" fontId="0" fillId="2" borderId="51" xfId="190" applyNumberFormat="1" applyFont="1" applyFill="1" applyBorder="1"/>
    <xf numFmtId="196" fontId="0" fillId="2" borderId="48" xfId="1" applyNumberFormat="1" applyFont="1" applyFill="1" applyBorder="1"/>
    <xf numFmtId="170" fontId="0" fillId="2" borderId="51" xfId="190" applyNumberFormat="1" applyFont="1" applyFill="1" applyBorder="1"/>
    <xf numFmtId="10" fontId="0" fillId="2" borderId="48" xfId="1" applyNumberFormat="1" applyFont="1" applyFill="1" applyBorder="1"/>
    <xf numFmtId="166" fontId="0" fillId="2" borderId="48" xfId="0" applyNumberFormat="1" applyFill="1" applyBorder="1"/>
    <xf numFmtId="173" fontId="0" fillId="2" borderId="48" xfId="1" applyNumberFormat="1" applyFont="1" applyFill="1" applyBorder="1"/>
    <xf numFmtId="170" fontId="0" fillId="2" borderId="47" xfId="190" applyNumberFormat="1" applyFont="1" applyFill="1" applyBorder="1"/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0" fontId="108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left"/>
    </xf>
    <xf numFmtId="172" fontId="107" fillId="0" borderId="0" xfId="0" applyNumberFormat="1" applyFont="1"/>
    <xf numFmtId="10" fontId="107" fillId="0" borderId="0" xfId="0" applyNumberFormat="1" applyFont="1"/>
    <xf numFmtId="0" fontId="107" fillId="0" borderId="0" xfId="0" applyFont="1" applyAlignment="1">
      <alignment horizontal="left" indent="1"/>
    </xf>
    <xf numFmtId="170" fontId="107" fillId="0" borderId="0" xfId="0" applyNumberFormat="1" applyFont="1"/>
    <xf numFmtId="10" fontId="107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center" vertical="center" wrapText="1"/>
    </xf>
    <xf numFmtId="172" fontId="83" fillId="0" borderId="0" xfId="1" applyNumberFormat="1" applyFont="1"/>
    <xf numFmtId="43" fontId="1" fillId="2" borderId="19" xfId="190" applyNumberFormat="1" applyFont="1" applyFill="1" applyBorder="1" applyAlignment="1">
      <alignment horizontal="right"/>
    </xf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0.47481134533882141</v>
        <stp/>
        <stp>BDP|10791202107153378113|22</stp>
        <stp>LITE US 06/18/26 C720 Equity</stp>
        <stp>DELTA_MID_RT</stp>
        <tr r="AF14" s="2"/>
      </tp>
      <tp>
        <v>6.5561644732952118E-2</v>
        <stp/>
        <stp>BDP|15245838115152511120|22</stp>
        <stp>LITE US 02/20/26 C690 Equity</stp>
        <stp>DELTA_MID_RT</stp>
        <tr r="W7" s="89"/>
      </tp>
      <tp>
        <v>407.72</v>
        <stp/>
        <stp>BDP|4064022148367835219|22</stp>
        <stp>SMH Equity</stp>
        <stp>LAST PRICE</stp>
        <tr r="I11" s="338"/>
        <tr r="I12" s="338"/>
        <tr r="I10" s="338"/>
      </tp>
      <tp t="s">
        <v>USD</v>
        <stp/>
        <stp>BDP|2490195519672700929|22</stp>
        <stp>MRVL US 03/20/26 P70 Equity</stp>
        <stp>QUOTED_CURRENCY_REALTIME</stp>
        <tr r="G16" s="2"/>
      </tp>
      <tp>
        <v>-0.70740604400634766</v>
        <stp/>
        <stp>BDP|9213052635530371554|22</stp>
        <stp>QQQ US 02/20/26 P600 Equity</stp>
        <stp>theta_mid_rt</stp>
        <tr r="AN23" s="2"/>
      </tp>
      <tp>
        <v>-0.27932128310203552</v>
        <stp/>
        <stp>BDP|13093442189291786816|22</stp>
        <stp>AMZN US 07/17/26 P180 Equity</stp>
        <stp>DELTA_MID_RT</stp>
        <tr r="W105" s="89"/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4.88</v>
        <stp/>
        <stp>BDP|4964852036923624875|22</stp>
        <stp>NVDA US 03/20/26 C200 Equity</stp>
        <stp>mid</stp>
        <tr r="L21" s="2"/>
      </tp>
      <tp>
        <v>0.31831291317939758</v>
        <stp/>
        <stp>BDP|16080044180315030458|22</stp>
        <stp>META US 04/17/26 C690 Equity</stp>
        <stp>DELTA_MID_RT</stp>
        <tr r="W77" s="89"/>
      </tp>
      <tp>
        <v>1.41</v>
        <stp/>
        <stp>BDP|3408059478776228087|22</stp>
        <stp>NVDA US 03/20/26 C220 Equity</stp>
        <stp>mid</stp>
        <tr r="L22" s="2"/>
      </tp>
      <tp>
        <v>6847.25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44" s="89"/>
        <tr r="W43" s="89"/>
        <tr r="W87" s="89"/>
        <tr r="W86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24" s="1"/>
      </tp>
      <tp>
        <v>-0.15792374312877655</v>
        <stp/>
        <stp>BDP|2162853239863021436|22</stp>
        <stp>TSM US 06/18/26 C380 Equity</stp>
        <stp>theta_mid_rt</stp>
        <tr r="AN28" s="2"/>
      </tp>
      <tp>
        <v>0.30694511532783508</v>
        <stp/>
        <stp>BDP|13157347630392877266|22</stp>
        <stp>ASHR US 02/27/26 C35 Equity</stp>
        <stp>DELTA_MID_RT</stp>
        <tr r="AF7" s="2"/>
      </tp>
      <tp>
        <v>0.32702887058258057</v>
        <stp/>
        <stp>BDP|10012779820456568860|22</stp>
        <stp>META US 02/27/26 C660 Equity</stp>
        <stp>DELTA_MID_RT</stp>
        <tr r="W88" s="89"/>
      </tp>
      <tp>
        <v>31.93</v>
        <stp/>
        <stp>BDP|4238048935133024019|22</stp>
        <stp>AVGO US 06/18/26 C350 Equity</stp>
        <stp>mid</stp>
        <tr r="L8" s="2"/>
      </tp>
      <tp>
        <v>9.3000000000000007</v>
        <stp/>
        <stp>BDP|7463417341903513692|22</stp>
        <stp>AMZN US 07/17/26 P180 Equity</stp>
        <stp>bid</stp>
        <tr r="K105" s="89"/>
        <tr r="P5" s="2"/>
      </tp>
      <tp>
        <v>-0.46457856893539429</v>
        <stp/>
        <stp>BDP|2900217985434412906|22</stp>
        <stp>QQQ US 02/27/26 P590 Equity</stp>
        <stp>theta_mid_rt</stp>
        <tr r="AN25" s="2"/>
      </tp>
      <tp>
        <v>0.32216265797615051</v>
        <stp/>
        <stp>BDP|11241200936261057653|22</stp>
        <stp>AMZN US 07/17/26 C230 Equity</stp>
        <stp>DELTA_MID_RT</stp>
        <tr r="W104" s="89"/>
      </tp>
      <tp>
        <v>-0.29878926277160645</v>
        <stp/>
        <stp>BDP|18001919194302070479|22</stp>
        <stp>AMZN US 12/18/26 P180 Equity</stp>
        <stp>DELTA_MID_RT</stp>
        <tr r="W96" s="89"/>
      </tp>
      <tp>
        <v>4.8499999999999996</v>
        <stp/>
        <stp>BDP|9604112188718859926|22</stp>
        <stp>NVDA US 03/20/26 C200 Equity</stp>
        <stp>bid</stp>
        <tr r="K13" s="89"/>
        <tr r="P21" s="2"/>
      </tp>
      <tp>
        <v>9.3800000000000008</v>
        <stp/>
        <stp>BDP|3678808639218715288|22</stp>
        <stp>AMZN US 07/17/26 P180 Equity</stp>
        <stp>mid</stp>
        <tr r="L5" s="2"/>
      </tp>
      <tp>
        <v>0.12</v>
        <stp/>
        <stp>BDP|8600931655594281031|22</stp>
        <stp>CSCO US 04/17/26 C100 Equity</stp>
        <stp>ask</stp>
        <tr r="Q10" s="2"/>
      </tp>
      <tp t="s">
        <v>#N/A Real Time</v>
        <stp/>
        <stp>BDP|2533983096932488351|22</stp>
        <stp>RTYWU5C3 2425 Index</stp>
        <stp>bid</stp>
        <tr r="K52" s="89"/>
      </tp>
      <tp>
        <v>5.835263803601265E-2</v>
        <stp/>
        <stp>BDP|14091170888152008254|22</stp>
        <stp>ASHR US 02/20/26 C35 Equity</stp>
        <stp>DELTA_MID_RT</stp>
        <tr r="AF6" s="2"/>
      </tp>
      <tp>
        <v>0.37</v>
        <stp/>
        <stp>BDP|3134495704994157257|22</stp>
        <stp>CSCO US 07/17/26 C100 Equity</stp>
        <stp>bid</stp>
        <tr r="K20" s="89"/>
        <tr r="P11" s="2"/>
      </tp>
      <tp>
        <v>2.65</v>
        <stp/>
        <stp>BDP|8055695907609897797|22</stp>
        <stp>NVDA US 03/20/26 C210 Equity</stp>
        <stp>bid</stp>
        <tr r="K14" s="89"/>
      </tp>
      <tp>
        <v>0.41200947761535645</v>
        <stp/>
        <stp>BDP|13298101022063198194|22</stp>
        <stp>META US 07/17/26 C700 Equity</stp>
        <stp>DELTA_MID_RT</stp>
        <tr r="W79" s="89"/>
      </tp>
      <tp>
        <v>401.32</v>
        <stp/>
        <stp>BDP|274803756834169207|22</stp>
        <stp>MSFT EQUITY</stp>
        <stp>LAST_PRICE</stp>
        <tr r="C7" s="1"/>
      </tp>
      <tp>
        <v>24783.5</v>
        <stp/>
        <stp>BDP|15202915405080361753|22</stp>
        <stp>NQA index</stp>
        <stp>LAST_PRICE</stp>
        <tr r="AG1" s="1"/>
      </tp>
      <tp>
        <v>-0.27933627367019653</v>
        <stp/>
        <stp>BDP|12625852508096869257|22</stp>
        <stp>NFLX US 05/15/26 P70 Equity</stp>
        <stp>DELTA_MID_RT</stp>
        <tr r="AF19" s="2"/>
      </tp>
      <tp>
        <v>0.61</v>
        <stp/>
        <stp>BDP|2776005219137568435|22</stp>
        <stp>CSCO US 07/17/26 C100 Equity</stp>
        <stp>ask</stp>
        <tr r="L20" s="89"/>
        <tr r="Q11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2" s="2"/>
      </tp>
      <tp>
        <v>-4.7091946005821228E-2</v>
        <stp/>
        <stp>BDP|378959552877824203|22</stp>
        <stp>AMZN US 07/17/26 C240 Equity</stp>
        <stp>theta_mid_rt</stp>
        <tr r="AN4" s="2"/>
      </tp>
      <tp>
        <v>1.42</v>
        <stp/>
        <stp>BDP|5807117732816914686|22</stp>
        <stp>NVDA US 03/20/26 C220 Equity</stp>
        <stp>ask</stp>
        <tr r="Q22" s="2"/>
      </tp>
      <tp>
        <v>0.08</v>
        <stp/>
        <stp>BDP|6891644660652723106|22</stp>
        <stp>CSCO US 04/17/26 C100 Equity</stp>
        <stp>bid</stp>
        <tr r="P10" s="2"/>
      </tp>
      <tp>
        <v>-0.65502607822418213</v>
        <stp/>
        <stp>BDP|6890868382895665167|22</stp>
        <stp>QQQ US 02/20/26 P590 Equity</stp>
        <stp>theta_mid_rt</stp>
        <tr r="AN24" s="2"/>
      </tp>
      <tp>
        <v>10.4</v>
        <stp/>
        <stp>BDP|5246680316890063223|22</stp>
        <stp>NVDA US 05/15/26 C200 Equity</stp>
        <stp>bid</stp>
        <tr r="P20" s="2"/>
      </tp>
      <tp>
        <v>0.4282907247543335</v>
        <stp/>
        <stp>BDP|16985722978677522801|22</stp>
        <stp>AMZN US 12/18/26 C230 Equity</stp>
        <stp>DELTA_MID_RT</stp>
        <tr r="W95" s="89"/>
      </tp>
      <tp>
        <v>23.9</v>
        <stp/>
        <stp>BDP|3590605343208203473|22</stp>
        <stp>META US 07/17/26 C750 Equity</stp>
        <stp>ask</stp>
        <tr r="Q15" s="2"/>
      </tp>
      <tp>
        <v>0.25</v>
        <stp/>
        <stp>BDP|1884526111144918673|22</stp>
        <stp>LITE US 02/20/26 C690 Equity</stp>
        <stp>bid</stp>
        <tr r="K7" s="89"/>
      </tp>
      <tp t="s">
        <v>#N/A Requesting Data...845329881</v>
        <stp/>
        <stp>BDP|17013938858517156635</stp>
        <tr r="AR12" s="2"/>
      </tp>
      <tp t="s">
        <v>#N/A Requesting Data...2553396018</v>
        <stp/>
        <stp>BDP|10279292815169732005</stp>
        <tr r="AG24" s="1"/>
      </tp>
      <tp t="s">
        <v>#N/A Requesting Data...1967675947</v>
        <stp/>
        <stp>BDP|15582332073698885344</stp>
        <tr r="G19" s="446"/>
      </tp>
      <tp t="s">
        <v>#N/A Requesting Data...3309122227</v>
        <stp/>
        <stp>BDP|18146375769712507536</stp>
        <tr r="E2" s="1"/>
      </tp>
      <tp t="s">
        <v>#N/A Requesting Data...3217194740</v>
        <stp/>
        <stp>BDP|13242021194324911410</stp>
        <tr r="Q11" s="338"/>
      </tp>
      <tp t="s">
        <v>#N/A Requesting Data...1138583918</v>
        <stp/>
        <stp>BDP|10639276692284852548</stp>
        <tr r="F28" s="446"/>
      </tp>
      <tp t="s">
        <v>#N/A Requesting Data...1286775791</v>
        <stp/>
        <stp>BDP|13787613079740634862</stp>
        <tr r="C11" s="2"/>
      </tp>
      <tp t="s">
        <v>#N/A Requesting Data...3733603294</v>
        <stp/>
        <stp>BDP|16988359206909621622</stp>
        <tr r="AB16" s="1"/>
        <tr r="AB17" s="1"/>
      </tp>
      <tp t="s">
        <v>#N/A Requesting Data...536056458</v>
        <stp/>
        <stp>BDP|10749518787913680498</stp>
        <tr r="G41" s="446"/>
      </tp>
      <tp t="s">
        <v>#N/A Requesting Data...1298101725</v>
        <stp/>
        <stp>BDP|18200647556593243237</stp>
        <tr r="AG27" s="1"/>
      </tp>
      <tp t="s">
        <v>#N/A Requesting Data...3089128416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Data...2569071949</v>
        <stp/>
        <stp>BDP|11086842551085825384</stp>
        <tr r="D14" s="2"/>
      </tp>
      <tp t="s">
        <v>#N/A Requesting Data...2870046592</v>
        <stp/>
        <stp>BDP|16761382649589718257</stp>
        <tr r="F27" s="446"/>
      </tp>
      <tp t="s">
        <v>#N/A Requesting Data...1202698766</v>
        <stp/>
        <stp>BDP|10560430593062313514</stp>
        <tr r="AG43" s="1"/>
      </tp>
      <tp t="s">
        <v>#N/A Requesting Data...4016087991</v>
        <stp/>
        <stp>BDP|13546818454494181070</stp>
        <tr r="AC43" s="1"/>
      </tp>
      <tp>
        <v>0.52849560976028442</v>
        <stp/>
        <stp>BDP|11754717216942473893|22</stp>
        <stp>INTC US 07/17/26 C50 Equity</stp>
        <stp>DELTA_MID_RT</stp>
        <tr r="AF12" s="2"/>
      </tp>
      <tp>
        <v>17.55</v>
        <stp/>
        <stp>BDP|4848057208047863265|22</stp>
        <stp>AMZN US 12/18/26 C230 Equity</stp>
        <stp>ask</stp>
        <tr r="L95" s="89"/>
      </tp>
      <tp t="s">
        <v>#N/A Requesting Data...1171560878</v>
        <stp/>
        <stp>BDP|14708527546846978837</stp>
        <tr r="F22" s="446"/>
      </tp>
      <tp t="s">
        <v>#N/A Requesting Data...3854107420</v>
        <stp/>
        <stp>BDP|17382508591454336498</stp>
        <tr r="F10" s="446"/>
      </tp>
      <tp t="s">
        <v>#N/A Requesting Data...2175516454</v>
        <stp/>
        <stp>BDP|17953939637996030051</stp>
        <tr r="AI25" s="1"/>
      </tp>
      <tp t="s">
        <v>#N/A Requesting Data...2868649292</v>
        <stp/>
        <stp>BDP|15393992280169008616</stp>
        <tr r="F24" s="446"/>
      </tp>
      <tp t="s">
        <v>#N/A Requesting Data...2534459550</v>
        <stp/>
        <stp>BDP|10256865635189905931</stp>
        <tr r="D26" s="446"/>
        <tr r="AC19" s="1"/>
      </tp>
      <tp t="s">
        <v>#N/A Requesting Data...3602290579</v>
        <stp/>
        <stp>BDP|10232111098733952085</stp>
        <tr r="AD13" s="2"/>
      </tp>
      <tp t="s">
        <v>#N/A Requesting Data...568081350</v>
        <stp/>
        <stp>BDP|17408802988725227915</stp>
        <tr r="AA62" s="89"/>
        <tr r="Z62" s="89"/>
      </tp>
      <tp t="s">
        <v>#N/A N/A</v>
        <stp/>
        <stp>BDP|15319109960459527098</stp>
        <tr r="AC20" s="2"/>
        <tr r="AC21" s="2"/>
        <tr r="AC22" s="2"/>
      </tp>
      <tp t="s">
        <v>#N/A Requesting Data...2643142052</v>
        <stp/>
        <stp>BDP|10551883911794361618</stp>
        <tr r="AD25" s="2"/>
      </tp>
      <tp t="s">
        <v>#N/A Requesting Data...2934483212</v>
        <stp/>
        <stp>BDP|12625403616855824991</stp>
        <tr r="F15" s="446"/>
        <tr r="AB54" s="1"/>
      </tp>
      <tp t="s">
        <v>#N/A Requesting Data...1722945858</v>
        <stp/>
        <stp>BDP|12782377356916696900</stp>
        <tr r="C23" s="2"/>
      </tp>
      <tp t="s">
        <v>#N/A Requesting Data...4032044789</v>
        <stp/>
        <stp>BDP|14527795898659500813</stp>
        <tr r="T36" s="89"/>
      </tp>
      <tp t="s">
        <v>#N/A Requesting Data...1546704427</v>
        <stp/>
        <stp>BDP|10884990929338192894</stp>
        <tr r="K26" s="1"/>
      </tp>
      <tp t="s">
        <v>#N/A Requesting Data...2622046226</v>
        <stp/>
        <stp>BDP|14715903021237576311</stp>
        <tr r="AR24" s="2"/>
      </tp>
      <tp t="s">
        <v>#N/A Requesting Data...4135585839</v>
        <stp/>
        <stp>BDP|10865582194811567656</stp>
        <tr r="C78" s="89"/>
      </tp>
      <tp t="s">
        <v>#N/A Requesting Data...1810396551</v>
        <stp/>
        <stp>BDP|15688519024610633913</stp>
        <tr r="C12" s="2"/>
      </tp>
      <tp t="s">
        <v>#N/A Requesting Data...1792760776</v>
        <stp/>
        <stp>BDP|14191329787186449279</stp>
        <tr r="E96" s="89"/>
      </tp>
      <tp t="s">
        <v>#N/A Requesting Data...2733672123</v>
        <stp/>
        <stp>BDP|16354487536428919237</stp>
        <tr r="P12" s="338"/>
      </tp>
      <tp t="s">
        <v>#N/A Requesting Data...2992068713</v>
        <stp/>
        <stp>BDP|16382697175628205742</stp>
        <tr r="K2" s="2"/>
        <tr r="J1" s="24"/>
      </tp>
      <tp t="s">
        <v>#N/A Requesting Data...2120844642</v>
        <stp/>
        <stp>BDP|12568958234819466988</stp>
        <tr r="AI21" s="1"/>
      </tp>
      <tp t="s">
        <v>#N/A Requesting Data...649766180</v>
        <stp/>
        <stp>BDP|14534507482414865574</stp>
        <tr r="AF52" s="1"/>
        <tr r="AF53" s="1"/>
      </tp>
      <tp t="s">
        <v>#N/A Requesting Data...1371044321</v>
        <stp/>
        <stp>BDP|17730399697900202503</stp>
        <tr r="AF44" s="1"/>
        <tr r="AF45" s="1"/>
      </tp>
      <tp t="s">
        <v>#N/A Requesting Data...4276067183</v>
        <stp/>
        <stp>BDP|11826078532009062376</stp>
        <tr r="K39" s="1"/>
      </tp>
      <tp t="s">
        <v>#N/A Requesting Data...733852346</v>
        <stp/>
        <stp>BDP|16441706496850628092</stp>
        <tr r="AF27" s="1"/>
      </tp>
      <tp t="s">
        <v>#N/A Requesting Data...2693433271</v>
        <stp/>
        <stp>BDP|15520986271344702744</stp>
        <tr r="C14" s="2"/>
      </tp>
      <tp t="s">
        <v>#N/A Requesting Data...2222461351</v>
        <stp/>
        <stp>BDP|15994141085646062260</stp>
        <tr r="AA7" s="2"/>
      </tp>
      <tp t="s">
        <v>#N/A Requesting Data...2835696177</v>
        <stp/>
        <stp>BDP|18355353104331140221</stp>
        <tr r="E6" s="1"/>
      </tp>
      <tp t="s">
        <v>#N/A Requesting Data...2181414603</v>
        <stp/>
        <stp>BDP|15808701373659965426</stp>
        <tr r="J5" s="1"/>
      </tp>
      <tp t="s">
        <v>#N/A Requesting Data...2017707436</v>
        <stp/>
        <stp>BDP|17523597308322350848</stp>
        <tr r="D26" s="2"/>
      </tp>
      <tp t="s">
        <v>#N/A Requesting Data...1902215384</v>
        <stp/>
        <stp>BDP|10984584463823555844</stp>
        <tr r="D9" s="2"/>
      </tp>
      <tp t="s">
        <v>#N/A Requesting Data...814441285</v>
        <stp/>
        <stp>BDP|14077436120512876887</stp>
        <tr r="AH11" s="338"/>
      </tp>
      <tp t="s">
        <v>#N/A Requesting Data...1438404100</v>
        <stp/>
        <stp>BDP|14890753286422716196</stp>
        <tr r="E95" s="89"/>
      </tp>
      <tp t="s">
        <v>#N/A Requesting Data...2485727207</v>
        <stp/>
        <stp>BDP|18192387429696295769</stp>
        <tr r="D20" s="89"/>
      </tp>
      <tp t="s">
        <v>#N/A Requesting Data...3354312465</v>
        <stp/>
        <stp>BDP|11209184266078842639</stp>
        <tr r="AC18" s="1"/>
      </tp>
      <tp t="s">
        <v>#N/A Requesting Data...3941358400</v>
        <stp/>
        <stp>BDP|14264052336898754717</stp>
        <tr r="T79" s="89"/>
      </tp>
      <tp t="s">
        <v>#N/A Requesting Data...2782996359</v>
        <stp/>
        <stp>BDP|13336734141819516127</stp>
        <tr r="C37" s="89"/>
      </tp>
      <tp t="e">
        <v>#N/A</v>
        <stp/>
        <stp>BDH|11142964114241787004</stp>
        <tr r="AN8" s="338"/>
      </tp>
      <tp t="e">
        <v>#N/A</v>
        <stp/>
        <stp>BDH|16510329064548863300</stp>
        <tr r="AN10" s="338"/>
      </tp>
      <tp>
        <v>0.40252652764320374</v>
        <stp/>
        <stp>BDP|10080332628046700882|22</stp>
        <stp>NVDA US 05/15/26 C200 Equity</stp>
        <stp>DELTA_MID_RT</stp>
        <tr r="AF20" s="2"/>
      </tp>
      <tp>
        <v>6.25</v>
        <stp/>
        <stp>BDP|9104155785178681261|22</stp>
        <stp>AMZN US 07/17/26 C240 Equity</stp>
        <stp>mid</stp>
        <tr r="L4" s="2"/>
      </tp>
      <tp t="s">
        <v>#N/A Requesting Data...1365648558</v>
        <stp/>
        <stp>BDP|14228839741476914704</stp>
        <tr r="AF55" s="1"/>
      </tp>
      <tp t="s">
        <v>#N/A Requesting Data...2592239213</v>
        <stp/>
        <stp>BDP|10379287684220430311</stp>
        <tr r="F6" s="2"/>
      </tp>
      <tp t="s">
        <v>#N/A Requesting Data...2179073969</v>
        <stp/>
        <stp>BDP|15959271808308527692</stp>
        <tr r="V79" s="89"/>
      </tp>
      <tp t="s">
        <v>#N/A Requesting Data...3154053202</v>
        <stp/>
        <stp>BDP|15503790003338181325</stp>
        <tr r="AA18" s="2"/>
      </tp>
      <tp t="s">
        <v>#N/A Requesting Data...2930121483</v>
        <stp/>
        <stp>BDP|10372265847399603683</stp>
        <tr r="V20" s="89"/>
        <tr r="AD11" s="2"/>
      </tp>
      <tp t="s">
        <v>#N/A Requesting Data...2882350196</v>
        <stp/>
        <stp>BDP|16116625899439695927</stp>
        <tr r="AD7" s="2"/>
      </tp>
      <tp t="s">
        <v>#N/A Requesting Data...3335273057</v>
        <stp/>
        <stp>BDP|12166611894806857226</stp>
        <tr r="Z31" s="89"/>
        <tr r="AA31" s="89"/>
      </tp>
      <tp t="s">
        <v>#N/A Requesting Data...649638674</v>
        <stp/>
        <stp>BDP|15913509287530529158</stp>
        <tr r="AF46" s="1"/>
      </tp>
      <tp t="s">
        <v>#N/A Requesting Data...3386471503</v>
        <stp/>
        <stp>BDP|11152961412634383463</stp>
        <tr r="T24" s="2"/>
      </tp>
      <tp t="s">
        <v>#N/A Requesting Data...546066923</v>
        <stp/>
        <stp>BDP|18279909896309755834</stp>
        <tr r="AG14" s="1"/>
      </tp>
      <tp t="s">
        <v>#N/A Requesting Data...4179141674</v>
        <stp/>
        <stp>BDP|12571041380342291138</stp>
        <tr r="F34" s="446"/>
      </tp>
      <tp t="s">
        <v>#N/A Requesting Data...3604963758</v>
        <stp/>
        <stp>BDP|14378960337990766762</stp>
        <tr r="K30" s="1"/>
      </tp>
      <tp t="s">
        <v>#N/A N/A</v>
        <stp/>
        <stp>BDP|18294824894201725105</stp>
        <tr r="AC12" s="2"/>
      </tp>
      <tp t="s">
        <v>#N/A Requesting Data...3541796807</v>
        <stp/>
        <stp>BDP|16648478878978208488</stp>
        <tr r="O43" s="89"/>
        <tr r="O44" s="89"/>
        <tr r="O86" s="89"/>
        <tr r="O87" s="89"/>
      </tp>
      <tp t="s">
        <v>#N/A Requesting Data...3665554045</v>
        <stp/>
        <stp>BDP|18096821285957052647</stp>
        <tr r="F18" s="446"/>
      </tp>
      <tp t="s">
        <v>#N/A Requesting Data...3966543976</v>
        <stp/>
        <stp>BDP|12912684483811638411</stp>
        <tr r="L23" s="1"/>
        <tr r="L24" s="1"/>
        <tr r="L25" s="1"/>
        <tr r="L26" s="1"/>
      </tp>
      <tp t="s">
        <v>#N/A Requesting Data...1877392635</v>
        <stp/>
        <stp>BDP|16080473360335288805</stp>
        <tr r="AF19" s="1"/>
        <tr r="AF9" s="338"/>
      </tp>
      <tp t="s">
        <v>#N/A Requesting Data...3039668582</v>
        <stp/>
        <stp>BDP|10266278304482033950</stp>
        <tr r="AR17" s="2"/>
      </tp>
      <tp t="s">
        <v>#N/A Requesting Data...558853298</v>
        <stp/>
        <stp>BDP|18082660766744672526</stp>
        <tr r="X10" s="338"/>
      </tp>
      <tp t="s">
        <v>#N/A Requesting Data...2103778079</v>
        <stp/>
        <stp>BDP|11523137995870593029</stp>
        <tr r="V96" s="89"/>
      </tp>
      <tp t="s">
        <v>#N/A Requesting Data...2742238102</v>
        <stp/>
        <stp>BDP|12667151992105767617</stp>
        <tr r="E94" s="89"/>
      </tp>
      <tp t="s">
        <v>USD</v>
        <stp/>
        <stp>BDP|5285470303739995294|22</stp>
        <stp>CSCO US 07/17/26 C95 Equity</stp>
        <stp>QUOTED_CURRENCY_REALTIME</stp>
        <tr r="F19" s="89"/>
      </tp>
      <tp>
        <v>4.0999999999999996</v>
        <stp/>
        <stp>BDP|7956679718482049249|22</stp>
        <stp>LITE US 02/20/26 C680 Equity</stp>
        <stp>ask</stp>
        <tr r="L8" s="89"/>
      </tp>
      <tp>
        <v>6.2</v>
        <stp/>
        <stp>BDP|5835390435891478673|22</stp>
        <stp>AMZN US 07/17/26 C240 Equity</stp>
        <stp>bid</stp>
        <tr r="K103" s="89"/>
        <tr r="P4" s="2"/>
      </tp>
      <tp>
        <v>1.2</v>
        <stp/>
        <stp>BDP|3157958502139968082|22</stp>
        <stp>LITE US 02/20/26 C680 Equity</stp>
        <stp>bid</stp>
        <tr r="K8" s="89"/>
      </tp>
      <tp t="s">
        <v>#N/A Requesting Data...1773738233</v>
        <stp/>
        <stp>BDP|15816931278674113197</stp>
        <tr r="C6" s="2"/>
      </tp>
      <tp t="s">
        <v>#N/A Requesting Data...2234538742</v>
        <stp/>
        <stp>BDP|15466705637537159880</stp>
        <tr r="AF12" s="1"/>
      </tp>
      <tp t="s">
        <v>#N/A Requesting Data...3547462707</v>
        <stp/>
        <stp>BDP|11861498416348360286</stp>
        <tr r="AF47" s="1"/>
      </tp>
      <tp t="s">
        <v>#N/A Requesting Data...1508669154</v>
        <stp/>
        <stp>BDP|15724899473817422353</stp>
        <tr r="O13" s="89"/>
        <tr r="T21" s="2"/>
      </tp>
      <tp t="s">
        <v>#N/A Requesting Data...1347598561</v>
        <stp/>
        <stp>BDP|11575592951459437656</stp>
        <tr r="E22" s="2"/>
      </tp>
      <tp t="s">
        <v>#N/A Requesting Data...2733301133</v>
        <stp/>
        <stp>BDP|14902852357240652727</stp>
        <tr r="J1" s="1"/>
      </tp>
      <tp t="s">
        <v>#N/A Requesting Data...911038073</v>
        <stp/>
        <stp>BDP|17255225148738161764</stp>
        <tr r="E15" s="2"/>
      </tp>
      <tp t="s">
        <v>#N/A Requesting Data...1426487605</v>
        <stp/>
        <stp>BDP|11004855748816491574</stp>
        <tr r="AA53" s="89"/>
        <tr r="Z53" s="89"/>
      </tp>
      <tp t="s">
        <v>#N/A Requesting Data...983205233</v>
        <stp/>
        <stp>BDP|11997978075061334095</stp>
        <tr r="AG38" s="1"/>
      </tp>
      <tp t="s">
        <v>#N/A Requesting Data...636582066</v>
        <stp/>
        <stp>BDP|14026845325197194708</stp>
        <tr r="AB22" s="1"/>
      </tp>
      <tp t="s">
        <v>#N/A Requesting Data...3601968185</v>
        <stp/>
        <stp>BDP|10959915758722387039</stp>
        <tr r="AR21" s="2"/>
      </tp>
      <tp t="s">
        <v>#N/A Requesting Data...2609659896</v>
        <stp/>
        <stp>BDP|15662606014445331913</stp>
        <tr r="E14" s="2"/>
      </tp>
      <tp t="s">
        <v>#N/A Requesting Data...3250990194</v>
        <stp/>
        <stp>BDP|16505540697484330075</stp>
        <tr r="T14" s="89"/>
      </tp>
      <tp t="s">
        <v>#N/A Requesting Data...3968710410</v>
        <stp/>
        <stp>BDP|12293130266649152236</stp>
        <tr r="AC16" s="1"/>
        <tr r="AC17" s="1"/>
      </tp>
      <tp t="s">
        <v>#N/A Requesting Data...1397876421</v>
        <stp/>
        <stp>BDP|12254931781748441511</stp>
        <tr r="AA6" s="2"/>
      </tp>
      <tp t="s">
        <v>#N/A Requesting Data...2035392042</v>
        <stp/>
        <stp>BDP|16747972762296741126</stp>
        <tr r="AF22" s="1"/>
      </tp>
      <tp t="s">
        <v>#N/A Requesting Data...1240601690</v>
        <stp/>
        <stp>BDP|11380026222574540903</stp>
        <tr r="F4" s="2"/>
      </tp>
      <tp t="s">
        <v>#N/A Requesting Data...2548863147</v>
        <stp/>
        <stp>BDP|16966852497278566182</stp>
        <tr r="J6" s="1"/>
      </tp>
      <tp t="s">
        <v>#N/A Requesting Data...3925816272</v>
        <stp/>
        <stp>BDP|17125127792252061376</stp>
        <tr r="V7" s="89"/>
      </tp>
      <tp t="s">
        <v>#N/A Requesting Data...3452100683</v>
        <stp/>
        <stp>BDP|10985939920197573292</stp>
        <tr r="V30" s="89"/>
      </tp>
      <tp>
        <v>0.48298808932304382</v>
        <stp/>
        <stp>BDP|18110796337974702583|22</stp>
        <stp>AVGO US 06/18/26 C350 Equity</stp>
        <stp>DELTA_MID_RT</stp>
        <tr r="AF8" s="2"/>
      </tp>
      <tp>
        <v>89.2</v>
        <stp/>
        <stp>BDP|5001717955705267450|22</stp>
        <stp>LITE US 06/18/26 C720 Equity</stp>
        <stp>bid</stp>
        <tr r="P14" s="2"/>
      </tp>
      <tp t="s">
        <v>#N/A Requesting Data...779236010</v>
        <stp/>
        <stp>BDP|14736502366221001988</stp>
        <tr r="AG20" s="1"/>
      </tp>
      <tp t="s">
        <v>#N/A Requesting Data...3060989592</v>
        <stp/>
        <stp>BDP|15951677892556593302</stp>
        <tr r="AA10" s="2"/>
      </tp>
      <tp t="s">
        <v>#N/A Requesting Data...1361883798</v>
        <stp/>
        <stp>BDP|13719327490656774082</stp>
        <tr r="K35" s="1"/>
      </tp>
      <tp t="s">
        <v>#N/A Requesting Data...937881414</v>
        <stp/>
        <stp>BDP|12067346968488625077</stp>
        <tr r="N9" s="1"/>
      </tp>
      <tp t="s">
        <v>#N/A Requesting Data...1942870167</v>
        <stp/>
        <stp>BDP|18091452871706919222</stp>
        <tr r="AC27" s="1"/>
      </tp>
      <tp t="s">
        <v>#N/A Requesting Data...3282692174</v>
        <stp/>
        <stp>BDP|10458872348380612322</stp>
        <tr r="D32" s="446"/>
      </tp>
      <tp t="s">
        <v>#N/A Requesting Data...4060493838</v>
        <stp/>
        <stp>BDP|11607763991426641696</stp>
        <tr r="O88" s="89"/>
      </tp>
      <tp t="s">
        <v>#N/A Requesting Data...2776255743</v>
        <stp/>
        <stp>BDP|12446616610012704839</stp>
        <tr r="AF14" s="1"/>
      </tp>
      <tp t="s">
        <v>#N/A Requesting Data...3820143317</v>
        <stp/>
        <stp>BDP|12917284443828342304</stp>
        <tr r="AC52" s="1"/>
        <tr r="AC53" s="1"/>
      </tp>
      <tp t="s">
        <v>#N/A Requesting Data...3241158182</v>
        <stp/>
        <stp>BDP|15520885965692162698</stp>
        <tr r="P11" s="338"/>
      </tp>
      <tp t="s">
        <v>#N/A Requesting Data...2712067539</v>
        <stp/>
        <stp>BDP|18411820983824502305</stp>
        <tr r="E9" s="1"/>
      </tp>
      <tp t="s">
        <v>#N/A Requesting Data...1880509544</v>
        <stp/>
        <stp>BDP|14116642911908550426</stp>
        <tr r="AI23" s="1"/>
      </tp>
      <tp t="s">
        <v>#N/A Requesting Data...2066979864</v>
        <stp/>
        <stp>BDP|15088949515073653147</stp>
        <tr r="AI22" s="1"/>
      </tp>
      <tp t="s">
        <v>#N/A N/A</v>
        <stp/>
        <stp>BDP|13400157600295352875</stp>
        <tr r="AQ6" s="2"/>
        <tr r="AQ7" s="2"/>
      </tp>
      <tp t="s">
        <v>#N/A Requesting Data...3858995343</v>
        <stp/>
        <stp>BDP|10282731194108712961</stp>
        <tr r="X8" s="338"/>
      </tp>
      <tp t="s">
        <v>#N/A Requesting Data...3222500754</v>
        <stp/>
        <stp>BDP|11825565969849644458</stp>
        <tr r="G26" s="446"/>
      </tp>
      <tp t="s">
        <v>#N/A Requesting Data...1268033194</v>
        <stp/>
        <stp>BDP|15847969359184061200</stp>
        <tr r="C8" s="89"/>
      </tp>
      <tp t="s">
        <v>#N/A Requesting Data...3579326563</v>
        <stp/>
        <stp>BDP|10754652992714129477</stp>
        <tr r="E78" s="89"/>
      </tp>
      <tp t="s">
        <v>#N/A Requesting Data...2454319597</v>
        <stp/>
        <stp>BDP|13743925468151835237</stp>
        <tr r="AF54" s="1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Data...3958209362</v>
        <stp/>
        <stp>BDP|17197269406560960918</stp>
        <tr r="AR10" s="2"/>
      </tp>
      <tp t="s">
        <v>#N/A Requesting Data...682688732</v>
        <stp/>
        <stp>BDP|14151613796081423680</stp>
        <tr r="AI14" s="1"/>
      </tp>
      <tp t="s">
        <v>#N/A Requesting Data...2859690839</v>
        <stp/>
        <stp>BDP|17371945099602318909</stp>
        <tr r="T26" s="2"/>
      </tp>
      <tp t="s">
        <v>#N/A Requesting Data...1715101593</v>
        <stp/>
        <stp>BDP|11028786820390522815</stp>
        <tr r="AK10" s="338"/>
        <tr r="AK11" s="338"/>
        <tr r="AK12" s="338"/>
      </tp>
      <tp t="s">
        <v>#N/A Requesting Data...1630276391</v>
        <stp/>
        <stp>BDP|15549933334837718499</stp>
        <tr r="AJ12" s="338"/>
      </tp>
      <tp t="s">
        <v>#N/A Requesting Data...2407184880</v>
        <stp/>
        <stp>BDP|13021422978704305879</stp>
        <tr r="F33" s="446"/>
      </tp>
      <tp t="s">
        <v>#N/A N/A</v>
        <stp/>
        <stp>BDP|16521478898015424206</stp>
        <tr r="R77" s="89"/>
        <tr r="R78" s="89"/>
        <tr r="R79" s="89"/>
        <tr r="R88" s="89"/>
        <tr r="AV15" s="2"/>
      </tp>
      <tp t="s">
        <v>#N/A Requesting Data...3171613117</v>
        <stp/>
        <stp>BDP|16877024025140252836</stp>
        <tr r="F37" s="446"/>
      </tp>
      <tp t="s">
        <v>#N/A Requesting Data...828845675</v>
        <stp/>
        <stp>BDP|13386868725006218333</stp>
        <tr r="O14" s="89"/>
      </tp>
      <tp t="s">
        <v>#N/A Requesting Data...1149457582</v>
        <stp/>
        <stp>BDP|10281815271105854697</stp>
        <tr r="K33" s="1"/>
      </tp>
      <tp t="s">
        <v>#N/A Requesting Data...1749843577</v>
        <stp/>
        <stp>BDP|17431748397947127250</stp>
        <tr r="AG39" s="1"/>
        <tr r="AG40" s="1"/>
      </tp>
      <tp t="s">
        <v>#N/A Requesting Data...4102221478</v>
        <stp/>
        <stp>BDP|17099824656111736713</stp>
        <tr r="AA96" s="89"/>
        <tr r="Z96" s="89"/>
      </tp>
      <tp t="s">
        <v>#N/A Requesting Data...1495795878</v>
        <stp/>
        <stp>BDP|14508373378954970866</stp>
        <tr r="D18" s="2"/>
      </tp>
      <tp t="s">
        <v>#N/A Requesting Data...972781277</v>
        <stp/>
        <stp>BDP|14259965167551312659</stp>
        <tr r="F20" s="2"/>
      </tp>
      <tp t="s">
        <v>#N/A Requesting Data...4254137253</v>
        <stp/>
        <stp>BDP|14226611576428444145</stp>
        <tr r="E104" s="89"/>
      </tp>
      <tp t="s">
        <v>#N/A Requesting Data...2986859303</v>
        <stp/>
        <stp>BDP|12413850570425657438</stp>
        <tr r="K20" s="1"/>
      </tp>
      <tp t="s">
        <v>#N/A Requesting Data...3768138161</v>
        <stp/>
        <stp>BDP|12603143287034451379</stp>
        <tr r="D27" s="446"/>
      </tp>
      <tp t="s">
        <v>#N/A Requesting Data...3709719534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K44" s="89"/>
        <tr r="K43" s="89"/>
        <tr r="K86" s="89"/>
        <tr r="K87" s="89"/>
        <tr r="P2" s="2"/>
      </tp>
      <tp>
        <v>562.74</v>
        <stp/>
        <stp>BDP|336164456245703188|22</stp>
        <stp>LITE US Equity</stp>
        <stp>LAST_PRICE</stp>
        <tr r="S7" s="89"/>
        <tr r="S8" s="89"/>
        <tr r="Z13" s="2"/>
        <tr r="Z14" s="2"/>
      </tp>
      <tp t="s">
        <v>#N/A Requesting Data...1870981259</v>
        <stp/>
        <stp>BDP|12514485676904256829</stp>
        <tr r="E68" s="89"/>
      </tp>
      <tp t="s">
        <v>#N/A Requesting Data...2752422672</v>
        <stp/>
        <stp>BDP|15414745613426896811</stp>
        <tr r="AA19" s="89"/>
        <tr r="Z19" s="89"/>
      </tp>
      <tp t="s">
        <v>#N/A Requesting Data...820682342</v>
        <stp/>
        <stp>BDP|13594164286172898577</stp>
        <tr r="K13" s="1"/>
      </tp>
      <tp t="s">
        <v>#N/A Requesting Data...1359539035</v>
        <stp/>
        <stp>BDP|16688954571813116693</stp>
        <tr r="T13" s="89"/>
        <tr r="AA21" s="2"/>
      </tp>
      <tp t="s">
        <v>#N/A Requesting Data...2079455412</v>
        <stp/>
        <stp>BDP|10028687100653384862</stp>
        <tr r="T8" s="2"/>
      </tp>
      <tp t="s">
        <v>#N/A Requesting Data...1533809927</v>
        <stp/>
        <stp>BDP|15843140282036113720</stp>
        <tr r="G22" s="446"/>
      </tp>
      <tp t="s">
        <v>#N/A Requesting Data...3112923476</v>
        <stp/>
        <stp>BDP|11776133033106365882</stp>
        <tr r="E37" s="89"/>
      </tp>
      <tp t="s">
        <v>#N/A Requesting Data...1543613880</v>
        <stp/>
        <stp>BDP|10814833293595079976</stp>
        <tr r="E61" s="89"/>
      </tp>
      <tp t="s">
        <v>#N/A Requesting Data...2957311563</v>
        <stp/>
        <stp>BDP|17319342610009091197</stp>
        <tr r="G27" s="446"/>
      </tp>
      <tp t="s">
        <v>#N/A Requesting Data...3003531853</v>
        <stp/>
        <stp>BDP|11924439292996409721</stp>
        <tr r="AG32" s="1"/>
      </tp>
      <tp t="s">
        <v>#N/A Requesting Data...3523353824</v>
        <stp/>
        <stp>BDP|15203515109285203885</stp>
        <tr r="C103" s="89"/>
        <tr r="D4" s="2"/>
      </tp>
      <tp t="s">
        <v>#N/A N/A</v>
        <stp/>
        <stp>BDP|18096474274854136215</stp>
        <tr r="R30" s="89"/>
        <tr r="R36" s="89"/>
        <tr r="R37" s="89"/>
        <tr r="AV23" s="2"/>
        <tr r="AV24" s="2"/>
        <tr r="AV25" s="2"/>
        <tr r="AV26" s="2"/>
        <tr r="R31" s="89"/>
      </tp>
      <tp t="s">
        <v>#N/A Requesting Data...2741096388</v>
        <stp/>
        <stp>BDP|10338895846711825060</stp>
        <tr r="AA20" s="89"/>
        <tr r="Z20" s="89"/>
      </tp>
      <tp t="s">
        <v>#N/A Requesting Data...1209073486</v>
        <stp/>
        <stp>BDP|11804015925529096782</stp>
        <tr r="AI48" s="1"/>
      </tp>
      <tp t="s">
        <v>#N/A Requesting Data...2680524552</v>
        <stp/>
        <stp>BDP|18134613475974825091</stp>
        <tr r="AA13" s="2"/>
      </tp>
      <tp t="s">
        <v>#N/A Requesting Data...2171399166</v>
        <stp/>
        <stp>BDP|10476670090364142661</stp>
        <tr r="K19" s="1"/>
      </tp>
      <tp t="s">
        <v>#N/A Requesting Data...698487158</v>
        <stp/>
        <stp>BDP|14574759861540790819</stp>
        <tr r="S10" s="338"/>
      </tp>
      <tp t="s">
        <v>#N/A Requesting Data...1124560581</v>
        <stp/>
        <stp>BDP|11934537446469823426</stp>
        <tr r="E20" s="2"/>
      </tp>
      <tp>
        <v>601.91999999999996</v>
        <stp/>
        <stp>BDP|8629289523220789997|22</stp>
        <stp>QQQ Equity</stp>
        <stp>LAST PRICE</stp>
        <tr r="I9" s="338"/>
      </tp>
      <tp>
        <v>38.299999999999997</v>
        <stp/>
        <stp>BDP|4911432985148125573|22</stp>
        <stp>META US 07/17/26 C700 Equity</stp>
        <stp>ask</stp>
        <tr r="L79" s="89"/>
      </tp>
      <tp t="s">
        <v>#N/A Requesting Data...1076038639</v>
        <stp/>
        <stp>BDP|12479552531952149481</stp>
        <tr r="C21" s="2"/>
      </tp>
      <tp t="s">
        <v>#N/A Requesting Data...1441078900</v>
        <stp/>
        <stp>BDP|12339741374220877028</stp>
        <tr r="F21" s="446"/>
      </tp>
      <tp t="s">
        <v>#N/A Requesting Data...2954042179</v>
        <stp/>
        <stp>BDP|15108137503044913212</stp>
        <tr r="T78" s="89"/>
      </tp>
      <tp t="s">
        <v>#N/A Requesting Data...1329717818</v>
        <stp/>
        <stp>BDP|11490202904425845435</stp>
        <tr r="D105" s="89"/>
      </tp>
      <tp t="s">
        <v>#N/A Requesting Data...1996015212</v>
        <stp/>
        <stp>BDP|17283166759686510739</stp>
        <tr r="AA24" s="2"/>
      </tp>
      <tp t="s">
        <v>#N/A Requesting Data...3377232666</v>
        <stp/>
        <stp>BDP|12832425312094016130</stp>
        <tr r="D20" s="2"/>
      </tp>
      <tp t="s">
        <v>#N/A Requesting Data...3197034056</v>
        <stp/>
        <stp>BDP|16848172745796591757</stp>
        <tr r="J9" s="1"/>
      </tp>
      <tp t="s">
        <v>#N/A Requesting Data...2288811008</v>
        <stp/>
        <stp>BDP|16562634359111464613</stp>
        <tr r="AR19" s="2"/>
      </tp>
      <tp t="s">
        <v>#N/A Requesting Data...1467614497</v>
        <stp/>
        <stp>BDP|12394829048358209468</stp>
        <tr r="AR18" s="2"/>
      </tp>
      <tp t="s">
        <v>#N/A Requesting Data...4176838897</v>
        <stp/>
        <stp>BDP|15571587832455231410</stp>
        <tr r="AC25" s="1"/>
      </tp>
      <tp t="s">
        <v>#N/A Requesting Data...1571290289</v>
        <stp/>
        <stp>BDP|12274481806484777070</stp>
        <tr r="J4" s="1"/>
      </tp>
      <tp t="s">
        <v>#N/A Requesting Data...2441656897</v>
        <stp/>
        <stp>BDP|13522017112801049192</stp>
        <tr r="E8" s="89"/>
      </tp>
      <tp t="s">
        <v>#N/A Requesting Data...957040074</v>
        <stp/>
        <stp>BDP|17837162092485093832</stp>
        <tr r="E21" s="2"/>
      </tp>
      <tp t="s">
        <v>#N/A Requesting Data...1481943481</v>
        <stp/>
        <stp>BDP|17216633965664243193</stp>
        <tr r="L10" s="338"/>
        <tr r="L11" s="338"/>
        <tr r="L12" s="338"/>
        <tr r="J10" s="338"/>
        <tr r="J12" s="338"/>
        <tr r="J11" s="338"/>
      </tp>
      <tp t="s">
        <v>#N/A Requesting Data...1395780019</v>
        <stp/>
        <stp>BDP|16719292853193179031</stp>
        <tr r="T27" s="2"/>
      </tp>
      <tp t="s">
        <v>#N/A Requesting Data...3666656770</v>
        <stp/>
        <stp>BDP|13150872693841225199</stp>
        <tr r="AR20" s="2"/>
      </tp>
      <tp t="s">
        <v>#N/A Requesting Data...2860945622</v>
        <stp/>
        <stp>BDP|13283561452487447630</stp>
        <tr r="AI44" s="1"/>
        <tr r="AI45" s="1"/>
      </tp>
      <tp t="s">
        <v>#N/A Requesting Data...2388816933</v>
        <stp/>
        <stp>BDP|13698454327306550105</stp>
        <tr r="T88" s="89"/>
      </tp>
      <tp t="s">
        <v>#N/A Requesting Data...2984185631</v>
        <stp/>
        <stp>BDP|17950909593432390797</stp>
        <tr r="G29" s="446"/>
      </tp>
      <tp t="s">
        <v>#N/A N/A</v>
        <stp/>
        <stp>BDP|16665812118984554998</stp>
        <tr r="AC16" s="2"/>
        <tr r="AC17" s="2"/>
      </tp>
      <tp t="s">
        <v>#N/A Requesting Data...1751903849</v>
        <stp/>
        <stp>BDP|11085178061566433205</stp>
        <tr r="F23" s="2"/>
      </tp>
      <tp t="s">
        <v>#N/A Requesting Data...3393439498</v>
        <stp/>
        <stp>BDP|12909617883408150686</stp>
        <tr r="F17" s="446"/>
      </tp>
      <tp t="s">
        <v>#N/A Requesting Data...3737112652</v>
        <stp/>
        <stp>BDP|14907590063523957686</stp>
        <tr r="D39" s="446"/>
      </tp>
      <tp t="s">
        <v>#N/A Requesting Data...912104165</v>
        <stp/>
        <stp>BDP|15427086549125422631</stp>
        <tr r="F29" s="446"/>
      </tp>
      <tp t="s">
        <v>#N/A Requesting Data...2723079470</v>
        <stp/>
        <stp>BDP|14798833541272440858</stp>
        <tr r="L9" s="338"/>
        <tr r="H9" s="338"/>
      </tp>
      <tp t="s">
        <v>#N/A N/A</v>
        <stp/>
        <stp>BDP|17447943913214573912</stp>
        <tr r="AC27" s="2"/>
        <tr r="AC28" s="2"/>
      </tp>
      <tp t="s">
        <v>#N/A Requesting Data...4187658873</v>
        <stp/>
        <stp>BDP|10540491936722929740</stp>
        <tr r="F13" s="446"/>
      </tp>
      <tp t="s">
        <v>#N/A Requesting Data...1447399963</v>
        <stp/>
        <stp>BDP|12465228967747275351</stp>
        <tr r="F8" s="2"/>
      </tp>
      <tp>
        <v>133.97</v>
        <stp/>
        <stp>BDP|1868269163989593436|22</stp>
        <stp>EWY Equity</stp>
        <stp>LAST_PRICE</stp>
        <tr r="I22" s="1"/>
      </tp>
      <tp>
        <v>8.3000000000000007</v>
        <stp/>
        <stp>BDP|3322764634781769714|22</stp>
        <stp>META US 02/27/26 C660 Equity</stp>
        <stp>ask</stp>
        <tr r="L88" s="89"/>
      </tp>
      <tp t="s">
        <v>#N/A Requesting Data...3228540980</v>
        <stp/>
        <stp>BDP|15895214585768543406</stp>
        <tr r="AB20" s="1"/>
      </tp>
      <tp t="s">
        <v>#N/A Requesting Data...3527705900</v>
        <stp/>
        <stp>BDP|12506693576836787640</stp>
        <tr r="AC20" s="1"/>
      </tp>
      <tp t="s">
        <v>#N/A Requesting Data...3557555708</v>
        <stp/>
        <stp>BDP|10102679327761087681</stp>
        <tr r="E17" s="2"/>
      </tp>
      <tp t="s">
        <v>#N/A N/A</v>
        <stp/>
        <stp>BDP|16916588204673977342</stp>
        <tr r="AB61" s="89"/>
      </tp>
      <tp t="s">
        <v>#N/A Requesting Data...2290017020</v>
        <stp/>
        <stp>BDP|18367520190396877112</stp>
        <tr r="AR5" s="2"/>
      </tp>
      <tp t="s">
        <v>#N/A Requesting Data...2737230762</v>
        <stp/>
        <stp>BDP|12197625641431851271</stp>
        <tr r="D16" s="2"/>
      </tp>
      <tp t="s">
        <v>#N/A Requesting Data...2877350530</v>
        <stp/>
        <stp>BDP|15919437567850131436</stp>
        <tr r="G28" s="446"/>
      </tp>
      <tp t="s">
        <v>#N/A N/A</v>
        <stp/>
        <stp>BDP|12988555714434708108</stp>
        <tr r="AV18" s="2"/>
        <tr r="AV19" s="2"/>
      </tp>
      <tp t="s">
        <v>#N/A Requesting Data...3277187275</v>
        <stp/>
        <stp>BDP|13013981730743016977</stp>
        <tr r="T103" s="89"/>
        <tr r="AA4" s="2"/>
      </tp>
      <tp t="s">
        <v>#N/A Requesting Data...844188158</v>
        <stp/>
        <stp>BDP|13934642593416417954</stp>
        <tr r="AI56" s="1"/>
        <tr r="AI57" s="1"/>
      </tp>
      <tp t="s">
        <v>#N/A Requesting Data...992128721</v>
        <stp/>
        <stp>BDP|17039732835313216359</stp>
        <tr r="G13" s="446"/>
      </tp>
      <tp t="s">
        <v>#N/A Requesting Data...2295121720</v>
        <stp/>
        <stp>BDP|11848586431027061306</stp>
        <tr r="K57" s="1"/>
      </tp>
      <tp t="s">
        <v>#N/A Requesting Data...1367362748</v>
        <stp/>
        <stp>BDP|10212284669224289309</stp>
        <tr r="G15" s="446"/>
      </tp>
      <tp t="s">
        <v>#N/A Requesting Data...2035018124</v>
        <stp/>
        <stp>BDP|13453491635420155791</stp>
        <tr r="F13" s="2"/>
      </tp>
      <tp t="s">
        <v>#N/A Requesting Data...740474725</v>
        <stp/>
        <stp>BDP|16139528108117140790</stp>
        <tr r="AA15" s="2"/>
      </tp>
      <tp t="s">
        <v>#N/A Requesting Data...3650457218</v>
        <stp/>
        <stp>BDP|12577068118946906617</stp>
        <tr r="AF24" s="1"/>
      </tp>
      <tp t="s">
        <v>#N/A Requesting Data...4107974184</v>
        <stp/>
        <stp>BDP|16931852689404443127</stp>
        <tr r="F23" s="446"/>
        <tr r="AB15" s="1"/>
      </tp>
      <tp t="s">
        <v>#N/A Requesting Data...3921888510</v>
        <stp/>
        <stp>BDP|14461057417982680435</stp>
        <tr r="AA16" s="2"/>
      </tp>
      <tp t="s">
        <v>#N/A Requesting Data...2531593932</v>
        <stp/>
        <stp>BDP|14468716151160495523</stp>
        <tr r="AA79" s="89"/>
        <tr r="Z79" s="89"/>
      </tp>
      <tp t="s">
        <v>#N/A Requesting Data...1590276324</v>
        <stp/>
        <stp>BDP|14476589039000730102</stp>
        <tr r="D24" s="2"/>
      </tp>
      <tp t="s">
        <v>#N/A Requesting Data...1539464874</v>
        <stp/>
        <stp>BDP|11488079128501837162</stp>
        <tr r="O79" s="89"/>
      </tp>
      <tp t="s">
        <v>#N/A N/A</v>
        <stp/>
        <stp>BDP|16066178257148215968</stp>
        <tr r="AV16" s="2"/>
        <tr r="AV17" s="2"/>
      </tp>
      <tp t="s">
        <v>#N/A Requesting Data...3413907158</v>
        <stp/>
        <stp>BDP|12718343677950174519</stp>
        <tr r="E7" s="1"/>
      </tp>
      <tp t="s">
        <v>#N/A Requesting Data...728477451</v>
        <stp/>
        <stp>BDP|11858630116733963622</stp>
        <tr r="E13" s="2"/>
      </tp>
      <tp t="e">
        <v>#N/A</v>
        <stp/>
        <stp>BDH|13009210115276287507</stp>
        <tr r="AR8" s="338"/>
      </tp>
      <tp t="e">
        <v>#N/A</v>
        <stp/>
        <stp>BDH|18074831190813966954</stp>
        <tr r="AM9" s="338"/>
      </tp>
      <tp>
        <v>8.4348201751708984E-2</v>
        <stp/>
        <stp>BDP|13450063745953703993|22</stp>
        <stp>CSCO US 07/17/26 C100 Equity</stp>
        <stp>DELTA_MID_RT</stp>
        <tr r="W20" s="89"/>
        <tr r="AF11" s="2"/>
      </tp>
      <tp>
        <v>37.9</v>
        <stp/>
        <stp>BDP|3120711432826724576|22</stp>
        <stp>META US 07/17/26 C700 Equity</stp>
        <stp>bid</stp>
        <tr r="K79" s="89"/>
      </tp>
      <tp t="s">
        <v>#N/A Requesting Data...3497681539</v>
        <stp/>
        <stp>BDP|16634752858660747458</stp>
        <tr r="K43" s="1"/>
      </tp>
      <tp t="s">
        <v>#N/A Requesting Data...3858550612</v>
        <stp/>
        <stp>BDP|14881796519496077416</stp>
        <tr r="AC39" s="1"/>
        <tr r="AC40" s="1"/>
      </tp>
      <tp t="s">
        <v>#N/A Requesting Data...2888869271</v>
        <stp/>
        <stp>BDP|13564540922234351091</stp>
        <tr r="AI16" s="1"/>
        <tr r="AI17" s="1"/>
      </tp>
      <tp t="s">
        <v>#N/A Requesting Data...3043376688</v>
        <stp/>
        <stp>BDP|10384653628097195348</stp>
        <tr r="V9" s="338"/>
      </tp>
      <tp t="s">
        <v>#N/A Requesting Data...2712609865</v>
        <stp/>
        <stp>BDP|18157396268365948849</stp>
        <tr r="G32" s="446"/>
      </tp>
      <tp t="s">
        <v>#N/A Requesting Data...1333150182</v>
        <stp/>
        <stp>BDP|12322490716684467354</stp>
        <tr r="AD28" s="2"/>
      </tp>
      <tp t="s">
        <v>#N/A Requesting Data...1855528206</v>
        <stp/>
        <stp>BDP|11850099902500446183</stp>
        <tr r="AR28" s="2"/>
      </tp>
      <tp t="s">
        <v>#N/A Requesting Data...1540278796</v>
        <stp/>
        <stp>BDP|11843415176814869697</stp>
        <tr r="C20" s="89"/>
        <tr r="D11" s="2"/>
      </tp>
      <tp t="s">
        <v>#N/A Requesting Data...2145479030</v>
        <stp/>
        <stp>BDP|15195339732766983377</stp>
        <tr r="T104" s="89"/>
      </tp>
      <tp t="s">
        <v>#N/A N/A</v>
        <stp/>
        <stp>BDP|13846974553487624841</stp>
        <tr r="AB30" s="89"/>
        <tr r="AB31" s="89"/>
        <tr r="AB36" s="89"/>
        <tr r="AB37" s="89"/>
        <tr r="AQ23" s="2"/>
        <tr r="AQ24" s="2"/>
        <tr r="AQ25" s="2"/>
        <tr r="AQ26" s="2"/>
      </tp>
      <tp t="s">
        <v>#N/A Requesting Data...1644506944</v>
        <stp/>
        <stp>BDP|14667087596678820507</stp>
        <tr r="AI9" s="338"/>
      </tp>
      <tp t="s">
        <v>#N/A Requesting Data...2192184103</v>
        <stp/>
        <stp>BDP|13579976776338550517</stp>
        <tr r="AA37" s="89"/>
        <tr r="Z37" s="89"/>
      </tp>
      <tp t="s">
        <v>#N/A Requesting Data...2241668901</v>
        <stp/>
        <stp>BDP|14736375789817362891</stp>
        <tr r="AC2" s="1"/>
        <tr r="AD2" s="1"/>
      </tp>
      <tp t="s">
        <v>#N/A Requesting Data...2715359752</v>
        <stp/>
        <stp>BDP|16915999897423444512</stp>
        <tr r="AC15" s="1"/>
      </tp>
      <tp t="s">
        <v>#N/A Requesting Data...1353438147</v>
        <stp/>
        <stp>BDP|14701623612717173449</stp>
        <tr r="O20" s="89"/>
        <tr r="T11" s="2"/>
      </tp>
      <tp t="s">
        <v>#N/A Requesting Data...2084376414</v>
        <stp/>
        <stp>BDP|11184865175579332734</stp>
        <tr r="F12" s="446"/>
      </tp>
      <tp t="s">
        <v>#N/A Requesting Data...3188247860</v>
        <stp/>
        <stp>BDP|16647795119072066249</stp>
        <tr r="AF48" s="1"/>
      </tp>
      <tp t="s">
        <v>#N/A Requesting Data...2846504547</v>
        <stp/>
        <stp>BDP|10633791113720948675</stp>
        <tr r="AB48" s="1"/>
      </tp>
      <tp t="s">
        <v>#N/A Requesting Data...2114382613</v>
        <stp/>
        <stp>BDP|16328338120877370061</stp>
        <tr r="C94" s="89"/>
      </tp>
      <tp t="s">
        <v>#N/A N/A</v>
        <stp/>
        <stp>BDP|14646160180655233875</stp>
        <tr r="AC18" s="2"/>
        <tr r="AC19" s="2"/>
      </tp>
      <tp t="s">
        <v>#N/A Requesting Data...3186075826</v>
        <stp/>
        <stp>BDP|14687046296439604453</stp>
        <tr r="T19" s="89"/>
      </tp>
      <tp t="s">
        <v>#N/A Requesting Data...1677208445</v>
        <stp/>
        <stp>BDP|15047991938189051660</stp>
        <tr r="E9" s="2"/>
      </tp>
      <tp t="s">
        <v>#N/A Requesting Data...2214573147</v>
        <stp/>
        <stp>BDP|18338555271382122812</stp>
        <tr r="Q10" s="338"/>
      </tp>
      <tp t="s">
        <v>#N/A Requesting Data...4263361818</v>
        <stp/>
        <stp>BDP|11542574144783666360</stp>
        <tr r="F41" s="446"/>
      </tp>
      <tp t="s">
        <v>#N/A Requesting Data...4054161689</v>
        <stp/>
        <stp>BDP|15940757831551810033</stp>
        <tr r="C62" s="89"/>
      </tp>
      <tp>
        <v>50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Data...1049096848</v>
        <stp/>
        <stp>BDP|12055500611067822013</stp>
        <tr r="AJ8" s="338"/>
        <tr r="AH8" s="338"/>
      </tp>
      <tp t="s">
        <v>#N/A Requesting Data...4180690214</v>
        <stp/>
        <stp>BDP|10827554593684445907</stp>
        <tr r="AG33" s="1"/>
        <tr r="AG34" s="1"/>
      </tp>
      <tp t="s">
        <v>#N/A Requesting Data...2218572782</v>
        <stp/>
        <stp>BDP|10435868994421818135</stp>
        <tr r="C28" s="2"/>
      </tp>
      <tp t="s">
        <v>#N/A Requesting Data...1791869616</v>
        <stp/>
        <stp>BDP|10107602623444913161</stp>
        <tr r="AF23" s="1"/>
      </tp>
      <tp t="s">
        <v>#N/A Requesting Data...4050289552</v>
        <stp/>
        <stp>BDP|18017376398746707540</stp>
        <tr r="G37" s="446"/>
      </tp>
      <tp t="s">
        <v>#N/A Requesting Data...2153890019</v>
        <stp/>
        <stp>BDP|11542477562533569196</stp>
        <tr r="D36" s="89"/>
      </tp>
      <tp t="s">
        <v>#N/A Requesting Data...1927696874</v>
        <stp/>
        <stp>BDP|15485750022721819043</stp>
        <tr r="AA61" s="89"/>
        <tr r="Z61" s="89"/>
      </tp>
      <tp t="s">
        <v>#N/A Requesting Data...3884947731</v>
        <stp/>
        <stp>BDP|17365785494690778868</stp>
        <tr r="E5" s="1"/>
      </tp>
      <tp t="s">
        <v>#N/A Requesting Data...3744186059</v>
        <stp/>
        <stp>BDP|15797485450435917089</stp>
        <tr r="AG25" s="1"/>
      </tp>
      <tp t="s">
        <v>#N/A Requesting Data...1563453814</v>
        <stp/>
        <stp>BDP|10629460632567404161</stp>
        <tr r="AF41" s="1"/>
        <tr r="AF42" s="1"/>
      </tp>
      <tp t="s">
        <v>#N/A Requesting Data...4084765855</v>
        <stp/>
        <stp>BDP|11658442792988593552</stp>
        <tr r="AC21" s="1"/>
      </tp>
      <tp t="s">
        <v>#N/A Requesting Data...2034261044</v>
        <stp/>
        <stp>BDP|12205394907945600595</stp>
        <tr r="E31" s="89"/>
      </tp>
      <tp t="s">
        <v>#N/A Requesting Data...3731518767</v>
        <stp/>
        <stp>BDP|11061508652806913689</stp>
        <tr r="O37" s="89"/>
      </tp>
      <tp t="s">
        <v>#N/A Requesting Data...1471837702</v>
        <stp/>
        <stp>BDP|10036162177410701751</stp>
        <tr r="K24" s="1"/>
      </tp>
      <tp t="s">
        <v>#N/A Requesting Data...955460841</v>
        <stp/>
        <stp>BDP|12568089488138014375</stp>
        <tr r="E5" s="2"/>
      </tp>
      <tp t="s">
        <v>#N/A Requesting Data...4062147454</v>
        <stp/>
        <stp>BDP|15698160403534380128</stp>
        <tr r="AB18" s="1"/>
      </tp>
      <tp t="s">
        <v>#N/A Requesting Data...2647587013</v>
        <stp/>
        <stp>BDP|11998355979195097173</stp>
        <tr r="T68" s="89"/>
      </tp>
      <tp t="s">
        <v>#N/A Requesting Data...1754854778</v>
        <stp/>
        <stp>BDP|16353514989043023996</stp>
        <tr r="AH11" s="338"/>
        <tr r="AJ11" s="338"/>
      </tp>
      <tp t="s">
        <v>#N/A Requesting Data...4044105890</v>
        <stp/>
        <stp>BDP|11341619984086995887</stp>
        <tr r="F11" s="2"/>
      </tp>
      <tp t="s">
        <v>#N/A Requesting Data...2726311064</v>
        <stp/>
        <stp>BDP|10764751743486083471</stp>
        <tr r="E6" s="2"/>
      </tp>
      <tp t="s">
        <v>#N/A Requesting Data...1392143956</v>
        <stp/>
        <stp>BDP|14914589903223067341</stp>
        <tr r="AH8" s="338"/>
      </tp>
      <tp t="e">
        <v>#N/A</v>
        <stp/>
        <stp>BDH|11918155371921360707</stp>
        <tr r="AS8" s="338"/>
      </tp>
      <tp t="s">
        <v>#N/A Requesting Data...2917739975</v>
        <stp/>
        <stp>BDP|12390370547582903136</stp>
        <tr r="F10" s="2"/>
      </tp>
      <tp t="s">
        <v>#N/A Requesting Data...3710920590</v>
        <stp/>
        <stp>BDP|17999460540594333555</stp>
        <tr r="C7" s="89"/>
      </tp>
      <tp t="s">
        <v>#N/A Requesting Data...1225358906</v>
        <stp/>
        <stp>BDP|10297523734239490992</stp>
        <tr r="F19" s="446"/>
        <tr r="AB56" s="1"/>
        <tr r="AB57" s="1"/>
      </tp>
      <tp t="s">
        <v>#N/A Requesting Data...3790281714</v>
        <stp/>
        <stp>BDP|13534980394766736373</stp>
        <tr r="AG52" s="1"/>
        <tr r="AG53" s="1"/>
      </tp>
      <tp t="s">
        <v>#N/A Requesting Data...4126950981</v>
        <stp/>
        <stp>BDP|10811773521330276340</stp>
        <tr r="F42" s="446"/>
      </tp>
      <tp>
        <v>24783.5</v>
        <stp/>
        <stp>BDP|9834598325284437758|22</stp>
        <stp>2OH6 Index</stp>
        <stp>LAST_PRICE</stp>
        <tr r="S61" s="89"/>
      </tp>
      <tp t="s">
        <v>#N/A Requesting Data...2975892414</v>
        <stp/>
        <stp>BDP|18269203655158880133</stp>
        <tr r="F39" s="446"/>
      </tp>
      <tp t="s">
        <v>#N/A Requesting Data...4139694490</v>
        <stp/>
        <stp>BDP|18224492743199735712</stp>
        <tr r="T22" s="2"/>
      </tp>
      <tp t="s">
        <v>#N/A Requesting Data...3501171568</v>
        <stp/>
        <stp>BDP|10799626579213180430</stp>
        <tr r="AC54" s="1"/>
      </tp>
      <tp t="s">
        <v>#N/A Requesting Data...2149126847</v>
        <stp/>
        <stp>BDP|13639162762852624052</stp>
        <tr r="AF36" s="1"/>
        <tr r="AF37" s="1"/>
      </tp>
      <tp t="s">
        <v>#N/A Requesting Data...3041262820</v>
        <stp/>
        <stp>BDP|14765019069313776788</stp>
        <tr r="V8" s="89"/>
      </tp>
      <tp t="s">
        <v>#N/A Requesting Data...830355790</v>
        <stp/>
        <stp>BDP|18365939499897354990</stp>
        <tr r="D68" s="89"/>
      </tp>
      <tp t="s">
        <v>#N/A Requesting Data...2279206097</v>
        <stp/>
        <stp>BDP|17537017727307383479</stp>
        <tr r="AD22" s="2"/>
      </tp>
      <tp>
        <v>15.95</v>
        <stp/>
        <stp>BDP|5005092167591802286|22</stp>
        <stp>META US 04/17/26 C690 Equity</stp>
        <stp>bid</stp>
        <tr r="K77" s="89"/>
      </tp>
      <tp t="s">
        <v>#N/A Requesting Data...3511709418</v>
        <stp/>
        <stp>BDP|16372986296784191555</stp>
        <tr r="AC46" s="1"/>
      </tp>
      <tp t="s">
        <v>#N/A Requesting Data...1770214042</v>
        <stp/>
        <stp>BDP|14531256854956960242</stp>
        <tr r="D12" s="2"/>
      </tp>
      <tp t="s">
        <v>#N/A N/A</v>
        <stp/>
        <stp>BDP|17370707244810639397</stp>
        <tr r="AC8" s="2"/>
      </tp>
      <tp t="s">
        <v>#N/A Requesting Data...2842795565</v>
        <stp/>
        <stp>BDP|14546342925643453186</stp>
        <tr r="L8" s="338"/>
        <tr r="J8" s="338"/>
      </tp>
      <tp t="s">
        <v>#N/A Requesting Data...3912369142</v>
        <stp/>
        <stp>BDP|14112351219779481819</stp>
        <tr r="C13" s="89"/>
        <tr r="D21" s="2"/>
      </tp>
      <tp t="s">
        <v>#N/A Requesting Data...1925591563</v>
        <stp/>
        <stp>BDP|10775000831607606384</stp>
        <tr r="AB38" s="1"/>
      </tp>
      <tp t="s">
        <v>#N/A Requesting Data...3942589781</v>
        <stp/>
        <stp>BDP|12690186139094589394</stp>
        <tr r="D30" s="89"/>
      </tp>
      <tp t="s">
        <v>#N/A Requesting Data...2170713363</v>
        <stp/>
        <stp>BDP|15404493773766767722</stp>
        <tr r="G36" s="446"/>
      </tp>
      <tp t="s">
        <v>#N/A Requesting Data...1399999618</v>
        <stp/>
        <stp>BDP|18114698683463557242</stp>
        <tr r="AF56" s="1"/>
        <tr r="AF57" s="1"/>
      </tp>
      <tp t="s">
        <v>#N/A Requesting Data...2222215908</v>
        <stp/>
        <stp>BDP|14556104661927858316</stp>
        <tr r="N6" s="1"/>
      </tp>
      <tp t="s">
        <v>#N/A Requesting Data...2768734364</v>
        <stp/>
        <stp>BDP|15545395515946047643</stp>
        <tr r="V19" s="89"/>
      </tp>
      <tp t="s">
        <v>#N/A Requesting Data...3025880252</v>
        <stp/>
        <stp>BDP|12341108167772818008</stp>
        <tr r="T11" s="338"/>
      </tp>
      <tp t="s">
        <v>#N/A Requesting Data...887494073</v>
        <stp/>
        <stp>BDP|15780779710184950054</stp>
        <tr r="AI27" s="1"/>
      </tp>
      <tp t="s">
        <v>#N/A Requesting Data...786806567</v>
        <stp/>
        <stp>BDP|15607530839212696655</stp>
        <tr r="AG49" s="1"/>
        <tr r="AG50" s="1"/>
        <tr r="AG51" s="1"/>
      </tp>
      <tp t="s">
        <v>#N/A Requesting Data...2945701635</v>
        <stp/>
        <stp>BDP|10121215574476853434</stp>
        <tr r="AD24" s="2"/>
      </tp>
      <tp t="s">
        <v>#N/A Requesting Data...2551844896</v>
        <stp/>
        <stp>BDP|14683885016388086260</stp>
        <tr r="K49" s="1"/>
      </tp>
      <tp t="s">
        <v>#N/A Requesting Data...3802761394</v>
        <stp/>
        <stp>BDP|16190103000157320731</stp>
        <tr r="V52" s="89"/>
      </tp>
      <tp t="s">
        <v>#N/A Requesting Data...1319780966</v>
        <stp/>
        <stp>BDP|12052868717818962496</stp>
        <tr r="AI8" s="338"/>
      </tp>
      <tp t="s">
        <v>#N/A Requesting Data...1477938717</v>
        <stp/>
        <stp>BDP|14605168762492000638</stp>
        <tr r="K22" s="1"/>
      </tp>
      <tp t="s">
        <v>#N/A Requesting Data...4183730183</v>
        <stp/>
        <stp>BDP|12678050625094398357</stp>
        <tr r="D35" s="446"/>
        <tr r="AC28" s="1"/>
        <tr r="AC29" s="1"/>
      </tp>
      <tp t="s">
        <v>#N/A Requesting Data...4078820794</v>
        <stp/>
        <stp>BDP|10174429034410523025</stp>
        <tr r="E8" s="2"/>
      </tp>
      <tp t="s">
        <v>#N/A Requesting Data...4025536568</v>
        <stp/>
        <stp>BDP|12276525472755323212</stp>
        <tr r="AB46" s="1"/>
      </tp>
      <tp t="s">
        <v>#N/A Requesting Data...4107427971</v>
        <stp/>
        <stp>BDP|13691107662271159260</stp>
        <tr r="AR27" s="2"/>
      </tp>
      <tp t="s">
        <v>#N/A Requesting Data...3329481101</v>
        <stp/>
        <stp>BDP|13455264535315284065</stp>
        <tr r="AF26" s="1"/>
      </tp>
      <tp t="s">
        <v>#N/A Requesting Data...1335225123</v>
        <stp/>
        <stp>BDP|14541260223906476575</stp>
        <tr r="K18" s="1"/>
      </tp>
      <tp t="s">
        <v>#N/A N/A</v>
        <stp/>
        <stp>BDP|13548034063303146173</stp>
        <tr r="AC23" s="2"/>
        <tr r="AC24" s="2"/>
        <tr r="AC25" s="2"/>
        <tr r="AC26" s="2"/>
      </tp>
      <tp t="s">
        <v>#N/A Requesting Data...2654749849</v>
        <stp/>
        <stp>BDP|12760762958325303288</stp>
        <tr r="K28" s="1"/>
      </tp>
      <tp t="s">
        <v>#N/A Requesting Data...3104516879</v>
        <stp/>
        <stp>BDP|16678311834407962683</stp>
        <tr r="V88" s="89"/>
      </tp>
      <tp t="s">
        <v>#N/A Requesting Data...1186840171</v>
        <stp/>
        <stp>BDP|17610933289947663688</stp>
        <tr r="K32" s="1"/>
      </tp>
      <tp t="s">
        <v>#N/A Requesting Data...930674851</v>
        <stp/>
        <stp>BDP|12020891338657290965</stp>
        <tr r="K48" s="1"/>
      </tp>
      <tp t="s">
        <v>#N/A Requesting Data...1953986019</v>
        <stp/>
        <stp>BDP|15428672453229030857</stp>
        <tr r="T96" s="89"/>
      </tp>
      <tp t="s">
        <v>#N/A Requesting Data...3594622981</v>
        <stp/>
        <stp>BDP|16571375340064291245</stp>
        <tr r="C25" s="2"/>
      </tp>
      <tp t="s">
        <v>#N/A Requesting Data...4074335142</v>
        <stp/>
        <stp>BDP|12377620412822408039</stp>
        <tr r="O95" s="89"/>
      </tp>
      <tp t="s">
        <v>#N/A Requesting Data...1989019319</v>
        <stp/>
        <stp>BDP|17117535562106038540</stp>
        <tr r="X11" s="338"/>
      </tp>
      <tp t="s">
        <v>#N/A Requesting Data...1169934826</v>
        <stp/>
        <stp>BDP|11947265064485960753</stp>
        <tr r="U8" s="338"/>
      </tp>
      <tp t="s">
        <v>#N/A Requesting Data...1534652572</v>
        <stp/>
        <stp>BDP|18073219310938684416</stp>
        <tr r="C61" s="89"/>
      </tp>
      <tp t="s">
        <v>#N/A Requesting Data...4183259409</v>
        <stp/>
        <stp>BDP|13856641820218803820</stp>
        <tr r="AB13" s="1"/>
      </tp>
      <tp>
        <v>89.51</v>
        <stp/>
        <stp>BDP|2057497571936690391|22</stp>
        <stp>XLP Equity</stp>
        <stp>LAST_PRICE</stp>
        <tr r="I56" s="1"/>
        <tr r="I57" s="1"/>
      </tp>
      <tp t="e">
        <v>#N/A</v>
        <stp/>
        <stp>BDH|10029166644816771487</stp>
        <tr r="AR11" s="338"/>
        <tr r="AR10" s="338"/>
        <tr r="AR12" s="338"/>
      </tp>
      <tp>
        <v>23.7</v>
        <stp/>
        <stp>BDP|8316763994800088980|22</stp>
        <stp>META US 07/17/26 C750 Equity</stp>
        <stp>mid</stp>
        <tr r="L15" s="2"/>
      </tp>
      <tp t="s">
        <v>#N/A Requesting Data...1021108029</v>
        <stp/>
        <stp>BDP|12136399326041179666</stp>
        <tr r="AC48" s="1"/>
      </tp>
      <tp t="s">
        <v>#N/A Requesting Data...1638645236</v>
        <stp/>
        <stp>BDP|16918803796942195175</stp>
        <tr r="AR9" s="2"/>
      </tp>
      <tp t="s">
        <v>#N/A Requesting Data...3114474737</v>
        <stp/>
        <stp>BDP|14359282660695781141</stp>
        <tr r="AI54" s="1"/>
      </tp>
      <tp t="s">
        <v>#N/A Requesting Data...1005436207</v>
        <stp/>
        <stp>BDP|12194689278231069699</stp>
        <tr r="AI12" s="1"/>
      </tp>
      <tp t="s">
        <v>#N/A N/A</v>
        <stp/>
        <stp>BDP|15839339977736656325</stp>
        <tr r="AQ13" s="2"/>
        <tr r="AB7" s="89"/>
        <tr r="AB8" s="89"/>
        <tr r="AQ14" s="2"/>
      </tp>
      <tp t="s">
        <v>#N/A Requesting Data...1857616908</v>
        <stp/>
        <stp>BDP|16851834935831563802</stp>
        <tr r="T20" s="2"/>
      </tp>
      <tp t="s">
        <v>#N/A Requesting Data...1237552866</v>
        <stp/>
        <stp>BDP|16396605660213161199</stp>
        <tr r="Z30" s="89"/>
        <tr r="AA30" s="89"/>
      </tp>
      <tp t="s">
        <v>#N/A Requesting Data...2888934911</v>
        <stp/>
        <stp>BDP|18129626680660034281</stp>
        <tr r="AB23" s="1"/>
      </tp>
      <tp t="s">
        <v>#N/A Requesting Data...3807436042</v>
        <stp/>
        <stp>BDP|10276659037702882326</stp>
        <tr r="O8" s="89"/>
      </tp>
      <tp t="s">
        <v>#N/A Requesting Data...1360616720</v>
        <stp/>
        <stp>BDP|17303082674511603530</stp>
        <tr r="C88" s="89"/>
      </tp>
      <tp t="s">
        <v>#N/A Requesting Data...3562442459</v>
        <stp/>
        <stp>BDP|17958159524868336813</stp>
        <tr r="AI24" s="1"/>
      </tp>
      <tp t="s">
        <v>#N/A Requesting Data...987853858</v>
        <stp/>
        <stp>BDP|11697784175497336241</stp>
        <tr r="F19" s="2"/>
      </tp>
      <tp t="s">
        <v>#N/A Requesting Data...2874500426</v>
        <stp/>
        <stp>BDP|13362587002474685639</stp>
        <tr r="G33" s="446"/>
      </tp>
      <tp t="s">
        <v>#N/A Requesting Data...4244858157</v>
        <stp/>
        <stp>BDP|12253664208158718848</stp>
        <tr r="AC47" s="1"/>
      </tp>
      <tp t="s">
        <v>#N/A Requesting Data...1981674530</v>
        <stp/>
        <stp>BDP|12808259605704536020</stp>
        <tr r="D23" s="2"/>
      </tp>
      <tp t="s">
        <v>#N/A Requesting Data...3275331512</v>
        <stp/>
        <stp>BDP|13306279038280095632</stp>
        <tr r="AR4" s="2"/>
      </tp>
      <tp t="s">
        <v>#N/A Requesting Data...3715546117</v>
        <stp/>
        <stp>BDP|16454410544065930770</stp>
        <tr r="D43" s="89"/>
        <tr r="D44" s="89"/>
        <tr r="D62" s="89"/>
      </tp>
      <tp t="s">
        <v>#N/A Requesting Data...4261343139</v>
        <stp/>
        <stp>BDP|10930560316549062982</stp>
        <tr r="C68" s="89"/>
      </tp>
      <tp t="s">
        <v>#N/A Requesting Data...4093872546</v>
        <stp/>
        <stp>BDP|17624673723155105222</stp>
        <tr r="AB55" s="1"/>
      </tp>
      <tp t="s">
        <v>#N/A Requesting Data...1460445753</v>
        <stp/>
        <stp>BDP|14406440625767437102</stp>
        <tr r="J10" s="1"/>
      </tp>
      <tp t="s">
        <v>#N/A Requesting Data...1590948959</v>
        <stp/>
        <stp>BDP|12635475140716485056</stp>
        <tr r="E24" s="2"/>
      </tp>
      <tp t="s">
        <v>#N/A Requesting Data...4239412015</v>
        <stp/>
        <stp>BDP|16140660531672678504</stp>
        <tr r="O94" s="89"/>
      </tp>
      <tp t="s">
        <v>#N/A Requesting Data...2027645452</v>
        <stp/>
        <stp>BDP|14437871301241284935</stp>
        <tr r="AJ12" s="338"/>
      </tp>
      <tp t="s">
        <v>#N/A Requesting Data...3811401360</v>
        <stp/>
        <stp>BDP|11214745035248274920</stp>
        <tr r="V8" s="338"/>
      </tp>
      <tp t="s">
        <v>#N/A Requesting Data...2888530119</v>
        <stp/>
        <stp>BDP|12168490429210433067</stp>
        <tr r="T77" s="89"/>
      </tp>
      <tp t="s">
        <v>#N/A Requesting Data...2591865830</v>
        <stp/>
        <stp>BDP|11625676250200786659</stp>
        <tr r="T8" s="338"/>
      </tp>
      <tp t="s">
        <v>#N/A N/A</v>
        <stp/>
        <stp>BDP|18042899846108511886</stp>
        <tr r="AB13" s="89"/>
        <tr r="AB14" s="89"/>
        <tr r="AQ20" s="2"/>
        <tr r="AQ21" s="2"/>
        <tr r="AQ22" s="2"/>
      </tp>
      <tp t="s">
        <v>#N/A Requesting Data...1298960231</v>
        <stp/>
        <stp>BDP|14059396921424230587</stp>
        <tr r="AF33" s="1"/>
        <tr r="AF34" s="1"/>
        <tr r="AF11" s="338"/>
      </tp>
      <tp t="s">
        <v>#N/A Requesting Data...3706967071</v>
        <stp/>
        <stp>BDP|17956776735294864366</stp>
        <tr r="E53" s="89"/>
      </tp>
      <tp t="s">
        <v>#N/A Requesting Data...3583502208</v>
        <stp/>
        <stp>BDP|12711401003907750544</stp>
        <tr r="V37" s="89"/>
      </tp>
      <tp t="s">
        <v>#N/A Requesting Data...3096974842</v>
        <stp/>
        <stp>BDP|10337841861653211939</stp>
        <tr r="F14" s="446"/>
        <tr r="AB52" s="1"/>
        <tr r="AB53" s="1"/>
      </tp>
      <tp t="s">
        <v>#N/A Requesting Data...2420885517</v>
        <stp/>
        <stp>BDP|11243430201469561835</stp>
        <tr r="AI30" s="1"/>
        <tr r="AI31" s="1"/>
      </tp>
      <tp t="s">
        <v>#N/A Requesting Data...2979598959</v>
        <stp/>
        <stp>BDP|12113265951137044605</stp>
        <tr r="AI46" s="1"/>
      </tp>
      <tp t="s">
        <v>#N/A Invalid Security</v>
        <stp/>
        <stp>BDP|17276935431976766163|22</stp>
        <stp xml:space="preserve"> Equity</stp>
        <stp>QUOTED_CURRENCY_REALTIME</stp>
        <tr r="F43" s="89"/>
        <tr r="F87" s="89"/>
        <tr r="F44" s="89"/>
        <tr r="F86" s="89"/>
      </tp>
      <tp>
        <v>129</v>
        <stp/>
        <stp>BDP|5871926180393537825|22</stp>
        <stp>LITE US 06/18/26 C600 Equity</stp>
        <stp>ask</stp>
        <tr r="Q13" s="2"/>
      </tp>
      <tp>
        <v>23.5</v>
        <stp/>
        <stp>BDP|1435529279737285533|22</stp>
        <stp>META US 07/17/26 C750 Equity</stp>
        <stp>bid</stp>
        <tr r="P15" s="2"/>
      </tp>
      <tp>
        <v>126.95</v>
        <stp/>
        <stp>BDP|2338299991529458350|22</stp>
        <stp>LITE US 06/18/26 C600 Equity</stp>
        <stp>mid</stp>
        <tr r="L13" s="2"/>
      </tp>
      <tp>
        <v>8.15</v>
        <stp/>
        <stp>BDP|3455432218402996031|22</stp>
        <stp>META US 02/27/26 C660 Equity</stp>
        <stp>bid</stp>
        <tr r="K88" s="89"/>
      </tp>
      <tp>
        <v>124.9</v>
        <stp/>
        <stp>BDP|3994129037389910433|22</stp>
        <stp>LITE US 06/18/26 C600 Equity</stp>
        <stp>bid</stp>
        <tr r="P13" s="2"/>
      </tp>
      <tp>
        <v>12.05</v>
        <stp/>
        <stp>BDP|9130086212153647776|22</stp>
        <stp>AMZN US 12/18/26 C250 Equity</stp>
        <stp>bid</stp>
        <tr r="K94" s="89"/>
      </tp>
      <tp t="s">
        <v>#N/A N/A</v>
        <stp/>
        <stp>BDP|10976567873595722239</stp>
        <tr r="AV27" s="2"/>
        <tr r="AV28" s="2"/>
      </tp>
      <tp t="s">
        <v>#N/A Requesting Data...1111116353</v>
        <stp/>
        <stp>BDP|15085394986433411839</stp>
        <tr r="AA14" s="89"/>
        <tr r="Z14" s="89"/>
      </tp>
      <tp t="s">
        <v>#N/A Requesting Data...4247316181</v>
        <stp/>
        <stp>BDP|15688066863846340087</stp>
        <tr r="D28" s="446"/>
      </tp>
      <tp t="s">
        <v>#N/A Requesting Data...4275074426</v>
        <stp/>
        <stp>BDP|10187425150716047280</stp>
        <tr r="AB47" s="1"/>
      </tp>
      <tp t="s">
        <v>#N/A Requesting Data...2748436916</v>
        <stp/>
        <stp>BDP|15767057305588506896</stp>
        <tr r="AH9" s="338"/>
      </tp>
      <tp t="s">
        <v>#N/A Requesting Data...3154124331</v>
        <stp/>
        <stp>BDP|15429696736422623764</stp>
        <tr r="K23" s="1"/>
      </tp>
      <tp t="s">
        <v>#N/A Requesting Data...3323074243</v>
        <stp/>
        <stp>BDP|12598914732268945550</stp>
        <tr r="E10" s="1"/>
      </tp>
      <tp t="s">
        <v>#N/A Requesting Data...1932177803</v>
        <stp/>
        <stp>BDP|10968744678995921066</stp>
        <tr r="C43" s="89"/>
        <tr r="C44" s="89"/>
        <tr r="C86" s="89"/>
        <tr r="C87" s="89"/>
      </tp>
      <tp t="s">
        <v>#N/A Requesting Data...3396878433</v>
        <stp/>
        <stp>BDP|12490577043850363694</stp>
        <tr r="C77" s="89"/>
      </tp>
      <tp t="s">
        <v>#N/A Requesting Data...4066576743</v>
        <stp/>
        <stp>BDP|15541299241081269729</stp>
        <tr r="O105" s="89"/>
        <tr r="T5" s="2"/>
      </tp>
      <tp t="s">
        <v>#N/A Requesting Data...1761254051</v>
        <stp/>
        <stp>BDP|15872646771885299421</stp>
        <tr r="F16" s="446"/>
      </tp>
      <tp t="s">
        <v>#N/A Requesting Data...3115648638</v>
        <stp/>
        <stp>BDP|16815476022480599563</stp>
        <tr r="E20" s="89"/>
      </tp>
      <tp t="s">
        <v>#N/A Requesting Data...2762912632</v>
        <stp/>
        <stp>BDP|14521485953094621461</stp>
        <tr r="T18" s="2"/>
      </tp>
      <tp t="s">
        <v>#N/A Requesting Data...832889993</v>
        <stp/>
        <stp>BDP|15051140014688420859</stp>
        <tr r="AC12" s="1"/>
      </tp>
      <tp t="s">
        <v>#N/A Requesting Data...1186975510</v>
        <stp/>
        <stp>BDP|16068368952433220674</stp>
        <tr r="D53" s="89"/>
      </tp>
      <tp t="s">
        <v>#N/A Requesting Data...3925753578</v>
        <stp/>
        <stp>BDP|15098093978681583652</stp>
        <tr r="C30" s="89"/>
      </tp>
      <tp t="s">
        <v>#N/A N/A</v>
        <stp/>
        <stp>BDP|17289014403731542359</stp>
        <tr r="AQ12" s="2"/>
      </tp>
      <tp t="s">
        <v>#N/A Requesting Data...1510542481</v>
        <stp/>
        <stp>BDP|14342024613619901985</stp>
        <tr r="F32" s="446"/>
      </tp>
      <tp t="s">
        <v>#N/A Requesting Data...4048682245</v>
        <stp/>
        <stp>BDP|10937692769253805623</stp>
        <tr r="F9" s="2"/>
      </tp>
      <tp t="s">
        <v>#N/A Requesting Data...4063068237</v>
        <stp/>
        <stp>BDP|15647809597228039929</stp>
        <tr r="F14" s="2"/>
      </tp>
      <tp t="s">
        <v>#N/A Requesting Data...2996469609</v>
        <stp/>
        <stp>BDP|13450917922399223467</stp>
        <tr r="G34" s="446"/>
      </tp>
      <tp t="s">
        <v>#N/A Requesting Data...1526943720</v>
        <stp/>
        <stp>BDP|11202039151326059722</stp>
        <tr r="V104" s="89"/>
      </tp>
      <tp t="s">
        <v>#N/A Requesting Data...864691487</v>
        <stp/>
        <stp>BDP|12142735374617755031</stp>
        <tr r="AG13" s="1"/>
      </tp>
      <tp t="s">
        <v>#N/A Requesting Data...2741695957</v>
        <stp/>
        <stp>BDP|14142329387503299940</stp>
        <tr r="D25" s="2"/>
      </tp>
      <tp t="s">
        <v>#N/A Requesting Data...2280345402</v>
        <stp/>
        <stp>BDP|12540520710212521104</stp>
        <tr r="AC49" s="1"/>
        <tr r="AC50" s="1"/>
        <tr r="AC51" s="1"/>
      </tp>
      <tp t="s">
        <v>#N/A Requesting Data...1842206707</v>
        <stp/>
        <stp>BDP|14997193200018500815</stp>
        <tr r="AR14" s="2"/>
      </tp>
      <tp t="s">
        <v>#N/A Requesting Data...2744982738</v>
        <stp/>
        <stp>BDP|18269255641489268206</stp>
        <tr r="AC36" s="1"/>
        <tr r="AC37" s="1"/>
      </tp>
      <tp t="s">
        <v>#N/A Requesting Data...1940858876</v>
        <stp/>
        <stp>BDP|15660791077340487089</stp>
        <tr r="E1" s="1"/>
      </tp>
      <tp t="s">
        <v>#N/A Requesting Data...4181792532</v>
        <stp/>
        <stp>BDP|17271244710975447452</stp>
        <tr r="AK9" s="338"/>
      </tp>
      <tp t="s">
        <v>#N/A Requesting Data...3652324454</v>
        <stp/>
        <stp>BDP|14505061934744038618</stp>
        <tr r="AB2" s="1"/>
      </tp>
      <tp t="s">
        <v>#N/A Requesting Data...1084059515</v>
        <stp/>
        <stp>BDP|11370170641465778442</stp>
        <tr r="O77" s="89"/>
      </tp>
      <tp t="e">
        <v>#N/A</v>
        <stp/>
        <stp>BDH|11321447396089307095</stp>
        <tr r="AM11" s="338"/>
      </tp>
    </main>
    <main first="bofaddin.rtdserver">
      <tp>
        <v>262.95999999999998</v>
        <stp/>
        <stp>BDP|7062867511992634566|22</stp>
        <stp>IWM EQUITY</stp>
        <stp>LAST_PRICE</stp>
        <tr r="L8" s="1"/>
      </tp>
      <tp>
        <v>33.68</v>
        <stp/>
        <stp>BDP|16778716474861008512|22</stp>
        <stp>ASHR US Equity</stp>
        <stp>LAST_PRICE</stp>
        <tr r="Z7" s="2"/>
        <tr r="Z6" s="2"/>
      </tp>
      <tp>
        <v>-0.33727678656578064</v>
        <stp/>
        <stp>BDP|8808339680297150545|22</stp>
        <stp>QQQ US 02/27/26 P590 Equity</stp>
        <stp>DELTA_MID_RT</stp>
        <tr r="AF25" s="2"/>
      </tp>
      <tp>
        <v>182400</v>
        <stp/>
        <stp>BDP|2801672589713003233|22</stp>
        <stp>005930 KS Equity</stp>
        <stp>LAST_PRICE</stp>
        <tr r="I25" s="1"/>
      </tp>
      <tp>
        <v>207.32</v>
        <stp/>
        <stp>BDP|8139972387614957050|22</stp>
        <stp>AMD EQUITY</stp>
        <stp>LAST_PRICE</stp>
        <tr r="C4" s="1"/>
      </tp>
      <tp t="s">
        <v>#N/A Real Time</v>
        <stp/>
        <stp>BDP|11820070012775282534|22</stp>
        <stp>RTYWU5C3 2500 Index</stp>
        <stp>ask</stp>
        <tr r="L53" s="89"/>
      </tp>
      <tp>
        <v>325.17</v>
        <stp/>
        <stp>BDP|17019897193923426340|22</stp>
        <stp>AVGO US Equity</stp>
        <stp>LAST_PRICE</stp>
        <tr r="Z8" s="2"/>
      </tp>
      <tp>
        <v>-3.9813593029975891E-3</v>
        <stp/>
        <stp>BDP|1624814207309363770|22</stp>
        <stp>QQQ US 02/13/26 P590 Equity</stp>
        <stp>DELTA_MID_RT</stp>
        <tr r="W37" s="89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26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F20" s="89"/>
        <tr r="G11" s="2"/>
      </tp>
      <tp t="s">
        <v>USD</v>
        <stp/>
        <stp>BDP|7415188276848735494|22</stp>
        <stp>NVDA US 03/20/26 C200 Equity</stp>
        <stp>QUOTED_CURRENCY_REALTIME</stp>
        <tr r="F13" s="89"/>
        <tr r="G21" s="2"/>
      </tp>
      <tp>
        <v>-0.42184844613075256</v>
        <stp/>
        <stp>BDP|353557563566151746|22</stp>
        <stp>QQQ US 02/27/26 P580 Equity</stp>
        <stp>theta_mid_rt</stp>
        <tr r="AN26" s="2"/>
      </tp>
      <tp>
        <v>1915</v>
        <stp/>
        <stp>BDP|7006367744653116074|22</stp>
        <stp>2330 TT Equity</stp>
        <stp>LAST_PRICE</stp>
        <tr r="I27" s="1"/>
      </tp>
      <tp>
        <v>366.36</v>
        <stp/>
        <stp>BDP|5454315708850008901|22</stp>
        <stp>TSM EQUITY</stp>
        <stp>LAST_PRICE</stp>
        <tr r="C3" s="1"/>
      </tp>
      <tp>
        <v>-6.4561213366687298E-3</v>
        <stp/>
        <stp>BDP|1197183387111047278|22</stp>
        <stp>QQQ US 02/13/26 P595 Equity</stp>
        <stp>DELTA_MID_RT</stp>
        <tr r="W36" s="89"/>
      </tp>
      <tp t="s">
        <v>USD</v>
        <stp/>
        <stp>BDP|2430132797707671505|22</stp>
        <stp>NVDA US 05/15/26 C200 Equity</stp>
        <stp>QUOTED_CURRENCY_REALTIME</stp>
        <tr r="G20" s="2"/>
      </tp>
      <tp>
        <v>-2.3706004023551941E-2</v>
        <stp/>
        <stp>BDP|5147365525129605184|22</stp>
        <stp>QQQ US 02/12/26 P599 Equity</stp>
        <stp>DELTA_MID_RT</stp>
        <tr r="W30" s="89"/>
      </tp>
      <tp t="s">
        <v>#N/A Real Time</v>
        <stp/>
        <stp>BDP|3644211716247599726|22</stp>
        <stp>RTYWU5C3 2500 Index</stp>
        <stp>DELTA_MID_RT</stp>
        <tr r="W53" s="89"/>
      </tp>
      <tp>
        <v>-3.1752470880746841E-2</v>
        <stp/>
        <stp>BDP|13286199336537530126|22</stp>
        <stp>ASHR US 02/27/26 C35 Equity</stp>
        <stp>theta_mid_rt</stp>
        <tr r="AN7" s="2"/>
      </tp>
      <tp>
        <v>886000</v>
        <stp/>
        <stp>BDP|6431978350865048428|22</stp>
        <stp>000660 KS Equity</stp>
        <stp>LAST_PRICE</stp>
        <tr r="I23" s="1"/>
      </tp>
      <tp>
        <v>281.58</v>
        <stp/>
        <stp>BDP|4895281984520079725|22</stp>
        <stp>WDC EQUITY</stp>
        <stp>LAST_PRICE</stp>
        <tr r="H7" s="1"/>
      </tp>
      <tp>
        <v>-2.6990573853254318E-2</v>
        <stp/>
        <stp>BDP|11687415304317098980|22</stp>
        <stp>NFLX US 05/15/26 C90 Equity</stp>
        <stp>theta_mid_rt</stp>
        <tr r="AN18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BDP|1362261034397499279|22</stp>
        <stp>AMZN US 12/18/26 C250 Equity</stp>
        <stp>QUOTED_CURRENCY_REALTIME</stp>
        <tr r="F94" s="89"/>
      </tp>
      <tp t="s">
        <v>USD</v>
        <stp/>
        <stp>BDP|6088342743599646986|22</stp>
        <stp>LITE US 06/18/26 C720 Equity</stp>
        <stp>QUOTED_CURRENCY_REALTIME</stp>
        <tr r="G14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L43" s="89"/>
        <tr r="L86" s="89"/>
        <tr r="L87" s="89"/>
        <tr r="L44" s="89"/>
        <tr r="Q2" s="2"/>
      </tp>
      <tp>
        <v>411.66</v>
        <stp/>
        <stp>BDP|12429311880057526361|22</stp>
        <stp>MU EQUITY</stp>
        <stp>LAST_PRICE</stp>
        <tr r="H2" s="1"/>
      </tp>
      <tp>
        <v>-0.13726265728473663</v>
        <stp/>
        <stp>BDP|12749296897091541940|22</stp>
        <stp>NVDA US 03/20/26 C200 Equity</stp>
        <stp>theta_mid_rt</stp>
        <tr r="AN21" s="2"/>
      </tp>
      <tp>
        <v>-7.3951557278633118E-2</v>
        <stp/>
        <stp>BDP|12746170727172974965|22</stp>
        <stp>NVDA US 03/20/26 C220 Equity</stp>
        <stp>theta_mid_rt</stp>
        <tr r="AN22" s="2"/>
      </tp>
      <tp t="s">
        <v>USD</v>
        <stp/>
        <stp>BDP|9373829889527232263|22</stp>
        <stp>META US 07/17/26 C750 Equity</stp>
        <stp>QUOTED_CURRENCY_REALTIME</stp>
        <tr r="G15" s="2"/>
      </tp>
      <tp t="s">
        <v>#N/A Real Time</v>
        <stp/>
        <stp>BDP|14971432828971535518|22</stp>
        <stp>RTYWU5C3 2500 Index</stp>
        <stp>QUOTED_CURRENCY_REALTIME</stp>
        <tr r="F53" s="89"/>
      </tp>
      <tp>
        <v>46.79</v>
        <stp/>
        <stp>BDP|15280641543212915371|22</stp>
        <stp>INTC US Equity</stp>
        <stp>LAST_PRICE</stp>
        <tr r="Z12" s="2"/>
      </tp>
      <tp>
        <v>-7.9239405691623688E-2</v>
        <stp/>
        <stp>BDP|16456111785153391042|22</stp>
        <stp>MRVL US 03/20/26 P70 Equity</stp>
        <stp>theta_mid_rt</stp>
        <tr r="AN16" s="2"/>
      </tp>
      <tp t="s">
        <v>USD</v>
        <stp/>
        <stp>BDP|3371138276627182525|22</stp>
        <stp>AMZN US 07/17/26 C240 Equity</stp>
        <stp>QUOTED_CURRENCY_REALTIME</stp>
        <tr r="F103" s="89"/>
        <tr r="G4" s="2"/>
      </tp>
      <tp t="s">
        <v>USD</v>
        <stp/>
        <stp>BDP|13849735381950847499|22</stp>
        <stp>QQQ US 02/13/26 P590 Equity</stp>
        <stp>QUOTED_CURRENCY_REALTIME</stp>
        <tr r="F37" s="89"/>
      </tp>
      <tp>
        <v>198.79</v>
        <stp/>
        <stp>BDP|11431942920512482031|22</stp>
        <stp>AMZN US Equity</stp>
        <stp>LAST_PRICE</stp>
        <tr r="S94" s="89"/>
        <tr r="S95" s="89"/>
        <tr r="S96" s="89"/>
        <tr r="S103" s="89"/>
        <tr r="S104" s="89"/>
        <tr r="S105" s="89"/>
        <tr r="Z4" s="2"/>
        <tr r="Z5" s="2"/>
      </tp>
      <tp>
        <v>107.08</v>
        <stp/>
        <stp>BDP|5743631822536954954|22</stp>
        <stp>NOW EQUITY</stp>
        <stp>LAST_PRICE</stp>
        <tr r="H10" s="1"/>
      </tp>
      <tp t="s">
        <v>USD</v>
        <stp/>
        <stp>BDP|5735107767338324081|22</stp>
        <stp>AMZN US 12/18/26 C230 Equity</stp>
        <stp>QUOTED_CURRENCY_REALTIME</stp>
        <tr r="F95" s="89"/>
      </tp>
      <tp t="s">
        <v>USD</v>
        <stp/>
        <stp>BDP|2475667770607843421|22</stp>
        <stp>AMZN US 07/17/26 P180 Equity</stp>
        <stp>QUOTED_CURRENCY_REALTIME</stp>
        <tr r="F105" s="89"/>
        <tr r="G5" s="2"/>
      </tp>
      <tp>
        <v>601.91999999999996</v>
        <stp/>
        <stp>BDP|360499996244621952|22</stp>
        <stp>QQQ US Equity</stp>
        <stp>LAST_PRICE</stp>
        <tr r="S30" s="89"/>
        <tr r="S36" s="89"/>
        <tr r="S37" s="89"/>
        <tr r="Z23" s="2"/>
        <tr r="Z24" s="2"/>
        <tr r="Z25" s="2"/>
        <tr r="Z26" s="2"/>
        <tr r="S31" s="89"/>
      </tp>
      <tp t="s">
        <v>USD</v>
        <stp/>
        <stp>BDP|4431138389166708026|22</stp>
        <stp>AMZN US 07/17/26 C230 Equity</stp>
        <stp>QUOTED_CURRENCY_REALTIME</stp>
        <tr r="F104" s="89"/>
      </tp>
      <tp>
        <v>639.77</v>
        <stp/>
        <stp>BDP|12884552599081678750|22</stp>
        <stp>META US Equity</stp>
        <stp>LAST_PRICE</stp>
        <tr r="S77" s="89"/>
        <tr r="S78" s="89"/>
        <tr r="S79" s="89"/>
        <tr r="S88" s="89"/>
        <tr r="Z15" s="2"/>
      </tp>
      <tp t="s">
        <v>USD</v>
        <stp/>
        <stp>BDP|14350563132496110248|22</stp>
        <stp>QQQ US 02/20/26 P600 Equity</stp>
        <stp>QUOTED_CURRENCY_REALTIME</stp>
        <tr r="G23" s="2"/>
      </tp>
      <tp>
        <v>-2.3760659620165825E-2</v>
        <stp/>
        <stp>BDP|17856461713270669920|22</stp>
        <stp>INTC US 07/17/26 C50 Equity</stp>
        <stp>theta_mid_rt</stp>
        <tr r="AN12" s="2"/>
      </tp>
      <tp>
        <v>-4.8436082899570465E-2</v>
        <stp/>
        <stp>BDP|10014400757682207201|22</stp>
        <stp>MRVL US 03/20/26 P60 Equity</stp>
        <stp>theta_mid_rt</stp>
        <tr r="AN17" s="2"/>
      </tp>
      <tp>
        <v>82.77</v>
        <stp/>
        <stp>BDP|2213699979188169021|22</stp>
        <stp>IGV EQUITY</stp>
        <stp>LAST_PRICE</stp>
        <tr r="L2" s="1"/>
      </tp>
      <tp>
        <v>-6.8586100824177265E-3</v>
        <stp/>
        <stp>BDP|12282787928556568649|22</stp>
        <stp>CSCO US 07/17/26 C100 Equity</stp>
        <stp>theta_mid_rt</stp>
        <tr r="AN11" s="2"/>
      </tp>
      <tp>
        <v>76.849999999999994</v>
        <stp/>
        <stp>BDP|224343272968290990|22</stp>
        <stp>CSCO Equity</stp>
        <stp>LAST_PRICE</stp>
        <tr r="I41" s="1"/>
        <tr r="I42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601.91999999999996</v>
        <stp/>
        <stp>BDP|2689810960265066336|22</stp>
        <stp>QQQ EQUITY</stp>
        <stp>LAST_PRICE</stp>
        <tr r="L6" s="1"/>
      </tp>
      <tp>
        <v>-8.6143746972084045E-2</v>
        <stp/>
        <stp>BDP|11554504603472673655|22</stp>
        <stp>NVDA US 05/15/26 C200 Equity</stp>
        <stp>theta_mid_rt</stp>
        <tr r="AN20" s="2"/>
      </tp>
      <tp t="s">
        <v>USD</v>
        <stp/>
        <stp>BDP|12224588026803956164|22</stp>
        <stp>AMZN US 12/18/26 P180 Equity</stp>
        <stp>QUOTED_CURRENCY_REALTIME</stp>
        <tr r="F96" s="89"/>
      </tp>
      <tp t="s">
        <v>#N/A Requesting Data...4139089654</v>
        <stp/>
        <stp>BDP|3970119255888163378</stp>
        <tr r="L11" s="338"/>
        <tr r="H11" s="338"/>
      </tp>
      <tp t="s">
        <v>#N/A Requesting Data...3362848227</v>
        <stp/>
        <stp>BDP|1780817128230709721</stp>
        <tr r="AC32" s="1"/>
      </tp>
      <tp t="s">
        <v>#N/A Requesting Data...1855984780</v>
        <stp/>
        <stp>BDP|6875767680954769102</stp>
        <tr r="AR8" s="2"/>
      </tp>
      <tp t="s">
        <v>#N/A Requesting Data...3216930475</v>
        <stp/>
        <stp>BDP|7500005297250850236</stp>
        <tr r="N1" s="1"/>
      </tp>
      <tp t="s">
        <v>#N/A Requesting Data...1887139481</v>
        <stp/>
        <stp>BDP|7828562231434179977</stp>
        <tr r="G30" s="446"/>
      </tp>
      <tp t="s">
        <v>#N/A Requesting Data...3677073713</v>
        <stp/>
        <stp>BDP|4792760710096869864</stp>
        <tr r="E11" s="2"/>
      </tp>
      <tp t="s">
        <v>#N/A Requesting Data...2326355810</v>
        <stp/>
        <stp>BDP|8367283627072476679</stp>
        <tr r="AC30" s="1"/>
        <tr r="AC31" s="1"/>
      </tp>
      <tp t="s">
        <v>#N/A Requesting Data...4245548335</v>
        <stp/>
        <stp>BDP|4596394917382492801</stp>
        <tr r="AF10" s="1"/>
      </tp>
      <tp t="s">
        <v>#N/A Requesting Data...1625382517</v>
        <stp/>
        <stp>BDP|5191603809286463901</stp>
        <tr r="V14" s="89"/>
      </tp>
      <tp t="s">
        <v>#N/A Requesting Data...3209218835</v>
        <stp/>
        <stp>BDP|8267476373493896423</stp>
        <tr r="N2" s="1"/>
      </tp>
      <tp t="s">
        <v>#N/A N/A</v>
        <stp/>
        <stp>BDP|3432349159669557008</stp>
        <tr r="R19" s="89"/>
        <tr r="R20" s="89"/>
        <tr r="AV9" s="2"/>
        <tr r="AV10" s="2"/>
        <tr r="AV11" s="2"/>
      </tp>
      <tp t="s">
        <v>#N/A Requesting Data...3360550351</v>
        <stp/>
        <stp>BDP|3823451941108785766</stp>
        <tr r="D19" s="89"/>
      </tp>
      <tp t="s">
        <v>#N/A Requesting Data...3039156536</v>
        <stp/>
        <stp>BDP|7707682811374333805</stp>
        <tr r="AR11" s="2"/>
      </tp>
      <tp t="s">
        <v>#N/A Requesting Data...1164395166</v>
        <stp/>
        <stp>BDP|4738998939235389797</stp>
        <tr r="F8" s="446"/>
      </tp>
      <tp t="s">
        <v>#N/A Requesting Data...3598563396</v>
        <stp/>
        <stp>BDP|5580113800851198970</stp>
        <tr r="J3" s="1"/>
      </tp>
      <tp t="s">
        <v>#N/A Requesting Data...3623710790</v>
        <stp/>
        <stp>BDP|5357847351561143559</stp>
        <tr r="AG21" s="1"/>
      </tp>
      <tp t="s">
        <v>#N/A N/A</v>
        <stp/>
        <stp>BDP|2282995976142786289</stp>
        <tr r="AV8" s="2"/>
      </tp>
      <tp t="s">
        <v>#N/A Requesting Data...1151315119</v>
        <stp/>
        <stp>BDP|8370148836023021531</stp>
        <tr r="AF35" s="1"/>
      </tp>
      <tp t="s">
        <v>#N/A Requesting Data...2239407475</v>
        <stp/>
        <stp>BDP|1367410484473609226</stp>
        <tr r="AK8" s="338"/>
        <tr r="AI8" s="338"/>
      </tp>
      <tp t="s">
        <v>#N/A Requesting Data...2774222453</v>
        <stp/>
        <stp>BDP|8620307866159042824</stp>
        <tr r="T37" s="89"/>
      </tp>
      <tp t="s">
        <v>#N/A Requesting Data...1848304227</v>
        <stp/>
        <stp>BDP|2737330982055463026</stp>
        <tr r="AG35" s="1"/>
      </tp>
      <tp t="s">
        <v>#N/A Requesting Data...2799173863</v>
        <stp/>
        <stp>BDP|3098041072779459130</stp>
        <tr r="E77" s="89"/>
      </tp>
      <tp t="s">
        <v>#N/A Requesting Data...3986529540</v>
        <stp/>
        <stp>BDP|1557865840324483567</stp>
        <tr r="C5" s="2"/>
      </tp>
      <tp t="s">
        <v>#N/A Requesting Data...1292070291</v>
        <stp/>
        <stp>BDP|8920338066988955948</stp>
        <tr r="V31" s="89"/>
      </tp>
      <tp t="s">
        <v>#N/A Requesting Data...1773025482</v>
        <stp/>
        <stp>BDP|4670123577217166936</stp>
        <tr r="D15" s="2"/>
      </tp>
      <tp t="s">
        <v>#N/A Requesting Data...2944575600</v>
        <stp/>
        <stp>BDP|5489377534060375922</stp>
        <tr r="T53" s="89"/>
      </tp>
      <tp t="s">
        <v>#N/A Requesting Data...2318689516</v>
        <stp/>
        <stp>BDP|3262255082576563363</stp>
        <tr r="AD18" s="2"/>
      </tp>
      <tp t="s">
        <v>#N/A Requesting Data...1914754823</v>
        <stp/>
        <stp>BDP|9515949913399601436</stp>
        <tr r="G25" s="446"/>
      </tp>
      <tp t="s">
        <v>#N/A Requesting Data...3944841212</v>
        <stp/>
        <stp>BDP|8263574395840153846</stp>
        <tr r="AA14" s="2"/>
      </tp>
      <tp t="s">
        <v>#N/A Requesting Data...4184954144</v>
        <stp/>
        <stp>BDP|6094571479378853035</stp>
        <tr r="C22" s="2"/>
      </tp>
      <tp t="s">
        <v>#N/A Requesting Data...2060643713</v>
        <stp/>
        <stp>BDP|8438357318146538099</stp>
        <tr r="AA19" s="2"/>
      </tp>
      <tp>
        <v>8.5</v>
        <stp/>
        <stp>BDP|16359753100625413729|22</stp>
        <stp>AMZN US 07/17/26 C230 Equity</stp>
        <stp>ask</stp>
        <tr r="L104" s="89"/>
      </tp>
      <tp>
        <v>0.26410236954689026</v>
        <stp/>
        <stp>BDP|1548409391739816515|22</stp>
        <stp>NFLX US 05/15/26 C90 Equity</stp>
        <stp>DELTA_MID_RT</stp>
        <tr r="AF18" s="2"/>
      </tp>
      <tp t="s">
        <v>#N/A Requesting Data...2314579529</v>
        <stp/>
        <stp>BDP|3337761684491833019</stp>
        <tr r="F44" s="446"/>
      </tp>
      <tp t="s">
        <v>#N/A Requesting Data...2114113638</v>
        <stp/>
        <stp>BDP|4245700180187394193</stp>
        <tr r="E52" s="89"/>
      </tp>
      <tp t="s">
        <v>#N/A Requesting Data...2749013088</v>
        <stp/>
        <stp>BDP|9699474378527567053</stp>
        <tr r="AC22" s="1"/>
      </tp>
      <tp t="e">
        <v>#N/A</v>
        <stp/>
        <stp>BDH|9411520099901384959</stp>
        <tr r="AU8" s="338"/>
      </tp>
      <tp t="s">
        <v>#N/A Requesting Data...4017921573</v>
        <stp/>
        <stp>BDP|5883800860920691608</stp>
        <tr r="F5" s="2"/>
      </tp>
      <tp t="s">
        <v>#N/A Requesting Data...3610413042</v>
        <stp/>
        <stp>BDP|8663395671000280107</stp>
        <tr r="AA105" s="89"/>
        <tr r="Z105" s="89"/>
      </tp>
      <tp t="s">
        <v>#N/A Requesting Data...3237506647</v>
        <stp/>
        <stp>BDP|4958570254160242959</stp>
        <tr r="T9" s="338"/>
      </tp>
      <tp t="s">
        <v>#N/A Requesting Data...2398597116</v>
        <stp/>
        <stp>BDP|7223883239641187000</stp>
        <tr r="G16" s="446"/>
      </tp>
      <tp t="s">
        <v>#N/A Requesting Data...3643660930</v>
        <stp/>
        <stp>BDP|5114854945934215018</stp>
        <tr r="V77" s="89"/>
      </tp>
      <tp t="s">
        <v>#N/A Requesting Data...1866830277</v>
        <stp/>
        <stp>BDP|2518062780023948496</stp>
        <tr r="D94" s="89"/>
      </tp>
      <tp t="s">
        <v>#N/A Requesting Data...3097155290</v>
        <stp/>
        <stp>BDP|2437941904510102664</stp>
        <tr r="AI38" s="1"/>
      </tp>
      <tp t="s">
        <v>#N/A Requesting Data...2539955140</v>
        <stp/>
        <stp>BDP|8023230975554206472</stp>
        <tr r="U9" s="338"/>
      </tp>
      <tp t="s">
        <v>#N/A Requesting Data...4034730716</v>
        <stp/>
        <stp>BDP|2832828567039648888</stp>
        <tr r="D6" s="2"/>
      </tp>
      <tp t="s">
        <v>#N/A Requesting Data...2517292286</v>
        <stp/>
        <stp>BDP|1449141764908407306</stp>
        <tr r="F11" s="446"/>
      </tp>
      <tp t="s">
        <v>#N/A Requesting Data...1014192846</v>
        <stp/>
        <stp>BDP|1330225080490196617</stp>
        <tr r="AA95" s="89"/>
        <tr r="Z95" s="89"/>
      </tp>
      <tp t="s">
        <v>#N/A Requesting Data...1411538955</v>
        <stp/>
        <stp>BDP|7951947862590616582</stp>
        <tr r="AF28" s="1"/>
        <tr r="AF29" s="1"/>
        <tr r="AF10" s="338"/>
      </tp>
      <tp t="s">
        <v>#N/A Requesting Data...3888064646</v>
        <stp/>
        <stp>BDP|9891481019803044282</stp>
        <tr r="G23" s="446"/>
      </tp>
      <tp t="s">
        <v>#N/A Requesting Data...1659600038</v>
        <stp/>
        <stp>BDP|4140538680732569611</stp>
        <tr r="V78" s="89"/>
      </tp>
      <tp t="s">
        <v>#N/A Requesting Data...3579090897</v>
        <stp/>
        <stp>BDP|1020228396141745649</stp>
        <tr r="T13" s="2"/>
      </tp>
      <tp t="s">
        <v>#N/A Requesting Data...1222026566</v>
        <stp/>
        <stp>BDP|7612533417436704812</stp>
        <tr r="AJ10" s="338"/>
      </tp>
      <tp t="s">
        <v>#N/A Requesting Data...2964869557</v>
        <stp/>
        <stp>BDP|9574059420494792234</stp>
        <tr r="L9" s="338"/>
        <tr r="J9" s="338"/>
      </tp>
      <tp t="s">
        <v>#N/A Requesting Data...1395395289</v>
        <stp/>
        <stp>BDP|3007975292676340821</stp>
        <tr r="G24" s="446"/>
      </tp>
      <tp>
        <v>54.9</v>
        <stp/>
        <stp>BDP|10089550128122679017|22</stp>
        <stp>TSM US 06/18/26 C340 Equity</stp>
        <stp>ask</stp>
        <tr r="Q27" s="2"/>
      </tp>
      <tp>
        <v>-0.25573426485061646</v>
        <stp/>
        <stp>BDP|3431413272118379814|22</stp>
        <stp>MRVL US 03/20/26 P70 Equity</stp>
        <stp>DELTA_MID_RT</stp>
        <tr r="AF16" s="2"/>
      </tp>
      <tp t="s">
        <v>#N/A Requesting Data...2815142942</v>
        <stp/>
        <stp>BDP|5266989866390412427</stp>
        <tr r="D38" s="446"/>
      </tp>
      <tp t="s">
        <v>#N/A N/A</v>
        <stp/>
        <stp>BDP|1156396167338661238</stp>
        <tr r="AB19" s="89"/>
        <tr r="AB20" s="89"/>
        <tr r="AQ10" s="2"/>
        <tr r="AQ11" s="2"/>
        <tr r="AQ9" s="2"/>
      </tp>
      <tp t="s">
        <v>#N/A Requesting Data...1593443137</v>
        <stp/>
        <stp>BDP|8481299730697002079</stp>
        <tr r="D31" s="89"/>
      </tp>
      <tp t="s">
        <v>#N/A Requesting Data...2180526877</v>
        <stp/>
        <stp>BDP|7943480731679394789</stp>
        <tr r="AD23" s="2"/>
      </tp>
      <tp t="s">
        <v>#N/A Requesting Data...2569803131</v>
        <stp/>
        <stp>BDP|8452001835880289581</stp>
        <tr r="AB41" s="1"/>
        <tr r="AB42" s="1"/>
      </tp>
      <tp t="s">
        <v>#N/A Requesting Data...3489490904</v>
        <stp/>
        <stp>BDP|8906680696040813971</stp>
        <tr r="T30" s="89"/>
      </tp>
      <tp t="s">
        <v>#N/A Requesting Data...2749237464</v>
        <stp/>
        <stp>BDP|6865956502756622717</stp>
        <tr r="AH12" s="338"/>
        <tr r="AJ12" s="338"/>
      </tp>
      <tp t="s">
        <v>#N/A Requesting Data...3495211440</v>
        <stp/>
        <stp>BDP|2379295593121097618</stp>
        <tr r="D44" s="446"/>
      </tp>
      <tp t="e">
        <v>#N/A</v>
        <stp/>
        <stp>BDH|3788022312485801913</stp>
        <tr r="AN12" s="338"/>
      </tp>
      <tp t="e">
        <v>#N/A</v>
        <stp/>
        <stp>BDH|4044646785433903747</stp>
        <tr r="AR9" s="338"/>
      </tp>
      <tp t="s">
        <v>#N/A N/A</v>
        <stp/>
        <stp>BDP|8927803377951233812</stp>
        <tr r="AB68" s="89"/>
      </tp>
      <tp t="e">
        <v>#N/A</v>
        <stp/>
        <stp>BDH|8770528051467730110</stp>
        <tr r="AP12" s="338"/>
      </tp>
      <tp t="s">
        <v>#N/A Requesting Data...4118657826</v>
        <stp/>
        <stp>BDP|3634566470506988994</stp>
        <tr r="E19" s="2"/>
      </tp>
      <tp t="s">
        <v>#N/A Requesting Data...1600275247</v>
        <stp/>
        <stp>BDP|7820888606445653409</stp>
        <tr r="V94" s="89"/>
      </tp>
      <tp t="s">
        <v>#N/A Requesting Data...3994987318</v>
        <stp/>
        <stp>BDP|2292616657717420814</stp>
        <tr r="AF8" s="338"/>
      </tp>
      <tp t="s">
        <v>#N/A Requesting Data...2816421174</v>
        <stp/>
        <stp>BDP|1704402293557704529</stp>
        <tr r="N7" s="1"/>
      </tp>
      <tp t="e">
        <v>#N/A</v>
        <stp/>
        <stp>BDH|6640776569721176885</stp>
        <tr r="AP11" s="338"/>
      </tp>
      <tp t="s">
        <v>#N/A Requesting Data...2348241562</v>
        <stp/>
        <stp>BDP|8563663333841210245</stp>
        <tr r="T10" s="2"/>
      </tp>
      <tp t="s">
        <v>#N/A Requesting Data...2914790672</v>
        <stp/>
        <stp>BDP|5623416671028593055</stp>
        <tr r="AI9" s="338"/>
        <tr r="AK9" s="338"/>
      </tp>
      <tp t="s">
        <v>#N/A Requesting Data...2054915655</v>
        <stp/>
        <stp>BDP|8367650055794286172</stp>
        <tr r="O103" s="89"/>
        <tr r="T4" s="2"/>
      </tp>
      <tp t="s">
        <v>#N/A Requesting Data...3140154643</v>
        <stp/>
        <stp>BDP|2314906258085901552</stp>
        <tr r="E105" s="89"/>
      </tp>
      <tp t="s">
        <v>#N/A Requesting Data...2887285460</v>
        <stp/>
        <stp>BDP|2644203280360986688</stp>
        <tr r="F35" s="446"/>
        <tr r="AB28" s="1"/>
        <tr r="AB29" s="1"/>
      </tp>
      <tp>
        <v>16.98</v>
        <stp/>
        <stp>BDP|1056906607050736285|22</stp>
        <stp>CPNG Equity</stp>
        <stp>LAST PRICE</stp>
        <tr r="L7" s="446"/>
      </tp>
      <tp>
        <v>366.36</v>
        <stp/>
        <stp>BDP|10734773146792366841|22</stp>
        <stp>TSM US Equity</stp>
        <stp>LAST_PRICE</stp>
        <tr r="Z27" s="2"/>
        <tr r="Z28" s="2"/>
      </tp>
      <tp t="s">
        <v>#N/A Requesting Data...2296384137</v>
        <stp/>
        <stp>BDP|3786323124408946521</stp>
        <tr r="D45" s="446"/>
      </tp>
      <tp t="s">
        <v>#N/A Requesting Data...3549961774</v>
        <stp/>
        <stp>BDP|2806504826139638334</stp>
        <tr r="AG28" s="1"/>
        <tr r="AG29" s="1"/>
      </tp>
      <tp t="s">
        <v>#N/A Requesting Data...3567839079</v>
        <stp/>
        <stp>BDP|4784976331940308190</stp>
        <tr r="AA52" s="89"/>
        <tr r="Z52" s="89"/>
      </tp>
      <tp t="s">
        <v>#N/A Requesting Data...3146619656</v>
        <stp/>
        <stp>BDP|3661005991860731592</stp>
        <tr r="Q12" s="338"/>
      </tp>
      <tp t="s">
        <v>#N/A Requesting Data...4013121165</v>
        <stp/>
        <stp>BDP|8119275495638947437</stp>
        <tr r="AI43" s="1"/>
      </tp>
      <tp t="s">
        <v>#N/A Requesting Data...2892668286</v>
        <stp/>
        <stp>BDP|2842170687233636700</stp>
        <tr r="AH10" s="338"/>
      </tp>
      <tp t="s">
        <v>#N/A Requesting Data...4194301394</v>
        <stp/>
        <stp>BDP|4869589199183306457</stp>
        <tr r="K14" s="1"/>
      </tp>
      <tp t="s">
        <v>#N/A Requesting Data...3733203618</v>
        <stp/>
        <stp>BDP|7952717157178061208</stp>
        <tr r="AI49" s="1"/>
        <tr r="AI50" s="1"/>
        <tr r="AI51" s="1"/>
      </tp>
      <tp t="s">
        <v>#N/A Requesting Data...1473972230</v>
        <stp/>
        <stp>BDP|6268649388386345129</stp>
        <tr r="D52" s="89"/>
      </tp>
      <tp t="s">
        <v>#N/A Requesting Data...3333722520</v>
        <stp/>
        <stp>BDP|7576730522755872830</stp>
        <tr r="F38" s="446"/>
      </tp>
      <tp t="s">
        <v>#N/A Requesting Data...2163040017</v>
        <stp/>
        <stp>BDP|9298275616650973564</stp>
        <tr r="AR13" s="2"/>
      </tp>
      <tp t="s">
        <v>#N/A Requesting Data...3094274085</v>
        <stp/>
        <stp>BDP|4511290661908043710</stp>
        <tr r="AB25" s="1"/>
      </tp>
      <tp t="s">
        <v>#N/A Requesting Data...2027414326</v>
        <stp/>
        <stp>BDP|9575008976887610698</stp>
        <tr r="AD26" s="2"/>
      </tp>
      <tp t="s">
        <v>#N/A Requesting Data...3819963170</v>
        <stp/>
        <stp>BDP|3243919885914808926</stp>
        <tr r="AB14" s="1"/>
      </tp>
      <tp t="s">
        <v>#N/A Requesting Data...3063951945</v>
        <stp/>
        <stp>BDP|4227835034271013190</stp>
        <tr r="D10" s="2"/>
      </tp>
      <tp t="s">
        <v>#N/A Requesting Data...2912698525</v>
        <stp/>
        <stp>BDP|9539667201337640785</stp>
        <tr r="U12" s="338"/>
      </tp>
      <tp t="s">
        <v>#N/A Requesting Data...2977724511</v>
        <stp/>
        <stp>BDP|7446900777882759491</stp>
        <tr r="AF15" s="1"/>
        <tr r="AG9" s="338"/>
      </tp>
      <tp t="s">
        <v>#N/A Requesting Data...4171919323</v>
        <stp/>
        <stp>BDP|8782158116286979106</stp>
        <tr r="AG56" s="1"/>
        <tr r="AG57" s="1"/>
      </tp>
      <tp t="s">
        <v>#N/A Requesting Data...2059672027</v>
        <stp/>
        <stp>BDP|8622760163721094706</stp>
        <tr r="Z43" s="89"/>
        <tr r="Z44" s="89"/>
        <tr r="Z86" s="89"/>
        <tr r="Z87" s="89"/>
        <tr r="AA43" s="89"/>
        <tr r="AA44" s="89"/>
        <tr r="AA86" s="89"/>
        <tr r="AA87" s="89"/>
      </tp>
      <tp t="s">
        <v>#N/A Requesting Data...2265492590</v>
        <stp/>
        <stp>BDP|6981952152763597689</stp>
        <tr r="C18" s="2"/>
      </tp>
      <tp t="s">
        <v>#N/A Requesting Data...4095903335</v>
        <stp/>
        <stp>BDP|5576438787561382724</stp>
        <tr r="AJ9" s="338"/>
      </tp>
      <tp t="s">
        <v>#N/A Requesting Data...1805535907</v>
        <stp/>
        <stp>BDP|2475069015355307957</stp>
        <tr r="V43" s="89"/>
        <tr r="V44" s="89"/>
        <tr r="V86" s="89"/>
        <tr r="V87" s="89"/>
      </tp>
      <tp t="s">
        <v>#N/A Requesting Data...3270279114</v>
        <stp/>
        <stp>BDP|9274343827420648768</stp>
        <tr r="G10" s="446"/>
      </tp>
      <tp t="s">
        <v>#N/A Requesting Data...3941585481</v>
        <stp/>
        <stp>BDP|1937197186723171466</stp>
        <tr r="F27" s="2"/>
      </tp>
      <tp t="s">
        <v>#N/A Requesting Data...3138992487</v>
        <stp/>
        <stp>BDP|7385638697900780713</stp>
        <tr r="AB36" s="1"/>
        <tr r="AB37" s="1"/>
      </tp>
      <tp t="e">
        <v>#N/A</v>
        <stp/>
        <stp>BDH|5282259684910661047</stp>
        <tr r="AM8" s="338"/>
      </tp>
      <tp t="s">
        <v>#N/A Requesting Data...1575237255</v>
        <stp/>
        <stp>BDP|9728149439951510598</stp>
        <tr r="F16" s="2"/>
      </tp>
      <tp t="s">
        <v>#N/A Requesting Data...1914625904</v>
        <stp/>
        <stp>BDP|6970093451128790412</stp>
        <tr r="T15" s="2"/>
      </tp>
      <tp t="s">
        <v>#N/A Requesting Data...1798775874</v>
        <stp/>
        <stp>BDP|1070029333065182873</stp>
        <tr r="E7" s="2"/>
      </tp>
      <tp t="s">
        <v>#N/A Requesting Data...1597066972</v>
        <stp/>
        <stp>BDP|7185263421080695874</stp>
        <tr r="AG48" s="1"/>
      </tp>
      <tp t="e">
        <v>#N/A</v>
        <stp/>
        <stp>BDH|1832194791577135166</stp>
        <tr r="AP10" s="338"/>
      </tp>
      <tp t="s">
        <v>#N/A Requesting Data...2254675247</v>
        <stp/>
        <stp>BDP|6160662584120657700</stp>
        <tr r="G12" s="446"/>
      </tp>
      <tp>
        <v>8.35</v>
        <stp/>
        <stp>BDP|10680447617071332709|22</stp>
        <stp>AMZN US 07/17/26 C230 Equity</stp>
        <stp>bid</stp>
        <tr r="K104" s="89"/>
      </tp>
      <tp>
        <v>325.17</v>
        <stp/>
        <stp>BDP|6093066913446547993|22</stp>
        <stp>AVGO Equity</stp>
        <stp>LAST_PRICE</stp>
        <tr r="I30" s="1"/>
        <tr r="I31" s="1"/>
      </tp>
      <tp>
        <v>354.91</v>
        <stp/>
        <stp>BDP|18350845475156370580|22</stp>
        <stp>AMAT EQUITY</stp>
        <stp>LAST_PRICE</stp>
        <tr r="H4" s="1"/>
      </tp>
      <tp>
        <v>53.05</v>
        <stp/>
        <stp>BDP|14476957307763141828|22</stp>
        <stp>TSM US 06/18/26 C340 Equity</stp>
        <stp>bid</stp>
        <tr r="P27" s="2"/>
      </tp>
      <tp>
        <v>-0.10308077186346054</v>
        <stp/>
        <stp>BDP|2641201430782788314|22</stp>
        <stp>MRVL US 03/20/26 P60 Equity</stp>
        <stp>DELTA_MID_RT</stp>
        <tr r="AF17" s="2"/>
      </tp>
      <tp>
        <v>681.75</v>
        <stp/>
        <stp>BDP|11764468863197025710|22</stp>
        <stp>SPY EQUITY</stp>
        <stp>LAST_PRICE</stp>
        <tr r="L4" s="1"/>
      </tp>
      <tp t="s">
        <v>#N/A Requesting Data...4233926403</v>
        <stp/>
        <stp>BDP|2898694498747321222</stp>
        <tr r="E3" s="1"/>
      </tp>
      <tp t="s">
        <v>#N/A Requesting Data...2112018226</v>
        <stp/>
        <stp>BDP|1950856041903103650</stp>
        <tr r="D37" s="89"/>
      </tp>
      <tp t="s">
        <v>#N/A Requesting Data...1590301232</v>
        <stp/>
        <stp>BDP|7297889124804724106</stp>
        <tr r="K44" s="1"/>
      </tp>
      <tp t="s">
        <v>#N/A Requesting Data...3766128539</v>
        <stp/>
        <stp>BDP|9333244719414698648</stp>
        <tr r="AG23" s="1"/>
      </tp>
      <tp t="s">
        <v>#N/A Requesting Data...1889764252</v>
        <stp/>
        <stp>BDP|3570060505739354288</stp>
        <tr r="F21" s="2"/>
      </tp>
      <tp t="s">
        <v>#N/A Requesting Data...1298386333</v>
        <stp/>
        <stp>BDP|7099656161528162789</stp>
        <tr r="E12" s="2"/>
      </tp>
      <tp t="s">
        <v>#N/A Requesting Data...3659019048</v>
        <stp/>
        <stp>BDP|9541693808182769518</stp>
        <tr r="D29" s="446"/>
      </tp>
      <tp t="s">
        <v>#N/A Requesting Data...3383841726</v>
        <stp/>
        <stp>BDP|4088796183165826605</stp>
        <tr r="J8" s="1"/>
      </tp>
      <tp t="s">
        <v>#N/A Requesting Data...2027026378</v>
        <stp/>
        <stp>BDP|6024155984106720147</stp>
        <tr r="D28" s="2"/>
      </tp>
      <tp t="s">
        <v>#N/A Requesting Data...2878878630</v>
        <stp/>
        <stp>BDP|6839173327418343594</stp>
        <tr r="F7" s="446"/>
      </tp>
      <tp t="s">
        <v>#N/A Requesting Data...4214640153</v>
        <stp/>
        <stp>BDP|5750015540808046152</stp>
        <tr r="F26" s="2"/>
      </tp>
      <tp t="s">
        <v>#N/A Requesting Data...1826068290</v>
        <stp/>
        <stp>BDP|3552831651294208248</stp>
        <tr r="K27" s="1"/>
      </tp>
      <tp t="s">
        <v>#N/A Requesting Data...1277433370</v>
        <stp/>
        <stp>BDP|7027987678572062314</stp>
        <tr r="D36" s="446"/>
        <tr r="AC33" s="1"/>
        <tr r="AC34" s="1"/>
      </tp>
      <tp t="s">
        <v>#N/A Requesting Data...2490913728</v>
        <stp/>
        <stp>BDP|4682039371372442967</stp>
        <tr r="C14" s="89"/>
      </tp>
      <tp t="s">
        <v>#N/A N/A</v>
        <stp/>
        <stp>BDP|9400997768466424874</stp>
        <tr r="AV12" s="2"/>
      </tp>
      <tp t="s">
        <v>#N/A Requesting Data...2208534923</v>
        <stp/>
        <stp>BDP|3206760488552923633</stp>
        <tr r="AR7" s="2"/>
      </tp>
      <tp t="s">
        <v>#N/A Requesting Data...4255400936</v>
        <stp/>
        <stp>BDP|9700577072422456111</stp>
        <tr r="C17" s="2"/>
      </tp>
      <tp t="s">
        <v>#N/A Requesting Data...2636556776</v>
        <stp/>
        <stp>BDP|7729357933776037950</stp>
        <tr r="F17" s="2"/>
      </tp>
      <tp t="s">
        <v>#N/A Requesting Data...3917377145</v>
        <stp/>
        <stp>BDP|9450040674965070308</stp>
        <tr r="E28" s="2"/>
      </tp>
      <tp>
        <v>0.14000000000000001</v>
        <stp/>
        <stp>BDP|107856669483007268|22</stp>
        <stp>CSCO US 04/17/26 C95 Equity</stp>
        <stp>bid</stp>
        <tr r="P9" s="2"/>
      </tp>
      <tp t="s">
        <v>#N/A Requesting Data...2190006105</v>
        <stp/>
        <stp>BDP|9788785317823069539</stp>
        <tr r="C53" s="89"/>
      </tp>
      <tp t="s">
        <v>#N/A Requesting Data...1560660104</v>
        <stp/>
        <stp>BDP|8867427686274035940</stp>
        <tr r="C7" s="2"/>
      </tp>
      <tp t="s">
        <v>#N/A Requesting Data...2952594034</v>
        <stp/>
        <stp>BDP|2257884823860585153</stp>
        <tr r="C52" s="89"/>
      </tp>
      <tp t="s">
        <v>#N/A Requesting Data...1327601680</v>
        <stp/>
        <stp>BDP|8718543474091869263</stp>
        <tr r="T25" s="2"/>
      </tp>
      <tp t="s">
        <v>#N/A Requesting Data...1807840863</v>
        <stp/>
        <stp>BDP|2463897743725982291</stp>
        <tr r="F20" s="446"/>
      </tp>
      <tp t="s">
        <v>#N/A Requesting Data...1789481246</v>
        <stp/>
        <stp>BDP|8207706352447744484</stp>
        <tr r="AG41" s="1"/>
        <tr r="AG42" s="1"/>
      </tp>
      <tp t="s">
        <v>#N/A Requesting Data...1546045692</v>
        <stp/>
        <stp>BDP|3807152186686212561</stp>
        <tr r="V13" s="89"/>
        <tr r="AD21" s="2"/>
      </tp>
      <tp t="s">
        <v>#N/A Requesting Data...1871782513</v>
        <stp/>
        <stp>BDP|8879444952783332316</stp>
        <tr r="E36" s="89"/>
      </tp>
      <tp t="s">
        <v>#N/A N/A</v>
        <stp/>
        <stp>BDP|4257808009861032472</stp>
        <tr r="AC10" s="2"/>
        <tr r="AC11" s="2"/>
        <tr r="AC9" s="2"/>
      </tp>
      <tp t="s">
        <v>#N/A Requesting Data...3458290163</v>
        <stp/>
        <stp>BDP|9887014763094705206</stp>
        <tr r="K54" s="1"/>
      </tp>
      <tp t="s">
        <v>#N/A Requesting Data...2546380860</v>
        <stp/>
        <stp>BDP|9841476796028359579</stp>
        <tr r="AG46" s="1"/>
      </tp>
      <tp t="s">
        <v>#N/A Requesting Data...2624572933</v>
        <stp/>
        <stp>BDP|3411193788855096676</stp>
        <tr r="AA28" s="2"/>
      </tp>
      <tp t="e">
        <v>#N/A</v>
        <stp/>
        <stp>BDH|9889849072446961958</stp>
        <tr r="AS12" s="338"/>
        <tr r="AS10" s="338"/>
        <tr r="AS11" s="338"/>
      </tp>
      <tp t="s">
        <v>#N/A Requesting Data...1985690118</v>
        <stp/>
        <stp>BDP|7993388784955622003</stp>
        <tr r="L47" s="1"/>
      </tp>
      <tp t="s">
        <v>#N/A Requesting Data...2311442013</v>
        <stp/>
        <stp>BDP|1209552834247328939</stp>
        <tr r="AC23" s="1"/>
      </tp>
      <tp t="s">
        <v>#N/A Requesting Data...1607661308</v>
        <stp/>
        <stp>BDP|2048477006706491956</stp>
        <tr r="X9" s="338"/>
      </tp>
      <tp t="s">
        <v>#N/A Requesting Data...4143463852</v>
        <stp/>
        <stp>BDP|3197780086583729681</stp>
        <tr r="AR26" s="2"/>
      </tp>
      <tp t="s">
        <v>#N/A Requesting Data...4201862520</v>
        <stp/>
        <stp>BDP|8993500628312049404</stp>
        <tr r="E88" s="89"/>
      </tp>
      <tp t="s">
        <v>#N/A Requesting Data...2078835988</v>
        <stp/>
        <stp>BDP|8690033388548820123</stp>
        <tr r="AJ11" s="338"/>
      </tp>
      <tp t="s">
        <v>#N/A Requesting Data...1838975760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18" s="2"/>
        <tr r="AQ19" s="2"/>
      </tp>
      <tp>
        <v>16.2</v>
        <stp/>
        <stp>BDP|14111141271769378618|22</stp>
        <stp>META US 04/17/26 C690 Equity</stp>
        <stp>ask</stp>
        <tr r="L77" s="89"/>
      </tp>
      <tp>
        <v>6.3</v>
        <stp/>
        <stp>BDP|11099776990089383032|22</stp>
        <stp>AMZN US 07/17/26 C240 Equity</stp>
        <stp>ask</stp>
        <tr r="L103" s="89"/>
        <tr r="Q4" s="2"/>
      </tp>
      <tp>
        <v>354.66</v>
        <stp/>
        <stp>BDP|18199450611944645778|22</stp>
        <stp>SOXX EQUITY</stp>
        <stp>LAST_PRICE</stp>
        <tr r="L3" s="1"/>
      </tp>
      <tp t="s">
        <v>#N/A Requesting Data...2194124668</v>
        <stp/>
        <stp>BDP|7230833674217968563</stp>
        <tr r="S12" s="338"/>
      </tp>
      <tp t="s">
        <v>#N/A Requesting Data...2021006612</v>
        <stp/>
        <stp>BDP|3603190722478324251</stp>
        <tr r="AI33" s="1"/>
        <tr r="AI34" s="1"/>
      </tp>
      <tp t="s">
        <v>#N/A N/A</v>
        <stp/>
        <stp>BDP|1841797186795773188</stp>
        <tr r="R7" s="89"/>
        <tr r="R8" s="89"/>
        <tr r="AV13" s="2"/>
        <tr r="AV14" s="2"/>
      </tp>
      <tp t="s">
        <v>#N/A Requesting Data...3440031566</v>
        <stp/>
        <stp>BDP|6392840872006556586</stp>
        <tr r="E8" s="1"/>
      </tp>
      <tp t="s">
        <v>#N/A Requesting Data...3217644323</v>
        <stp/>
        <stp>BDP|1780808733861584195</stp>
        <tr r="T31" s="89"/>
      </tp>
      <tp t="s">
        <v>#N/A Requesting Data...3683399473</v>
        <stp/>
        <stp>BDP|2382458668849101304</stp>
        <tr r="K12" s="1"/>
      </tp>
      <tp t="s">
        <v>#N/A Requesting Data...1808161872</v>
        <stp/>
        <stp>BDP|3271990383928035073</stp>
        <tr r="N10" s="1"/>
      </tp>
      <tp t="s">
        <v>#N/A Requesting Data...3847050810</v>
        <stp/>
        <stp>BDP|9977817467619706457</stp>
        <tr r="E23" s="2"/>
      </tp>
      <tp t="s">
        <v>#N/A Requesting Data...3689274942</v>
        <stp/>
        <stp>BDP|2322958882768230140</stp>
        <tr r="E43" s="89"/>
        <tr r="E44" s="89"/>
        <tr r="E62" s="89"/>
        <tr r="E86" s="89"/>
        <tr r="E87" s="89"/>
      </tp>
      <tp t="s">
        <v>#N/A Requesting Data...1106080721</v>
        <stp/>
        <stp>BDP|4705798090284803453</stp>
        <tr r="AA94" s="89"/>
        <tr r="Z94" s="89"/>
      </tp>
      <tp t="s">
        <v>#N/A N/A</v>
        <stp/>
        <stp>BDP|8471485932241814460</stp>
        <tr r="AB103" s="89"/>
        <tr r="AB104" s="89"/>
        <tr r="AB105" s="89"/>
        <tr r="AB94" s="89"/>
        <tr r="AB95" s="89"/>
        <tr r="AB96" s="89"/>
        <tr r="AQ4" s="2"/>
        <tr r="AQ5" s="2"/>
      </tp>
      <tp t="s">
        <v>#N/A Requesting Data...1395093887</v>
        <stp/>
        <stp>BDP|6310164690724411011</stp>
        <tr r="J7" s="1"/>
      </tp>
      <tp t="s">
        <v>#N/A Requesting Data...2629619492</v>
        <stp/>
        <stp>BDP|8582278211013363216</stp>
        <tr r="AI15" s="1"/>
      </tp>
      <tp t="s">
        <v>#N/A Requesting Data...3641177389</v>
        <stp/>
        <stp>BDP|9965794027725386324</stp>
        <tr r="F26" s="446"/>
        <tr r="AB19" s="1"/>
      </tp>
      <tp t="s">
        <v>#N/A Requesting Data...2420778067</v>
        <stp/>
        <stp>BDP|4771877785177489975</stp>
        <tr r="T95" s="89"/>
      </tp>
      <tp t="s">
        <v>#N/A Requesting Data...2558963040</v>
        <stp/>
        <stp>BDP|3885846074322660492</stp>
        <tr r="AG55" s="1"/>
      </tp>
      <tp t="s">
        <v>#N/A Requesting Data...2510960831</v>
        <stp/>
        <stp>BDP|6427663149207877946</stp>
        <tr r="F24" s="2"/>
      </tp>
      <tp t="s">
        <v>#N/A Requesting Data...3819795324</v>
        <stp/>
        <stp>BDP|6264442686087790708</stp>
        <tr r="T8" s="89"/>
      </tp>
      <tp t="s">
        <v>#N/A N/A</v>
        <stp/>
        <stp>BDP|2140911238616808459</stp>
        <tr r="AB77" s="89"/>
        <tr r="AB78" s="89"/>
        <tr r="AB79" s="89"/>
        <tr r="AB88" s="89"/>
        <tr r="AQ15" s="2"/>
      </tp>
      <tp>
        <v>3.7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53.97</v>
        <stp/>
        <stp>BDP|12794319931511644694|22</stp>
        <stp>TSM US 06/18/26 C340 Equity</stp>
        <stp>mid</stp>
        <tr r="L27" s="2"/>
      </tp>
      <tp t="s">
        <v>#N/A Requesting Data...1971468272</v>
        <stp/>
        <stp>BDP|4600797755115245822</stp>
        <tr r="O36" s="89"/>
      </tp>
      <tp t="s">
        <v>#N/A Requesting Data...1427189474</v>
        <stp/>
        <stp>BDP|8113848798580680214</stp>
        <tr r="AG47" s="1"/>
      </tp>
      <tp t="s">
        <v>#N/A Requesting Data...2940270894</v>
        <stp/>
        <stp>BDP|4720977352876139588</stp>
        <tr r="AD14" s="2"/>
      </tp>
      <tp t="s">
        <v>#N/A Requesting Data...2633855785</v>
        <stp/>
        <stp>BDP|7947858597459107431</stp>
        <tr r="T62" s="89"/>
      </tp>
      <tp t="s">
        <v>#N/A N/A</v>
        <stp/>
        <stp>BDP|5403998114292812483</stp>
        <tr r="L1" s="2"/>
      </tp>
      <tp t="s">
        <v>#N/A Requesting Data...3386431422</v>
        <stp/>
        <stp>BDP|4502789287684003446</stp>
        <tr r="AR15" s="2"/>
      </tp>
      <tp t="s">
        <v>#N/A Requesting Data...2942624549</v>
        <stp/>
        <stp>BDP|9866940913692641877</stp>
        <tr r="AF20" s="1"/>
      </tp>
      <tp t="s">
        <v>#N/A Requesting Data...1724239876</v>
        <stp/>
        <stp>BDP|8737954890503872047</stp>
        <tr r="D33" s="446"/>
      </tp>
      <tp t="s">
        <v>#N/A Requesting Data...3217740741</v>
        <stp/>
        <stp>BDP|2112788937098040510</stp>
        <tr r="AJ9" s="338"/>
        <tr r="AH9" s="338"/>
      </tp>
      <tp t="s">
        <v>#N/A Requesting Data...1835030971</v>
        <stp/>
        <stp>BDP|7374956153436911633</stp>
        <tr r="T7" s="2"/>
      </tp>
      <tp t="s">
        <v>#N/A Requesting Data...1350244134</v>
        <stp/>
        <stp>BDP|8260183404423443160</stp>
        <tr r="L27" s="1"/>
      </tp>
      <tp t="s">
        <v>#N/A Requesting Data...2033788298</v>
        <stp/>
        <stp>BDP|7001248851652159998</stp>
        <tr r="T10" s="338"/>
      </tp>
      <tp t="s">
        <v>#N/A Requesting Data...3829061333</v>
        <stp/>
        <stp>BDP|8513245560157862045</stp>
        <tr r="C26" s="2"/>
      </tp>
      <tp t="s">
        <v>#N/A Requesting Data...1339149509</v>
        <stp/>
        <stp>BDP|9495447526942096644</stp>
        <tr r="AD17" s="2"/>
      </tp>
      <tp t="s">
        <v>#N/A Requesting Data...4224654750</v>
        <stp/>
        <stp>BDP|1702895140464972256</stp>
        <tr r="T94" s="89"/>
      </tp>
      <tp t="s">
        <v>#N/A Requesting Data...3508281788</v>
        <stp/>
        <stp>BDP|8877503375972789382</stp>
        <tr r="E18" s="2"/>
      </tp>
      <tp t="s">
        <v>#N/A N/A</v>
        <stp/>
        <stp>BDP|2220703499371845606</stp>
        <tr r="R13" s="89"/>
        <tr r="R14" s="89"/>
        <tr r="AV20" s="2"/>
        <tr r="AV22" s="2"/>
        <tr r="AV21" s="2"/>
      </tp>
      <tp t="s">
        <v>#N/A Requesting Data...1453327289</v>
        <stp/>
        <stp>BDP|9615961074615640914</stp>
        <tr r="AK10" s="338"/>
        <tr r="AK11" s="338"/>
        <tr r="AK12" s="338"/>
      </tp>
      <tp t="s">
        <v>#N/A Requesting Data...2265895175</v>
        <stp/>
        <stp>BDP|6241611932378988086</stp>
        <tr r="G42" s="446"/>
      </tp>
      <tp t="s">
        <v>#N/A Requesting Data...1213860788</v>
        <stp/>
        <stp>BDP|7985659615982817917</stp>
        <tr r="V12" s="338"/>
      </tp>
      <tp t="s">
        <v>#N/A Requesting Data...3260776912</v>
        <stp/>
        <stp>BDP|9166490303764928247</stp>
        <tr r="AI26" s="1"/>
      </tp>
      <tp t="s">
        <v>#N/A Requesting Data...3527937072</v>
        <stp/>
        <stp>BDP|5038508661564412926</stp>
        <tr r="AA26" s="2"/>
      </tp>
      <tp t="s">
        <v>#N/A Requesting Data...1323513651</v>
        <stp/>
        <stp>BDP|2612160096671704068</stp>
        <tr r="D31" s="446"/>
      </tp>
      <tp t="s">
        <v>#N/A Requesting Data...4141412158</v>
        <stp/>
        <stp>BDP|6048392586087350188</stp>
        <tr r="F18" s="2"/>
      </tp>
      <tp t="s">
        <v>#N/A Requesting Data...3318148888</v>
        <stp/>
        <stp>BDP|9318183699928316256</stp>
        <tr r="D43" s="446"/>
      </tp>
      <tp t="s">
        <v>#N/A Requesting Data...1868878565</v>
        <stp/>
        <stp>BDP|2130704157473529871</stp>
        <tr r="C16" s="2"/>
      </tp>
      <tp t="s">
        <v>#N/A Requesting Data...2130327585</v>
        <stp/>
        <stp>BDP|8633363721614159645</stp>
        <tr r="G8" s="446"/>
      </tp>
      <tp t="s">
        <v>#N/A Requesting Data...3034643465</v>
        <stp/>
        <stp>BDP|2531545265849859392</stp>
        <tr r="E7" s="89"/>
      </tp>
      <tp t="s">
        <v>#N/A Requesting Data...3672647268</v>
        <stp/>
        <stp>BDP|1953219309458172051</stp>
        <tr r="E103" s="89"/>
      </tp>
      <tp t="s">
        <v>#N/A Requesting Data...2267619222</v>
        <stp/>
        <stp>BDP|7445915677442443033</stp>
        <tr r="AC26" s="1"/>
      </tp>
      <tp>
        <v>78.61</v>
        <stp/>
        <stp>BDP|2279876738225149449|22</stp>
        <stp>MRVL US Equity</stp>
        <stp>LAST_PRICE</stp>
        <tr r="Z16" s="2"/>
        <tr r="Z17" s="2"/>
      </tp>
      <tp>
        <v>-5.1441378891468048E-3</v>
        <stp/>
        <stp>BDP|8924407735712467723|22</stp>
        <stp>CSCO US 04/17/26 C100 Equity</stp>
        <stp>theta_mid_rt</stp>
        <tr r="AN10" s="2"/>
      </tp>
      <tp t="s">
        <v>#N/A Requesting Data...3672047169</v>
        <stp/>
        <stp>BDP|9669031297401111598</stp>
        <tr r="AG36" s="1"/>
        <tr r="AG37" s="1"/>
      </tp>
      <tp t="s">
        <v>#N/A N/A</v>
        <stp/>
        <stp>BDP|4283940605309327082</stp>
        <tr r="AV7" s="2"/>
        <tr r="AV6" s="2"/>
      </tp>
      <tp t="s">
        <v>#N/A Requesting Data...3475975445</v>
        <stp/>
        <stp>BDP|3958804124584137945</stp>
        <tr r="T12" s="2"/>
      </tp>
      <tp t="s">
        <v>#N/A Requesting Data...3621493719</v>
        <stp/>
        <stp>BDP|2906346500884364176</stp>
        <tr r="AJ8" s="338"/>
      </tp>
      <tp t="s">
        <v>#N/A Requesting Data...3257269038</v>
        <stp/>
        <stp>BDP|3419727698730200952</stp>
        <tr r="AR6" s="2"/>
      </tp>
      <tp t="s">
        <v>#N/A Requesting Data...3076047182</v>
        <stp/>
        <stp>BDP|1105691956700330633</stp>
        <tr r="AG30" s="1"/>
        <tr r="AG31" s="1"/>
      </tp>
      <tp t="e">
        <v>#N/A</v>
        <stp/>
        <stp>BDH|7795576132324419187</stp>
        <tr r="AU12" s="338"/>
        <tr r="AU10" s="338"/>
        <tr r="AU11" s="338"/>
      </tp>
      <tp t="s">
        <v>#N/A Requesting Data...1926621596</v>
        <stp/>
        <stp>BDP|7494523709231730773</stp>
        <tr r="F31" s="446"/>
      </tp>
      <tp t="s">
        <v>#N/A Requesting Data...3454587743</v>
        <stp/>
        <stp>BDP|2743037479982482367</stp>
        <tr r="AF43" s="1"/>
      </tp>
      <tp t="s">
        <v>#N/A Requesting Data...1556874052</v>
        <stp/>
        <stp>BDP|8955956356965721515</stp>
        <tr r="Q9" s="338"/>
      </tp>
      <tp t="s">
        <v>#N/A Requesting Data...2584081630</v>
        <stp/>
        <stp>BDP|4916349981223611875</stp>
        <tr r="AA22" s="2"/>
      </tp>
      <tp t="s">
        <v>#N/A Requesting Data...2174405404</v>
        <stp/>
        <stp>BDP|9063402768959888626</stp>
        <tr r="AA12" s="2"/>
      </tp>
      <tp t="s">
        <v>#N/A Requesting Data...3713185873</v>
        <stp/>
        <stp>BDP|1615244074723761330</stp>
        <tr r="T12" s="338"/>
      </tp>
      <tp t="s">
        <v>#N/A Requesting Data...1861041647</v>
        <stp/>
        <stp>BDP|9388220856722747837</stp>
        <tr r="AF16" s="1"/>
        <tr r="AF17" s="1"/>
      </tp>
      <tp t="s">
        <v>#N/A Requesting Data...1412667544</v>
        <stp/>
        <stp>BDP|5790626169004593599</stp>
        <tr r="F40" s="446"/>
      </tp>
      <tp t="s">
        <v>#N/A Requesting Data...1892224823</v>
        <stp/>
        <stp>BDP|7599424229276827376</stp>
        <tr r="AF49" s="1"/>
        <tr r="AF50" s="1"/>
        <tr r="AF51" s="1"/>
      </tp>
      <tp t="s">
        <v>#N/A Requesting Data...3522334854</v>
        <stp/>
        <stp>BDP|1398003727344666338</stp>
        <tr r="AI47" s="1"/>
      </tp>
      <tp t="s">
        <v>#N/A Requesting Data...3320297154</v>
        <stp/>
        <stp>BDP|6940186872470420463</stp>
        <tr r="AI32" s="1"/>
      </tp>
      <tp t="s">
        <v>#N/A Requesting Data...4092375761</v>
        <stp/>
        <stp>BDP|5028796441871860363</stp>
        <tr r="D8" s="2"/>
      </tp>
      <tp t="s">
        <v>#N/A Requesting Data...2532847957</v>
        <stp/>
        <stp>BDP|5440482774885960773</stp>
        <tr r="AH12" s="338"/>
      </tp>
      <tp t="s">
        <v>#N/A Requesting Data...3268405857</v>
        <stp/>
        <stp>BDP|2357040805921494704</stp>
        <tr r="AJ9" s="338"/>
      </tp>
      <tp t="e">
        <v>#N/A</v>
        <stp/>
        <stp>BDH|9339010724867182811</stp>
        <tr r="AP8" s="338"/>
      </tp>
      <tp t="s">
        <v>#N/A Requesting Data...1823465143</v>
        <stp/>
        <stp>BDP|8103428543709687520</stp>
        <tr r="G5" s="446"/>
        <tr r="G6" s="446"/>
      </tp>
      <tp t="s">
        <v>#N/A Requesting Data...2789359050</v>
        <stp/>
        <stp>BDP|5430094244624859152</stp>
        <tr r="D34" s="446"/>
      </tp>
      <tp t="s">
        <v>#N/A Requesting Data...2675435166</v>
        <stp/>
        <stp>BDP|1078729632953183247</stp>
        <tr r="AD9" s="2"/>
      </tp>
      <tp t="s">
        <v>#N/A Requesting Data...2350787128</v>
        <stp/>
        <stp>BDP|4500964458409639588</stp>
        <tr r="K55" s="1"/>
      </tp>
      <tp t="s">
        <v>#N/A Requesting Data...2744346078</v>
        <stp/>
        <stp>BDP|7007213395359878194</stp>
        <tr r="C15" s="2"/>
      </tp>
      <tp>
        <v>639.77</v>
        <stp/>
        <stp>BDP|3807768373389777345|22</stp>
        <stp>META Equity</stp>
        <stp>LAST_PRICE</stp>
        <tr r="I19" s="1"/>
      </tp>
      <tp>
        <v>111.76</v>
        <stp/>
        <stp>BDP|7985005465703992696|22</stp>
        <stp>AKAM Equity</stp>
        <stp>LAST_PRICE</stp>
        <tr r="I39" s="1"/>
        <tr r="I40" s="1"/>
      </tp>
      <tp>
        <v>103.94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Data...2465506724</v>
        <stp/>
        <stp>BDP|9005897765572380053</stp>
        <tr r="E16" s="2"/>
      </tp>
      <tp t="s">
        <v>#N/A N/A</v>
        <stp/>
        <stp>BDP|1163242074811817033</stp>
        <tr r="R96" s="89"/>
        <tr r="R94" s="89"/>
        <tr r="R95" s="89"/>
        <tr r="R103" s="89"/>
        <tr r="R104" s="89"/>
        <tr r="R105" s="89"/>
        <tr r="AV4" s="2"/>
        <tr r="AV5" s="2"/>
      </tp>
      <tp t="s">
        <v>#N/A Requesting Data...1221702802</v>
        <stp/>
        <stp>BDP|2837824905837183849</stp>
        <tr r="D103" s="89"/>
      </tp>
      <tp t="s">
        <v>#N/A Requesting Data...1738694776</v>
        <stp/>
        <stp>BDP|2935461966306109320</stp>
        <tr r="AC24" s="1"/>
      </tp>
      <tp t="s">
        <v>#N/A Requesting Data...3767473685</v>
        <stp/>
        <stp>BDP|4780459414043985746</stp>
        <tr r="S9" s="338"/>
      </tp>
      <tp t="s">
        <v>#N/A Requesting Data...1610014833</v>
        <stp/>
        <stp>BDP|3715220583989463590</stp>
        <tr r="F30" s="446"/>
      </tp>
      <tp t="s">
        <v>#N/A Requesting Data...2219872404</v>
        <stp/>
        <stp>BDP|3983744460122577503</stp>
        <tr r="AF30" s="1"/>
        <tr r="AF31" s="1"/>
        <tr r="AF12" s="338"/>
      </tp>
      <tp t="s">
        <v>#N/A Requesting Data...2789516759</v>
        <stp/>
        <stp>BDP|5437055478404805396</stp>
        <tr r="E19" s="89"/>
      </tp>
      <tp t="s">
        <v>#N/A Requesting Data...2906768043</v>
        <stp/>
        <stp>BDP|3617391345682291314</stp>
        <tr r="D7" s="2"/>
      </tp>
      <tp t="s">
        <v>#N/A Requesting Data...2920612645</v>
        <stp/>
        <stp>BDP|3051431949301095732</stp>
        <tr r="AB43" s="1"/>
      </tp>
      <tp t="s">
        <v>#N/A Requesting Data...1866473665</v>
        <stp/>
        <stp>BDP|9260849128942358439</stp>
        <tr r="AD15" s="2"/>
      </tp>
      <tp t="s">
        <v>#N/A Requesting Data...1769131962</v>
        <stp/>
        <stp>BDP|1071396022310529501</stp>
        <tr r="AF25" s="1"/>
      </tp>
      <tp t="s">
        <v>#N/A Requesting Data...2239832404</v>
        <stp/>
        <stp>BDP|2636595951407112010</stp>
        <tr r="D41" s="446"/>
      </tp>
      <tp t="s">
        <v>#N/A Requesting Data...3681265101</v>
        <stp/>
        <stp>BDP|6525006869707181227</stp>
        <tr r="AG10" s="338"/>
        <tr r="AG11" s="338"/>
        <tr r="AG12" s="338"/>
      </tp>
      <tp t="s">
        <v>#N/A Requesting Data...3632415730</v>
        <stp/>
        <stp>BDP|3535065497927976817</stp>
        <tr r="E10" s="2"/>
      </tp>
      <tp t="s">
        <v>#N/A Requesting Data...1284808518</v>
        <stp/>
        <stp>BDP|7410592363259611858</stp>
        <tr r="N3" s="1"/>
      </tp>
      <tp t="s">
        <v>#N/A Requesting Data...4232734986</v>
        <stp/>
        <stp>BDP|9998409481797157749</stp>
        <tr r="T61" s="89"/>
      </tp>
      <tp t="e">
        <v>#N/A</v>
        <stp/>
        <stp>BDH|2673573750117400080</stp>
        <tr r="AP9" s="338"/>
      </tp>
      <tp t="s">
        <v>#N/A Requesting Data...4279491284</v>
        <stp/>
        <stp>BDP|2600239713082155642</stp>
        <tr r="AA104" s="89"/>
        <tr r="Z104" s="89"/>
      </tp>
      <tp t="s">
        <v>#N/A Requesting Data...2718473413</v>
        <stp/>
        <stp>BDP|5133852355808281539</stp>
        <tr r="AD16" s="2"/>
      </tp>
      <tp t="s">
        <v>#N/A Requesting Data...1936380699</v>
        <stp/>
        <stp>BDP|9525835047501594141</stp>
        <tr r="AG18" s="1"/>
      </tp>
      <tp t="e">
        <v>#N/A</v>
        <stp/>
        <stp>BDH|9238444926223958998</stp>
        <tr r="AN9" s="338"/>
      </tp>
      <tp t="s">
        <v>#N/A Requesting Data...3979403524</v>
        <stp/>
        <stp>BDP|6695752411146080338</stp>
        <tr r="AG22" s="1"/>
      </tp>
      <tp t="s">
        <v>#N/A Requesting Data...3894040068</v>
        <stp/>
        <stp>BDP|4316184976870928759</stp>
        <tr r="AF39" s="1"/>
        <tr r="AF40" s="1"/>
      </tp>
      <tp t="s">
        <v>#N/A Requesting Data...3321721279</v>
        <stp/>
        <stp>BDP|7605824123750285830</stp>
        <tr r="E13" s="89"/>
      </tp>
      <tp t="s">
        <v>#N/A Requesting Data...1937656523</v>
        <stp/>
        <stp>BDP|9342992826077801027</stp>
        <tr r="O104" s="89"/>
      </tp>
      <tp t="s">
        <v>#N/A Requesting Data...2877395093</v>
        <stp/>
        <stp>BDP|3531766210442590208</stp>
        <tr r="AF21" s="1"/>
      </tp>
      <tp t="s">
        <v>#N/A Requesting Data...2976738846</v>
        <stp/>
        <stp>BDP|6233465384708388740</stp>
        <tr r="V36" s="89"/>
      </tp>
      <tp t="s">
        <v>#N/A Requesting Data...4255474177</v>
        <stp/>
        <stp>BDP|5962301366600823503</stp>
        <tr r="D7" s="89"/>
      </tp>
      <tp t="s">
        <v>#N/A Requesting Data...3474182038</v>
        <stp/>
        <stp>BDP|5474124358561155585</stp>
        <tr r="AA7" s="89"/>
        <tr r="Z7" s="89"/>
      </tp>
      <tp t="s">
        <v>#N/A Requesting Data...2071075157</v>
        <stp/>
        <stp>BDP|8627744419858747384</stp>
        <tr r="K25" s="1"/>
      </tp>
      <tp t="s">
        <v>#N/A Requesting Data...2693994133</v>
        <stp/>
        <stp>BDP|1049827719034709981</stp>
        <tr r="F25" s="2"/>
      </tp>
      <tp t="s">
        <v>#N/A Requesting Data...3936146631</v>
        <stp/>
        <stp>BDP|7460910680203620073</stp>
        <tr r="E27" s="2"/>
      </tp>
      <tp t="s">
        <v>#N/A Requesting Data...2810015539</v>
        <stp/>
        <stp>BDP|2426662074501571768</stp>
        <tr r="AI39" s="1"/>
        <tr r="AI40" s="1"/>
      </tp>
      <tp>
        <v>17.350000000000001</v>
        <stp/>
        <stp>BDP|17639242458664595880|22</stp>
        <stp>AMZN US 12/18/26 C230 Equity</stp>
        <stp>bid</stp>
        <tr r="K95" s="89"/>
      </tp>
      <tp>
        <v>91.35</v>
        <stp/>
        <stp>BDP|10387723808744264023|22</stp>
        <stp>LITE US 06/18/26 C720 Equity</stp>
        <stp>mid</stp>
        <tr r="L14" s="2"/>
      </tp>
      <tp>
        <v>49.45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8" s="2"/>
      </tp>
      <tp t="s">
        <v>#N/A Requesting Data...3719926992</v>
        <stp/>
        <stp>BDP|7188757863485888551</stp>
        <tr r="G39" s="446"/>
      </tp>
      <tp t="s">
        <v>#N/A Requesting Data...2336451418</v>
        <stp/>
        <stp>BDP|7422247533576110683</stp>
        <tr r="AI55" s="1"/>
      </tp>
      <tp t="s">
        <v>#N/A Requesting Data...1336423935</v>
        <stp/>
        <stp>BDP|6920156137415862792</stp>
        <tr r="C96" s="89"/>
      </tp>
      <tp t="s">
        <v>#N/A Requesting Data...3620603053</v>
        <stp/>
        <stp>BDP|7978267068122812754</stp>
        <tr r="C20" s="2"/>
      </tp>
      <tp t="s">
        <v>#N/A Requesting Data...1730624705</v>
        <stp/>
        <stp>BDP|1481294716502130617</stp>
        <tr r="AB39" s="1"/>
        <tr r="AB40" s="1"/>
      </tp>
      <tp t="s">
        <v>#N/A Requesting Data...2658463715</v>
        <stp/>
        <stp>BDP|4646626558147768607</stp>
        <tr r="T52" s="89"/>
      </tp>
      <tp t="s">
        <v>#N/A Requesting Data...1446425432</v>
        <stp/>
        <stp>BDP|1754575979255457051</stp>
        <tr r="G14" s="446"/>
      </tp>
      <tp t="s">
        <v>#N/A Requesting Data...3335106376</v>
        <stp/>
        <stp>BDP|6095484704072209604</stp>
        <tr r="AJ10" s="338"/>
      </tp>
      <tp t="s">
        <v>#N/A Requesting Data...2505376215</v>
        <stp/>
        <stp>BDP|6921540255739678909</stp>
        <tr r="AK8" s="338"/>
      </tp>
      <tp t="s">
        <v>#N/A Requesting Data...1640959329</v>
        <stp/>
        <stp>BDP|6647458260250823259</stp>
        <tr r="AD19" s="2"/>
      </tp>
      <tp t="s">
        <v>#N/A Requesting Data...2328251891</v>
        <stp/>
        <stp>BDP|5836174453674625345</stp>
        <tr r="V10" s="338"/>
      </tp>
      <tp t="s">
        <v>#N/A Requesting Data...4251649427</v>
        <stp/>
        <stp>BDP|6914181187250139988</stp>
        <tr r="AA8" s="2"/>
      </tp>
      <tp t="s">
        <v>#N/A Requesting Data...3363779687</v>
        <stp/>
        <stp>BDP|7621929051214853926</stp>
        <tr r="C19" s="89"/>
      </tp>
      <tp t="s">
        <v>#N/A Requesting Data...4083531638</v>
        <stp/>
        <stp>BDP|6424197278955809323</stp>
        <tr r="V62" s="89"/>
      </tp>
      <tp t="s">
        <v>#N/A Requesting Data...3452733128</v>
        <stp/>
        <stp>BDP|3930578222146831483</stp>
        <tr r="G43" s="446"/>
      </tp>
      <tp t="s">
        <v>#N/A Requesting Data...3482207378</v>
        <stp/>
        <stp>BDP|8403728728339567278</stp>
        <tr r="AC56" s="1"/>
        <tr r="AC57" s="1"/>
      </tp>
      <tp t="s">
        <v>#N/A Requesting Data...2989041645</v>
        <stp/>
        <stp>BDP|5969432556003847186</stp>
        <tr r="K47" s="1"/>
      </tp>
      <tp t="s">
        <v>#N/A Requesting Data...3648081687</v>
        <stp/>
        <stp>BDP|3166087990788095446</stp>
        <tr r="G21" s="446"/>
      </tp>
      <tp t="s">
        <v>#N/A Requesting Data...2675498326</v>
        <stp/>
        <stp>BDP|6439251290132958955</stp>
        <tr r="AG54" s="1"/>
      </tp>
      <tp t="s">
        <v>#N/A Requesting Data...1279146865</v>
        <stp/>
        <stp>BDP|7756137857847935285</stp>
        <tr r="AA13" s="89"/>
        <tr r="Z13" s="89"/>
      </tp>
      <tp t="s">
        <v>#N/A Requesting Data...2895266533</v>
        <stp/>
        <stp>BDP|4148348666006447154</stp>
        <tr r="AF18" s="1"/>
      </tp>
      <tp t="s">
        <v>#N/A Requesting Data...3715179554</v>
        <stp/>
        <stp>BDP|3531676896459233342</stp>
        <tr r="G35" s="446"/>
      </tp>
      <tp t="s">
        <v>#N/A Requesting Data...2706051009</v>
        <stp/>
        <stp>BDP|1059373978494524791</stp>
        <tr r="T20" s="89"/>
        <tr r="AA11" s="2"/>
      </tp>
      <tp t="s">
        <v>#N/A Requesting Data...2990614753</v>
        <stp/>
        <stp>BDP|5681827533229472132</stp>
        <tr r="AB24" s="1"/>
      </tp>
      <tp t="s">
        <v>#N/A Requesting Data...3850386203</v>
        <stp/>
        <stp>BDP|1183356610207551274</stp>
        <tr r="T28" s="2"/>
      </tp>
      <tp t="s">
        <v>#N/A Requesting Data...3859397614</v>
        <stp/>
        <stp>BDP|3194722090523190859</stp>
        <tr r="AA36" s="89"/>
        <tr r="Z36" s="89"/>
      </tp>
      <tp t="s">
        <v>#N/A Requesting Data...1293356536</v>
        <stp/>
        <stp>BDP|6404903142698949582</stp>
        <tr r="AB44" s="1"/>
        <tr r="AB45" s="1"/>
      </tp>
      <tp t="s">
        <v>#N/A Requesting Data...1408780561</v>
        <stp/>
        <stp>BDP|8885961869603230210</stp>
        <tr r="AK8" s="338"/>
      </tp>
      <tp t="s">
        <v>#N/A Requesting Data...2844262463</v>
        <stp/>
        <stp>BDP|5018086030232967252</stp>
        <tr r="AA20" s="2"/>
      </tp>
      <tp t="s">
        <v>#N/A Requesting Data...1512524182</v>
        <stp/>
        <stp>BDP|1614615396948740029</stp>
        <tr r="C9" s="2"/>
      </tp>
      <tp t="s">
        <v>#N/A Requesting Data...3260800094</v>
        <stp/>
        <stp>BDP|4118603437684361310</stp>
        <tr r="AA8" s="89"/>
        <tr r="Z8" s="89"/>
      </tp>
      <tp t="s">
        <v>#N/A Requesting Data...1496683162</v>
        <stp/>
        <stp>BDP|1772751390731486839</stp>
        <tr r="AI41" s="1"/>
        <tr r="AI42" s="1"/>
      </tp>
      <tp t="s">
        <v>#N/A N/A</v>
        <stp/>
        <stp>BDP|4002850724701462904</stp>
        <tr r="K1" s="2"/>
      </tp>
      <tp t="s">
        <v>#N/A Requesting Data...3282480371</v>
        <stp/>
        <stp>BDP|3256176262240474260</stp>
        <tr r="E4" s="1"/>
      </tp>
      <tp t="s">
        <v>#N/A Requesting Data...3683285317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G24" s="2"/>
      </tp>
      <tp>
        <v>639.77</v>
        <stp/>
        <stp>BDP|8831218337912200139|22</stp>
        <stp>META Equity</stp>
        <stp>LAST PRICE</stp>
        <tr r="G9" s="338"/>
      </tp>
      <tp>
        <v>-0.15971417725086212</v>
        <stp/>
        <stp>BDP|8795046347241444117|22</stp>
        <stp>AVGO US 06/18/26 C350 Equity</stp>
        <stp>theta_mid_rt</stp>
        <tr r="AN8" s="2"/>
      </tp>
      <tp t="s">
        <v>#N/A Requesting Data...1642804162</v>
        <stp/>
        <stp>BDP|8020655386713844215</stp>
        <tr r="D13" s="89"/>
      </tp>
      <tp t="s">
        <v>#N/A Requesting Data...3135097622</v>
        <stp/>
        <stp>BDP|4283425441594897730</stp>
        <tr r="AA77" s="89"/>
        <tr r="Z77" s="89"/>
      </tp>
      <tp t="s">
        <v>#N/A Requesting Data...1386809617</v>
        <stp/>
        <stp>BDP|5680737100072633784</stp>
        <tr r="T14" s="2"/>
      </tp>
      <tp t="s">
        <v>#N/A Requesting Data...1497940675</v>
        <stp/>
        <stp>BDP|4245799967772009077</stp>
        <tr r="D37" s="446"/>
      </tp>
      <tp t="s">
        <v>#N/A Requesting Data...3266878487</v>
        <stp/>
        <stp>BDP|4758516714777806016</stp>
        <tr r="AR16" s="2"/>
      </tp>
      <tp t="s">
        <v>#N/A Requesting Data...3607852826</v>
        <stp/>
        <stp>BDP|7156185906827354649</stp>
        <tr r="AI13" s="1"/>
      </tp>
      <tp t="s">
        <v>#N/A Requesting Data...2552143089</v>
        <stp/>
        <stp>BDP|6577894425722203925</stp>
        <tr r="AI35" s="1"/>
      </tp>
      <tp t="s">
        <v>#N/A Requesting Data...1557107802</v>
        <stp/>
        <stp>BDP|6965263771385751104</stp>
        <tr r="K46" s="1"/>
      </tp>
      <tp t="s">
        <v>#N/A Requesting Data...2158846655</v>
        <stp/>
        <stp>BDP|5947737455944304421</stp>
        <tr r="AB35" s="1"/>
      </tp>
      <tp t="s">
        <v>#N/A Requesting Data...4008521728</v>
        <stp/>
        <stp>BDP|5125169105363920055</stp>
        <tr r="D13" s="2"/>
      </tp>
      <tp t="s">
        <v>#N/A Requesting Data...1748849209</v>
        <stp/>
        <stp>BDP|1092378379464484650</stp>
        <tr r="G9" s="446"/>
      </tp>
      <tp t="s">
        <v>#N/A Requesting Data...1479449988</v>
        <stp/>
        <stp>BDP|7675645627431897518</stp>
        <tr r="C27" s="2"/>
      </tp>
      <tp t="e">
        <v>#N/A</v>
        <stp/>
        <stp>BDH|3646215515800901771</stp>
        <tr r="AN11" s="338"/>
      </tp>
      <tp t="s">
        <v>#N/A Requesting Data...1903202479</v>
        <stp/>
        <stp>BDP|5312075309057886586</stp>
        <tr r="AI52" s="1"/>
        <tr r="AI53" s="1"/>
      </tp>
      <tp t="s">
        <v>#N/A Requesting Data...2591820449</v>
        <stp/>
        <stp>BDP|6065021716531882114</stp>
        <tr r="V95" s="89"/>
      </tp>
      <tp t="s">
        <v>#N/A Requesting Data...1500863239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Data...3056167769</v>
        <stp/>
        <stp>BDP|9173062933899279466</stp>
        <tr r="AB27" s="1"/>
      </tp>
      <tp t="s">
        <v>#N/A Requesting Data...3514316522</v>
        <stp/>
        <stp>BDP|9683098287681113793</stp>
        <tr r="C79" s="89"/>
      </tp>
      <tp t="s">
        <v>#N/A Requesting Data...3844167882</v>
        <stp/>
        <stp>BDP|2784478986318472123</stp>
        <tr r="V103" s="89"/>
        <tr r="AD4" s="2"/>
      </tp>
      <tp t="s">
        <v>#N/A Requesting Data...4243419112</v>
        <stp/>
        <stp>BDP|9525520782895119651</stp>
        <tr r="C10" s="2"/>
      </tp>
      <tp t="s">
        <v>#N/A Requesting Data...4205429314</v>
        <stp/>
        <stp>BDP|4445164765726738268</stp>
        <tr r="AA78" s="89"/>
        <tr r="Z78" s="89"/>
      </tp>
      <tp t="s">
        <v>#N/A Requesting Data...1759476038</v>
        <stp/>
        <stp>BDP|1776687918603536244</stp>
        <tr r="AD12" s="2"/>
      </tp>
      <tp t="s">
        <v>#N/A Requesting Data...2749349975</v>
        <stp/>
        <stp>BDP|3079946121179139621</stp>
        <tr r="AA9" s="2"/>
      </tp>
      <tp t="s">
        <v>#N/A Requesting Data...1297932008</v>
        <stp/>
        <stp>BDP|5349748450447137713</stp>
        <tr r="AA25" s="2"/>
      </tp>
      <tp t="s">
        <v>#N/A Requesting Data...2314748751</v>
        <stp/>
        <stp>BDP|7057279456164256342</stp>
        <tr r="S8" s="338"/>
      </tp>
      <tp t="s">
        <v>#N/A Requesting Data...4042820987</v>
        <stp/>
        <stp>BDP|6741060317605563544</stp>
        <tr r="O31" s="89"/>
      </tp>
      <tp t="s">
        <v>#N/A Requesting Data...1849937235</v>
        <stp/>
        <stp>BDP|7034052966182144450</stp>
        <tr r="G7" s="446"/>
      </tp>
      <tp t="s">
        <v>#N/A Requesting Data...3020787401</v>
        <stp/>
        <stp>BDP|1609550194052500856</stp>
        <tr r="E26" s="2"/>
      </tp>
      <tp t="s">
        <v>#N/A Requesting Data...2536263625</v>
        <stp/>
        <stp>BDP|1685711720524577765</stp>
        <tr r="T17" s="2"/>
      </tp>
      <tp t="s">
        <v>#N/A Requesting Data...2135300600</v>
        <stp/>
        <stp>BDP|9522498829329639179</stp>
        <tr r="Q8" s="338"/>
      </tp>
      <tp t="s">
        <v>#N/A Requesting Data...1890350089</v>
        <stp/>
        <stp>BDP|1636158366620394139</stp>
        <tr r="V68" s="89"/>
      </tp>
      <tp t="s">
        <v>#N/A Requesting Data...2682360152</v>
        <stp/>
        <stp>BDP|7130911573469165773</stp>
        <tr r="AD8" s="2"/>
      </tp>
      <tp>
        <v>198.79</v>
        <stp/>
        <stp>BDP|4344863504285541564|22</stp>
        <stp>AMZN Equity</stp>
        <stp>LAST_PRICE</stp>
        <tr r="I20" s="1"/>
      </tp>
      <tp t="s">
        <v>#N/A Requesting Data...2043312952</v>
        <stp/>
        <stp>BDP|9478381283761550308</stp>
        <tr r="AD27" s="2"/>
      </tp>
      <tp t="s">
        <v>#N/A Requesting Data...3082428590</v>
        <stp/>
        <stp>BDP|3454753217493992655</stp>
        <tr r="F36" s="446"/>
        <tr r="AB33" s="1"/>
        <tr r="AB34" s="1"/>
      </tp>
      <tp t="s">
        <v>#N/A Requesting Data...2615225531</v>
        <stp/>
        <stp>BDP|8148908707662517398</stp>
        <tr r="AG19" s="1"/>
      </tp>
      <tp t="s">
        <v>#N/A Requesting Data...1811073463</v>
        <stp/>
        <stp>BDP|6955622269271151797</stp>
        <tr r="T6" s="2"/>
      </tp>
      <tp t="s">
        <v>#N/A Requesting Data...3449140170</v>
        <stp/>
        <stp>BDP|1052686415597500132</stp>
        <tr r="C13" s="2"/>
      </tp>
      <tp t="s">
        <v>#N/A N/A</v>
        <stp/>
        <stp>BDP|3685516077896874709</stp>
        <tr r="AC4" s="2"/>
        <tr r="AC5" s="2"/>
      </tp>
      <tp t="s">
        <v>#N/A Requesting Data...1380204515</v>
        <stp/>
        <stp>BDP|2073373381748750195</stp>
        <tr r="F25" s="446"/>
      </tp>
      <tp t="s">
        <v>#N/A Requesting Data...3912047672</v>
        <stp/>
        <stp>BDP|5508729427063936303</stp>
        <tr r="AB32" s="1"/>
      </tp>
      <tp t="s">
        <v>#N/A Requesting Data...2752731271</v>
        <stp/>
        <stp>BDP|1896107105516689627</stp>
        <tr r="C95" s="89"/>
      </tp>
      <tp t="s">
        <v>#N/A N/A</v>
        <stp/>
        <stp>BDP|3833608477975887782</stp>
        <tr r="AC13" s="2"/>
        <tr r="AC14" s="2"/>
      </tp>
      <tp t="s">
        <v>#N/A Requesting Data...4237457106</v>
        <stp/>
        <stp>BDP|5959149956824211564</stp>
        <tr r="G38" s="446"/>
      </tp>
      <tp t="s">
        <v>#N/A Requesting Data...3613352822</v>
        <stp/>
        <stp>BDP|7447621373635349397</stp>
        <tr r="F7" s="2"/>
      </tp>
      <tp t="s">
        <v>#N/A Requesting Data...3155993695</v>
        <stp/>
        <stp>BDP|5381969730908949709</stp>
        <tr r="AD6" s="2"/>
      </tp>
      <tp t="s">
        <v>#N/A Requesting Data...3174460035</v>
        <stp/>
        <stp>BDP|6809118251995947735</stp>
        <tr r="AG16" s="1"/>
        <tr r="AG17" s="1"/>
      </tp>
      <tp t="s">
        <v>#N/A Requesting Data...3719174392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</tp>
      <tp t="s">
        <v>#N/A Requesting Data...3624060724</v>
        <stp/>
        <stp>BDP|2925650370332906175</stp>
        <tr r="AI36" s="1"/>
        <tr r="AI37" s="1"/>
      </tp>
      <tp t="s">
        <v>#N/A Requesting Data...3690870270</v>
        <stp/>
        <stp>BDP|3960122539301296028</stp>
        <tr r="O78" s="89"/>
      </tp>
      <tp t="s">
        <v>#N/A Requesting Data...3982112412</v>
        <stp/>
        <stp>BDP|2469275853951470473</stp>
        <tr r="F12" s="2"/>
      </tp>
      <tp t="s">
        <v>#N/A Requesting Data...3378693360</v>
        <stp/>
        <stp>BDP|4552037620785435316</stp>
        <tr r="P9" s="338"/>
      </tp>
      <tp t="s">
        <v>#N/A Requesting Data...3839835745</v>
        <stp/>
        <stp>BDP|8177301223040694940</stp>
        <tr r="AB21" s="1"/>
      </tp>
      <tp t="s">
        <v>#N/A Requesting Data...2095901085</v>
        <stp/>
        <stp>BDP|5137251643354744701</stp>
        <tr r="L12" s="338"/>
        <tr r="H12" s="338"/>
      </tp>
      <tp t="s">
        <v>#N/A Requesting Data...4047840376</v>
        <stp/>
        <stp>BDP|6283111272633911397</stp>
        <tr r="AJ11" s="338"/>
      </tp>
      <tp t="s">
        <v>#N/A Requesting Data...3323733227</v>
        <stp/>
        <stp>BDP|4597607396168550374</stp>
        <tr r="O30" s="89"/>
      </tp>
      <tp t="s">
        <v>#N/A Requesting Data...4279855170</v>
        <stp/>
        <stp>BDP|6494109425532457744</stp>
        <tr r="AD10" s="2"/>
      </tp>
      <tp t="s">
        <v>#N/A Requesting Data...2306093096</v>
        <stp/>
        <stp>BDP|2847624409581566518</stp>
        <tr r="D19" s="2"/>
      </tp>
      <tp>
        <v>33.549999999999997</v>
        <stp/>
        <stp>BDP|13708122924811862625|22</stp>
        <stp>TSM US 06/18/26 C380 Equity</stp>
        <stp>mid</stp>
        <tr r="L28" s="2"/>
      </tp>
      <tp>
        <v>202.87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Data...4284912328</v>
        <stp/>
        <stp>BDP|2164421051462195094</stp>
        <tr r="C31" s="89"/>
      </tp>
      <tp t="s">
        <v>#N/A Requesting Data...3318815553</v>
        <stp/>
        <stp>BDP|7873439462153338720</stp>
        <tr r="AR22" s="2"/>
      </tp>
      <tp t="s">
        <v>#N/A Requesting Data...1790629953</v>
        <stp/>
        <stp>BDP|9463756481665936217</stp>
        <tr r="D104" s="89"/>
      </tp>
      <tp t="s">
        <v>#N/A Requesting Data...3328402698</v>
        <stp/>
        <stp>BDP|4559293195028546640</stp>
        <tr r="AB26" s="1"/>
      </tp>
      <tp t="s">
        <v>#N/A Requesting Data...2848508144</v>
        <stp/>
        <stp>BDP|8348272102438878363</stp>
        <tr r="O96" s="89"/>
      </tp>
      <tp t="s">
        <v>#N/A Requesting Data...4124939372</v>
        <stp/>
        <stp>BDP|5889104764011396273</stp>
        <tr r="AI28" s="1"/>
        <tr r="AI29" s="1"/>
      </tp>
      <tp t="s">
        <v>#N/A Requesting Data...4281936413</v>
        <stp/>
        <stp>BDP|5944295861793852372</stp>
        <tr r="T9" s="2"/>
      </tp>
      <tp t="s">
        <v>#N/A Requesting Data...3192556366</v>
        <stp/>
        <stp>BDP|7107096265956483671</stp>
        <tr r="C36" s="89"/>
      </tp>
      <tp t="s">
        <v>#N/A Requesting Data...2070750514</v>
        <stp/>
        <stp>BDP|8728351878839134440</stp>
        <tr r="AI10" s="338"/>
        <tr r="AI11" s="338"/>
        <tr r="AI12" s="338"/>
      </tp>
      <tp t="s">
        <v>#N/A Requesting Data...2768328947</v>
        <stp/>
        <stp>BDP|4347376869088623847</stp>
        <tr r="AK9" s="338"/>
      </tp>
      <tp t="s">
        <v>#N/A Requesting Data...4233008906</v>
        <stp/>
        <stp>BDP|6241899226908646569</stp>
        <tr r="D42" s="446"/>
      </tp>
      <tp t="s">
        <v>#N/A Requesting Data...1395410660</v>
        <stp/>
        <stp>BDP|5183368778820171035</stp>
        <tr r="F45" s="446"/>
      </tp>
      <tp t="s">
        <v>#N/A Requesting Data...2468464368</v>
        <stp/>
        <stp>BDP|5678783394829319341</stp>
        <tr r="F28" s="2"/>
      </tp>
      <tp t="s">
        <v>#N/A Requesting Data...1659481748</v>
        <stp/>
        <stp>BDP|5223714776062803600</stp>
        <tr r="AC13" s="1"/>
      </tp>
      <tp t="s">
        <v>#N/A Requesting Data...3275880533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e">
        <v>#N/A</v>
        <stp/>
        <stp>BDH|4114486319089304919</stp>
        <tr r="AU9" s="338"/>
      </tp>
      <tp t="s">
        <v>#N/A N/A</v>
        <stp/>
        <stp>BDP|9633924773914414208</stp>
        <tr r="AC6" s="2"/>
        <tr r="AC7" s="2"/>
      </tp>
      <tp t="s">
        <v>#N/A Requesting Data...1339283347</v>
        <stp/>
        <stp>BDP|9739406253298596110</stp>
        <tr r="AI18" s="1"/>
      </tp>
      <tp t="s">
        <v>#N/A Requesting Data...2777973114</v>
        <stp/>
        <stp>BDP|7201031534123526605</stp>
        <tr r="E25" s="2"/>
      </tp>
      <tp t="e">
        <v>#N/A</v>
        <stp/>
        <stp>BDH|3033160720463405228</stp>
        <tr r="AS9" s="338"/>
      </tp>
      <tp t="s">
        <v>#N/A N/A</v>
        <stp/>
        <stp>BDP|1821230040030393694</stp>
        <tr r="AQ16" s="2"/>
        <tr r="AQ17" s="2"/>
      </tp>
      <tp t="s">
        <v>#N/A Requesting Data...3277035960</v>
        <stp/>
        <stp>BDP|6324014549174281781</stp>
        <tr r="L8" s="338"/>
        <tr r="H8" s="338"/>
      </tp>
      <tp t="s">
        <v>#N/A N/A</v>
        <stp/>
        <stp>BDP|8968284987484412739</stp>
        <tr r="AQ27" s="2"/>
        <tr r="AQ28" s="2"/>
      </tp>
      <tp t="s">
        <v>#N/A Requesting Data...2450193654</v>
        <stp/>
        <stp>BDP|9939228331380883944</stp>
        <tr r="G11" s="446"/>
      </tp>
      <tp t="s">
        <v>#N/A Requesting Data...3280158823</v>
        <stp/>
        <stp>BDP|9780621726248155457</stp>
        <tr r="AC44" s="1"/>
        <tr r="AC45" s="1"/>
      </tp>
      <tp t="s">
        <v>#N/A Requesting Data...1360040542</v>
        <stp/>
        <stp>BDP|2267087599569280367</stp>
        <tr r="P10" s="338"/>
      </tp>
      <tp t="s">
        <v>#N/A Requesting Data...2313814790</v>
        <stp/>
        <stp>BDP|6497440232258298876</stp>
        <tr r="AF13" s="1"/>
      </tp>
      <tp t="s">
        <v>#N/A Requesting Data...2720996130</v>
        <stp/>
        <stp>BDP|4387077451867676775</stp>
        <tr r="K52" s="1"/>
      </tp>
      <tp t="s">
        <v>#N/A Requesting Data...3445385278</v>
        <stp/>
        <stp>BDP|9382013711271467829</stp>
        <tr r="E14" s="89"/>
      </tp>
      <tp>
        <v>12.2</v>
        <stp/>
        <stp>BDP|15300068175888003113|22</stp>
        <stp>AMZN US 12/18/26 C250 Equity</stp>
        <stp>ask</stp>
        <tr r="L94" s="89"/>
      </tp>
      <tp t="s">
        <v>#N/A Requesting Data...3988703197</v>
        <stp/>
        <stp>BDP|7557490981578662112</stp>
        <tr r="AG44" s="1"/>
        <tr r="AG45" s="1"/>
      </tp>
      <tp t="s">
        <v>#N/A Requesting Data...3460860605</v>
        <stp/>
        <stp>BDP|7860310106547363177</stp>
        <tr r="AA88" s="89"/>
        <tr r="Z88" s="89"/>
      </tp>
      <tp t="s">
        <v>#N/A Requesting Data...1355745336</v>
        <stp/>
        <stp>BDP|4750890120965227941</stp>
        <tr r="D8" s="89"/>
      </tp>
      <tp t="s">
        <v>#N/A Requesting Data...4139215372</v>
        <stp/>
        <stp>BDP|2721287269476965276</stp>
        <tr r="V11" s="338"/>
      </tp>
      <tp t="s">
        <v>#N/A Requesting Data...3507639376</v>
        <stp/>
        <stp>BDP|1927755561564288678</stp>
        <tr r="G45" s="446"/>
      </tp>
      <tp t="s">
        <v>#N/A Requesting Data...3435664051</v>
        <stp/>
        <stp>BDP|3284843281913962260</stp>
        <tr r="C8" s="2"/>
      </tp>
      <tp t="s">
        <v>#N/A Requesting Data...1563244737</v>
        <stp/>
        <stp>BDP|8990383988530074103</stp>
        <tr r="D96" s="89"/>
      </tp>
      <tp t="s">
        <v>#N/A Requesting Data...3081251129</v>
        <stp/>
        <stp>BDP|4669780759770648488</stp>
        <tr r="D14" s="89"/>
      </tp>
      <tp t="s">
        <v>#N/A Requesting Data...1646094527</v>
        <stp/>
        <stp>BDP|5728718823292467081</stp>
        <tr r="N7" s="89"/>
        <tr r="N8" s="89"/>
        <tr r="N30" s="89"/>
        <tr r="N31" s="89"/>
        <tr r="N36" s="89"/>
        <tr r="N37" s="89"/>
        <tr r="N61" s="89"/>
        <tr r="N95" s="89"/>
        <tr r="N96" s="89"/>
        <tr r="N94" s="89"/>
        <tr r="N103" s="89"/>
        <tr r="N104" s="89"/>
        <tr r="N105" s="89"/>
        <tr r="S4" s="2"/>
        <tr r="S5" s="2"/>
        <tr r="S12" s="2"/>
        <tr r="S14" s="2"/>
        <tr r="S20" s="2"/>
        <tr r="S22" s="2"/>
        <tr r="S23" s="2"/>
        <tr r="S24" s="2"/>
        <tr r="S28" s="2"/>
        <tr r="N13" s="89"/>
        <tr r="N14" s="89"/>
        <tr r="N19" s="89"/>
        <tr r="N20" s="89"/>
        <tr r="N77" s="89"/>
        <tr r="N78" s="89"/>
        <tr r="N79" s="89"/>
        <tr r="N88" s="89"/>
        <tr r="S6" s="2"/>
        <tr r="S7" s="2"/>
        <tr r="S8" s="2"/>
        <tr r="S11" s="2"/>
        <tr r="S15" s="2"/>
        <tr r="S16" s="2"/>
        <tr r="S19" s="2"/>
        <tr r="S21" s="2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8" s="1"/>
        <tr r="L49" s="1"/>
        <tr r="L50" s="1"/>
        <tr r="L51" s="1"/>
        <tr r="L52" s="1"/>
        <tr r="L53" s="1"/>
        <tr r="L54" s="1"/>
        <tr r="L55" s="1"/>
        <tr r="L56" s="1"/>
        <tr r="L57" s="1"/>
        <tr r="N68" s="89"/>
        <tr r="S10" s="2"/>
        <tr r="S13" s="2"/>
        <tr r="S17" s="2"/>
        <tr r="S18" s="2"/>
        <tr r="S25" s="2"/>
        <tr r="S26" s="2"/>
        <tr r="S27" s="2"/>
        <tr r="S9" s="2"/>
      </tp>
      <tp t="s">
        <v>#N/A Requesting Data...2815538676</v>
        <stp/>
        <stp>BDP|3004009559840185419</stp>
        <tr r="T19" s="2"/>
      </tp>
      <tp t="s">
        <v>#N/A Requesting Data...1451750492</v>
        <stp/>
        <stp>BDP|4413248519100279551</stp>
        <tr r="AD20" s="2"/>
      </tp>
      <tp t="s">
        <v>#N/A Requesting Data...2774391141</v>
        <stp/>
        <stp>BDP|9919677548080032985</stp>
        <tr r="G44" s="446"/>
      </tp>
      <tp t="s">
        <v>#N/A Requesting Data...2918551647</v>
        <stp/>
        <stp>BDP|9243707684784242083</stp>
        <tr r="T105" s="89"/>
        <tr r="AA5" s="2"/>
      </tp>
      <tp t="s">
        <v>#N/A Requesting Data...2881525211</v>
        <stp/>
        <stp>BDP|3289149679383755445</stp>
        <tr r="AC41" s="1"/>
        <tr r="AC42" s="1"/>
      </tp>
      <tp t="s">
        <v>#N/A Requesting Data...3516667818</v>
        <stp/>
        <stp>BDP|1530194955374557305</stp>
        <tr r="C105" s="89"/>
        <tr r="D5" s="2"/>
      </tp>
      <tp t="s">
        <v>#N/A Requesting Data...1786203572</v>
        <stp/>
        <stp>BDP|6172070853435387447</stp>
        <tr r="AB30" s="1"/>
        <tr r="AB31" s="1"/>
      </tp>
      <tp t="s">
        <v>#N/A Requesting Data...2597064808</v>
        <stp/>
        <stp>BDP|8206125459397329986</stp>
        <tr r="D95" s="89"/>
      </tp>
      <tp t="s">
        <v>#N/A Requesting Data...2337527602</v>
        <stp/>
        <stp>BDP|4636653477250550732</stp>
        <tr r="G31" s="446"/>
      </tp>
      <tp t="s">
        <v>#N/A Requesting Data...4155653183</v>
        <stp/>
        <stp>BDP|5714451203842663158</stp>
        <tr r="N8" s="1"/>
      </tp>
      <tp t="e">
        <v>#N/A</v>
        <stp/>
        <stp>BDH|4705348839957943111</stp>
        <tr r="AM12" s="338"/>
      </tp>
      <tp t="s">
        <v>#N/A Requesting Data...3666191168</v>
        <stp/>
        <stp>BDP|7653538462612700433</stp>
        <tr r="AR23" s="2"/>
      </tp>
      <tp t="s">
        <v>#N/A Requesting Data...1885077155</v>
        <stp/>
        <stp>BDP|6639649066161548527</stp>
        <tr r="AA17" s="2"/>
      </tp>
      <tp t="s">
        <v>#N/A Requesting Data...1739688365</v>
        <stp/>
        <stp>BDP|1648434118662857449</stp>
        <tr r="V105" s="89"/>
        <tr r="AD5" s="2"/>
      </tp>
      <tp t="s">
        <v>#N/A Requesting Data...2297658057</v>
        <stp/>
        <stp>BDP|2053782324771998446</stp>
        <tr r="AR25" s="2"/>
      </tp>
      <tp t="s">
        <v>#N/A Requesting Data...4187268800</v>
        <stp/>
        <stp>BDP|8063366356299445552</stp>
        <tr r="K41" s="1"/>
      </tp>
      <tp t="e">
        <v>#N/A</v>
        <stp/>
        <stp>BDH|9452835466416970392</stp>
        <tr r="AM10" s="338"/>
      </tp>
      <tp t="s">
        <v>#N/A Requesting Data...2191382889</v>
        <stp/>
        <stp>BDP|3519061147724655148</stp>
        <tr r="AJ8" s="338"/>
      </tp>
      <tp>
        <v>7.48</v>
        <stp/>
        <stp>BDP|128233551744823152|22</stp>
        <stp>QQQ US 02/27/26 P590 Equity</stp>
        <stp>ask</stp>
        <tr r="Q25" s="2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Data...2411760895</v>
        <stp/>
        <stp>BDP|4669365388388290407</stp>
        <tr r="N5" s="1"/>
      </tp>
      <tp t="s">
        <v>#N/A Requesting Data...4153008670</v>
        <stp/>
        <stp>BDP|2591422732557732191</stp>
        <tr r="L10" s="338"/>
        <tr r="H10" s="338"/>
      </tp>
      <tp t="s">
        <v>#N/A Requesting Data...2065378187</v>
        <stp/>
        <stp>BDP|2000559898458006561</stp>
        <tr r="K21" s="1"/>
      </tp>
      <tp t="s">
        <v>#N/A Requesting Data...2876398465</v>
        <stp/>
        <stp>BDP|7115677759757668004</stp>
        <tr r="AC35" s="1"/>
      </tp>
      <tp t="s">
        <v>#N/A Requesting Data...2085468364</v>
        <stp/>
        <stp>BDP|3754293213215371607</stp>
        <tr r="F5" s="446"/>
        <tr r="F6" s="446"/>
        <tr r="AB49" s="1"/>
        <tr r="AB50" s="1"/>
        <tr r="AB51" s="1"/>
      </tp>
      <tp t="s">
        <v>#N/A Requesting Data...1806044821</v>
        <stp/>
        <stp>BDP|9588206623063881918</stp>
        <tr r="AF32" s="1"/>
      </tp>
      <tp t="s">
        <v>#N/A Requesting Data...3838431538</v>
        <stp/>
        <stp>BDP|7961266924697349349</stp>
        <tr r="X12" s="338"/>
      </tp>
      <tp t="s">
        <v>#N/A Requesting Data...1733708888</v>
        <stp/>
        <stp>BDP|7777047645317887721</stp>
        <tr r="V53" s="89"/>
      </tp>
      <tp t="s">
        <v>#N/A Requesting Data...3666941325</v>
        <stp/>
        <stp>BDP|7965895520036679846</stp>
        <tr r="F22" s="2"/>
      </tp>
      <tp t="s">
        <v>#N/A Requesting Data...1498674174</v>
        <stp/>
        <stp>BDP|8020332285295353568</stp>
        <tr r="P8" s="338"/>
      </tp>
      <tp t="s">
        <v>#N/A Requesting Data...1652573693</v>
        <stp/>
        <stp>BDP|2434188206592879222</stp>
        <tr r="F15" s="2"/>
      </tp>
      <tp t="s">
        <v>#N/A Requesting Data...2291409517</v>
        <stp/>
        <stp>BDP|5888175656914033689</stp>
        <tr r="AA27" s="2"/>
      </tp>
      <tp t="s">
        <v>#N/A Requesting Data...3935230929</v>
        <stp/>
        <stp>BDP|4542086962510815165</stp>
        <tr r="C4" s="2"/>
      </tp>
      <tp t="s">
        <v>#N/A Requesting Data...2304511208</v>
        <stp/>
        <stp>BDP|5377447429962982265</stp>
        <tr r="T23" s="2"/>
      </tp>
      <tp t="s">
        <v>#N/A Requesting Data...2320648002</v>
        <stp/>
        <stp>BDP|6109913190467097261</stp>
        <tr r="AG8" s="338"/>
      </tp>
      <tp t="s">
        <v>#N/A Requesting Data...2252867549</v>
        <stp/>
        <stp>BDP|6515604110606525460</stp>
        <tr r="AC55" s="1"/>
      </tp>
      <tp t="s">
        <v>#N/A Requesting Data...2933644490</v>
        <stp/>
        <stp>BDP|6281575064076017068</stp>
        <tr r="AC14" s="1"/>
      </tp>
      <tp t="s">
        <v>#N/A Requesting Data...2556906192</v>
        <stp/>
        <stp>BDP|9553534995241448739</stp>
        <tr r="AC38" s="1"/>
      </tp>
      <tp t="s">
        <v>#N/A Requesting Data...1630179618</v>
        <stp/>
        <stp>BDP|8245865345547421013</stp>
        <tr r="D30" s="446"/>
      </tp>
      <tp>
        <v>49.9</v>
        <stp/>
        <stp>BDP|18176311034118889492|22</stp>
        <stp>META US 07/17/26 C670 Equity</stp>
        <stp>ask</stp>
        <tr r="L78" s="89"/>
      </tp>
      <tp>
        <v>93.5</v>
        <stp/>
        <stp>BDP|11084639238104923975|22</stp>
        <stp>LITE US 06/18/26 C720 Equity</stp>
        <stp>ask</stp>
        <tr r="Q14" s="2"/>
      </tp>
      <tp>
        <v>2.67</v>
        <stp/>
        <stp>BDP|10066408953628833564|22</stp>
        <stp>NVDA US 03/20/26 C210 Equity</stp>
        <stp>ask</stp>
        <tr r="L14" s="89"/>
      </tp>
      <tp>
        <v>1.1399999999999999</v>
        <stp/>
        <stp>BDP|17345654414559390667|22</stp>
        <stp>MRVL US 03/20/26 P60 Equity</stp>
        <stp>ask</stp>
        <tr r="Q17" s="2"/>
      </tp>
      <tp>
        <v>24783.5</v>
        <stp/>
        <stp>BDP|6336356566907345204|22</stp>
        <stp>NQA Index</stp>
        <stp>LAST_PRICE</stp>
        <tr r="I17" s="1"/>
        <tr r="I16" s="1"/>
      </tp>
      <tp>
        <v>-0.14873254299163818</v>
        <stp/>
        <stp>BDP|12098786877158670568|22</stp>
        <stp>TSM US 06/18/26 C340 Equity</stp>
        <stp>theta_mid_rt</stp>
        <tr r="AN27" s="2"/>
      </tp>
      <tp>
        <v>6.65</v>
        <stp/>
        <stp>BDP|15563065055018194263|22</stp>
        <stp>INTC US 07/17/26 C50 Equity</stp>
        <stp>ask</stp>
        <tr r="Q12" s="2"/>
      </tp>
      <tp>
        <v>15.15</v>
        <stp/>
        <stp>BDP|16830491554564289416|22</stp>
        <stp>AMZN US 12/18/26 P180 Equity</stp>
        <stp>bid</stp>
        <tr r="K96" s="89"/>
      </tp>
      <tp>
        <v>0.12629111111164093</v>
        <stp/>
        <stp>BDP|2245788133334579455|22</stp>
        <stp>CSCO US 07/17/26 C95 Equity</stp>
        <stp>DELTA_MID_RT</stp>
        <tr r="W19" s="89"/>
      </tp>
      <tp>
        <v>-5.3123012185096741E-2</v>
        <stp/>
        <stp>BDP|9860136461363758180|22</stp>
        <stp>AMZN US 07/17/26 P180 Equity</stp>
        <stp>theta_mid_rt</stp>
        <tr r="AN5" s="2"/>
      </tp>
      <tp>
        <v>0.18</v>
        <stp/>
        <stp>BDP|17591677967966841629|22</stp>
        <stp>CSCO US 04/17/26 C95 Equity</stp>
        <stp>ask</stp>
        <tr r="Q9" s="2"/>
      </tp>
      <tp>
        <v>2.96</v>
        <stp/>
        <stp>BDP|16635244585526588457|22</stp>
        <stp>MRVL US 03/20/26 P70 Equity</stp>
        <stp>mid</stp>
        <tr r="L16" s="2"/>
      </tp>
      <tp>
        <v>0.49</v>
        <stp/>
        <stp>BDP|12134530778567356433|22</stp>
        <stp>CSCO US 07/17/26 C100 Equity</stp>
        <stp>mid</stp>
        <tr r="L11" s="2"/>
      </tp>
      <tp>
        <v>31.65</v>
        <stp/>
        <stp>BDP|17652529992752880187|22</stp>
        <stp>AVGO US 06/18/26 C350 Equity</stp>
        <stp>bid</stp>
        <tr r="P8" s="2"/>
      </tp>
      <tp>
        <v>3.87</v>
        <stp/>
        <stp>BDP|14435633374055221494|22</stp>
        <stp>QQQ US 02/20/26 P590 Equity</stp>
        <stp>ask</stp>
        <tr r="Q24" s="2"/>
      </tp>
      <tp>
        <v>0.02</v>
        <stp/>
        <stp>BDP|11513750604953722286|22</stp>
        <stp>QQQ US 02/12/26 P599 Equity</stp>
        <stp>ask</stp>
        <tr r="L30" s="89"/>
      </tp>
      <tp>
        <v>-0.53191626071929932</v>
        <stp/>
        <stp>BDP|6040650329541765947|22</stp>
        <stp>LITE US 06/18/26 C600 Equity</stp>
        <stp>theta_mid_rt</stp>
        <tr r="AN13" s="2"/>
      </tp>
      <tp>
        <v>7.45</v>
        <stp/>
        <stp>BDP|14887919075916398022|22</stp>
        <stp>QQQ US 02/27/26 P590 Equity</stp>
        <stp>mid</stp>
        <tr r="L25" s="2"/>
      </tp>
      <tp>
        <v>15.3</v>
        <stp/>
        <stp>BDP|13471282404913569444|22</stp>
        <stp>AMZN US 12/18/26 P180 Equity</stp>
        <stp>ask</stp>
        <tr r="L96" s="89"/>
      </tp>
      <tp>
        <v>9.4499999999999993</v>
        <stp/>
        <stp>BDP|18200108726829665129|22</stp>
        <stp>AMZN US 07/17/26 P180 Equity</stp>
        <stp>ask</stp>
        <tr r="L105" s="89"/>
        <tr r="Q5" s="2"/>
      </tp>
      <tp>
        <v>1464.13</v>
        <stp/>
        <stp>BDP|13350676150568078370|22</stp>
        <stp>KLAC EQUITY</stp>
        <stp>LAST_PRICE</stp>
        <tr r="H5" s="1"/>
      </tp>
      <tp>
        <v>-0.1660333126783371</v>
        <stp/>
        <stp>BDP|7815535696147585871|22</stp>
        <stp>META US 07/17/26 C750 Equity</stp>
        <stp>theta_mid_rt</stp>
        <tr r="AN15" s="2"/>
      </tp>
      <tp t="s">
        <v>USD</v>
        <stp/>
        <stp>BDP|14649358559893085324|22</stp>
        <stp>AVGO US 06/18/26 C350 Equity</stp>
        <stp>QUOTED_CURRENCY_REALTIME</stp>
        <tr r="G8" s="2"/>
      </tp>
      <tp>
        <v>3.1</v>
        <stp/>
        <stp>BDP|15925931344332195569|22</stp>
        <stp>MRVL US 03/20/26 P70 Equity</stp>
        <stp>ask</stp>
        <tr r="Q16" s="2"/>
      </tp>
      <tp>
        <v>217.23</v>
        <stp/>
        <stp>BDP|6334594798441429827|22</stp>
        <stp>COHR Equity</stp>
        <stp>LAST_PRICE</stp>
        <tr r="I38" s="1"/>
      </tp>
      <tp>
        <v>76.87</v>
        <stp/>
        <stp>BDP|2401224757541047929|22</stp>
        <stp>NFLX Equity</stp>
        <stp>LAST_PRICE</stp>
        <tr r="I21" s="1"/>
      </tp>
      <tp>
        <v>33.200000000000003</v>
        <stp/>
        <stp>BDP|982929759879592273|22</stp>
        <stp>TSM US 06/18/26 C380 Equity</stp>
        <stp>bid</stp>
        <tr r="P28" s="2"/>
      </tp>
      <tp>
        <v>76.849999999999994</v>
        <stp/>
        <stp>BDP|9569865315112868913|22</stp>
        <stp>CSCO US Equity</stp>
        <stp>LAST_PRICE</stp>
        <tr r="S19" s="89"/>
        <tr r="S20" s="89"/>
        <tr r="Z9" s="2"/>
        <tr r="Z10" s="2"/>
        <tr r="Z11" s="2"/>
      </tp>
      <tp>
        <v>1406.61</v>
        <stp/>
        <stp>BDP|12845263168978951663|22</stp>
        <stp>ASML EQUITY</stp>
        <stp>LAST_PRICE</stp>
        <tr r="H3" s="1"/>
      </tp>
      <tp>
        <v>5.14</v>
        <stp/>
        <stp>BDP|16331414956004771286|22</stp>
        <stp>QQQ US 02/27/26 P580 Equity</stp>
        <stp>mid</stp>
        <tr r="L26" s="2"/>
      </tp>
      <tp>
        <v>0.1</v>
        <stp/>
        <stp>BDP|13612731503328822817|22</stp>
        <stp>CSCO US 04/17/26 C100 Equity</stp>
        <stp>mid</stp>
        <tr r="L10" s="2"/>
      </tp>
      <tp>
        <v>626.55999999999995</v>
        <stp/>
        <stp>BDP|16456740670778988606|22</stp>
        <stp>SNDK EQUITY</stp>
        <stp>LAST_PRICE</stp>
        <tr r="H1" s="1"/>
      </tp>
      <tp>
        <v>6.74</v>
        <stp/>
        <stp>BDP|12258953384695047480|22</stp>
        <stp>QQQ US 02/20/26 P600 Equity</stp>
        <stp>bid</stp>
        <tr r="P23" s="2"/>
      </tp>
      <tp>
        <v>102.68</v>
        <stp/>
        <stp>BDP|11511261369815685982|22</stp>
        <stp>QQQE EQUITY</stp>
        <stp>LAST_PRICE</stp>
        <tr r="L7" s="1"/>
      </tp>
      <tp>
        <v>76.87</v>
        <stp/>
        <stp>BDP|8263106965958046051|22</stp>
        <stp>NFLX US Equity</stp>
        <stp>LAST_PRICE</stp>
        <tr r="Z18" s="2"/>
        <tr r="Z19" s="2"/>
      </tp>
      <tp>
        <v>0.01</v>
        <stp/>
        <stp>BDP|10681961344077431885|22</stp>
        <stp>QQQ US 02/12/26 P599 Equity</stp>
        <stp>bid</stp>
        <tr r="K30" s="89"/>
      </tp>
      <tp t="s">
        <v>#N/A Requesting Data...2396817872</v>
        <stp/>
        <stp>BDP|62889616002568526</stp>
        <tr r="K16" s="1"/>
      </tp>
      <tp>
        <v>2.21</v>
        <stp/>
        <stp>BDP|13120707178130364758|22</stp>
        <stp>NFLX US 05/15/26 C90 Equity</stp>
        <stp>mid</stp>
        <tr r="L18" s="2"/>
      </tp>
      <tp>
        <v>255.78</v>
        <stp/>
        <stp>BDP|13852632459561529635|22</stp>
        <stp>AAPL EQUITY</stp>
        <stp>LAST_PRICE</stp>
        <tr r="C6" s="1"/>
      </tp>
      <tp>
        <v>6.77</v>
        <stp/>
        <stp>BDP|10186466544648283698|22</stp>
        <stp>QQQ US 02/20/26 P600 Equity</stp>
        <stp>mid</stp>
        <tr r="L23" s="2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Data...2705938972</v>
        <stp/>
        <stp>BDP|48780265181667148</stp>
        <tr r="E4" s="2"/>
      </tp>
      <tp>
        <v>3.25</v>
        <stp/>
        <stp>BDP|11644130666006175934|22</stp>
        <stp>NFLX US 05/15/26 P70 Equity</stp>
        <stp>mid</stp>
        <tr r="L19" s="2"/>
      </tp>
      <tp>
        <v>137.01</v>
        <stp/>
        <stp>BDP|7581686725725045071|22</stp>
        <stp>BIDU Equity</stp>
        <stp>LAST_PRICE</stp>
        <tr r="I13" s="1"/>
      </tp>
      <tp>
        <v>7.41</v>
        <stp/>
        <stp>BDP|14873651858422123319|22</stp>
        <stp>QQQ US 02/27/26 P590 Equity</stp>
        <stp>bid</stp>
        <tr r="P25" s="2"/>
      </tp>
      <tp t="s">
        <v>#N/A N/A</v>
        <stp/>
        <stp>BDP|13588862582237658239|22</stp>
        <stp>ASHR US 02/27/26 C35 Equity</stp>
        <stp>bid</stp>
        <tr r="P7" s="2"/>
      </tp>
      <tp>
        <v>182.81</v>
        <stp/>
        <stp>BDP|2630581548609766860|22</stp>
        <stp>NVDA US Equity</stp>
        <stp>LAST_PRICE</stp>
        <tr r="S13" s="89"/>
        <tr r="S14" s="89"/>
        <tr r="Z20" s="2"/>
        <tr r="Z22" s="2"/>
        <tr r="Z21" s="2"/>
      </tp>
      <tp>
        <v>4.4267099350690842E-2</v>
        <stp/>
        <stp>BDP|3129328441793734956|22</stp>
        <stp>CSCO US 04/17/26 C95 Equity</stp>
        <stp>DELTA_MID_RT</stp>
        <tr r="AF9" s="2"/>
      </tp>
      <tp>
        <v>305.72000000000003</v>
        <stp/>
        <stp>BDP|7379094059985716684|22</stp>
        <stp>GOOGL EQUITY</stp>
        <stp>LAST_PRICE</stp>
        <tr r="C8" s="1"/>
      </tp>
      <tp>
        <v>32.200000000000003</v>
        <stp/>
        <stp>BDP|16021407028720881249|22</stp>
        <stp>AVGO US 06/18/26 C350 Equity</stp>
        <stp>ask</stp>
        <tr r="Q8" s="2"/>
      </tp>
      <tp>
        <v>144.41999999999999</v>
        <stp/>
        <stp>BDP|6290765801174780597|22</stp>
        <stp>WDAY Equity</stp>
        <stp>LAST PRICE</stp>
        <tr r="L10" s="446"/>
      </tp>
      <tp>
        <v>6836.17</v>
        <stp/>
        <stp>BDP|2596990609892593565|22</stp>
        <stp>SPX Index</stp>
        <stp>LAST_PRICE</stp>
        <tr r="S68" s="89"/>
      </tp>
      <tp>
        <v>6.43</v>
        <stp/>
        <stp>BDP|13492411471909401383|22</stp>
        <stp>INTC US 07/17/26 C50 Equity</stp>
        <stp>mid</stp>
        <tr r="L12" s="2"/>
      </tp>
      <tp>
        <v>10.45</v>
        <stp/>
        <stp>BDP|10572433094613538553|22</stp>
        <stp>NVDA US 05/15/26 C200 Equity</stp>
        <stp>mid</stp>
        <tr r="L20" s="2"/>
      </tp>
      <tp>
        <v>198.79</v>
        <stp/>
        <stp>BDP|12911088506019095722|22</stp>
        <stp>AMZN EQUITY</stp>
        <stp>LAST_PRICE</stp>
        <tr r="C5" s="1"/>
      </tp>
      <tp>
        <v>162.1</v>
        <stp/>
        <stp>BDP|14624041017326012038|22</stp>
        <stp>ENR GY Equity</stp>
        <stp>LAST_PRICE</stp>
        <tr r="I47" s="1"/>
      </tp>
      <tp>
        <v>4.9000000000000004</v>
        <stp/>
        <stp>BDP|16331557295328954080|22</stp>
        <stp>NVDA US 03/20/26 C200 Equity</stp>
        <stp>ask</stp>
        <tr r="L13" s="89"/>
        <tr r="Q21" s="2"/>
      </tp>
      <tp>
        <v>10.5</v>
        <stp/>
        <stp>BDP|15097796525407453303|22</stp>
        <stp>NVDA US 05/15/26 C200 Equity</stp>
        <stp>ask</stp>
        <tr r="Q20" s="2"/>
      </tp>
      <tp>
        <v>1.02</v>
        <stp/>
        <stp>BDP|15976575646475181995|22</stp>
        <stp>MRVL US 03/20/26 P60 Equity</stp>
        <stp>mid</stp>
        <tr r="L17" s="2"/>
      </tp>
      <tp>
        <v>5.2229000000000001</v>
        <stp/>
        <stp>BDP|10515480241315630363|22</stp>
        <stp>brl Curncy</stp>
        <stp>LAST_PRICE</stp>
        <tr r="AC3" s="1"/>
      </tp>
      <tp>
        <v>5.1100000000000003</v>
        <stp/>
        <stp>BDP|17369015568953994746|22</stp>
        <stp>QQQ US 02/27/26 P580 Equity</stp>
        <stp>bid</stp>
        <tr r="P26" s="2"/>
      </tp>
      <tp t="s">
        <v>#N/A Requesting Data...2241091501</v>
        <stp/>
        <stp>BDP|71070930486218271</stp>
        <tr r="C104" s="89"/>
      </tp>
      <tp t="s">
        <v>USD</v>
        <stp/>
        <stp>BDP|11865293611396887098|22</stp>
        <stp>NVDA US 03/20/26 C210 Equity</stp>
        <stp>QUOTED_CURRENCY_REALTIME</stp>
        <tr r="F14" s="89"/>
      </tp>
      <tp>
        <v>1.4</v>
        <stp/>
        <stp>BDP|15386835356560847880|22</stp>
        <stp>NVDA US 03/20/26 C220 Equity</stp>
        <stp>bid</stp>
        <tr r="P22" s="2"/>
      </tp>
      <tp>
        <v>182.81</v>
        <stp/>
        <stp>BDP|12910010818921564731|22</stp>
        <stp>NVDA EQUITY</stp>
        <stp>LAST_PRICE</stp>
        <tr r="C2" s="1"/>
      </tp>
      <tp t="s">
        <v>#N/A N/A</v>
        <stp/>
        <stp>BDP|13313241791293231340|22</stp>
        <stp>QQQ US 02/13/26 P595 Equity</stp>
        <stp>bid</stp>
        <tr r="K36" s="89"/>
      </tp>
      <tp>
        <v>-0.54655909538269043</v>
        <stp/>
        <stp>BDP|5714138372496753528|22</stp>
        <stp>LITE US 06/18/26 C720 Equity</stp>
        <stp>theta_mid_rt</stp>
        <tr r="AN14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Data...4231040034</v>
        <stp/>
        <stp>BDP|131268774970069099</stp>
        <tr r="AG26" s="1"/>
      </tp>
      <tp t="s">
        <v>#N/A Requesting Data...2876640892</v>
        <stp/>
        <stp>BDP|520527012585306457</stp>
        <tr r="G18" s="446"/>
      </tp>
      <tp>
        <v>0.19417892396450043</v>
        <stp/>
        <stp>BDP|5265299860059613399|22</stp>
        <stp>NVDA US 03/20/26 C210 Equity</stp>
        <stp>DELTA_MID_RT</stp>
        <tr r="W14" s="89"/>
      </tp>
      <tp>
        <v>139.65</v>
        <stp/>
        <stp>BDP|15031025441735979532|22</stp>
        <stp>RDDT Equity</stp>
        <stp>LAST PRICE</stp>
        <tr r="L11" s="446"/>
      </tp>
      <tp t="s">
        <v>#N/A Requesting Data...3609256526</v>
        <stp/>
        <stp>BDP|608595985359488024</stp>
        <tr r="AH10" s="338"/>
        <tr r="AJ10" s="338"/>
      </tp>
      <tp t="s">
        <v>USD</v>
        <stp/>
        <stp>BDP|5173670518168763258|22</stp>
        <stp>QQQ US 02/12/26 P599 Equity</stp>
        <stp>QUOTED_CURRENCY_REALTIME</stp>
        <tr r="F30" s="89"/>
      </tp>
      <tp>
        <v>0.30479326844215393</v>
        <stp/>
        <stp>BDP|4308641896528540112|22</stp>
        <stp>NVDA US 03/20/26 C200 Equity</stp>
        <stp>DELTA_MID_RT</stp>
        <tr r="W13" s="89"/>
        <tr r="AF21" s="2"/>
      </tp>
      <tp>
        <v>425.99</v>
        <stp/>
        <stp>BDP|432481419162495379|22</stp>
        <stp>STX EQUITY</stp>
        <stp>LAST_PRICE</stp>
        <tr r="H8" s="1"/>
      </tp>
      <tp t="s">
        <v>#N/A Requesting Data...3396788006</v>
        <stp/>
        <stp>BDP|506862199115732352</stp>
        <tr r="AF38" s="1"/>
      </tp>
      <tp t="s">
        <v>#N/A Requesting Data...2868396974</v>
        <stp/>
        <stp>BDP|686234847331911027</stp>
        <tr r="G17" s="446"/>
      </tp>
      <tp t="s">
        <v>#N/A Requesting Data...3941283474</v>
        <stp/>
        <stp>BDP|703780504329627859</stp>
        <tr r="AI19" s="1"/>
      </tp>
      <tp t="s">
        <v>#N/A Requesting Data...4216697066</v>
        <stp/>
        <stp>BDP|442362000255018060</stp>
        <tr r="T7" s="89"/>
      </tp>
      <tp t="s">
        <v>#N/A Requesting Data...3492391474</v>
        <stp/>
        <stp>BDP|685429430720763165</stp>
        <tr r="K36" s="1"/>
      </tp>
      <tp t="s">
        <v>#N/A Requesting Data...3684840432</v>
        <stp/>
        <stp>BDP|169056124584855096</stp>
        <tr r="E30" s="89"/>
      </tp>
      <tp>
        <v>160.13999999999999</v>
        <stp/>
        <stp>BDP|7132801475716187902|22</stp>
        <stp>ORCL EQUITY</stp>
        <stp>LAST_PRICE</stp>
        <tr r="C10" s="1"/>
      </tp>
      <tp t="s">
        <v>#N/A Requesting Data...4182998582</v>
        <stp/>
        <stp>BDP|930699410161740793</stp>
        <tr r="D27" s="2"/>
      </tp>
      <tp>
        <v>0.11652334034442902</v>
        <stp/>
        <stp>BDP|5895157816315927322|22</stp>
        <stp>NVDA US 03/20/26 C220 Equity</stp>
        <stp>DELTA_MID_RT</stp>
        <tr r="AF22" s="2"/>
      </tp>
      <tp t="s">
        <v>USD</v>
        <stp/>
        <stp>BDP|8981067423373284499|22</stp>
        <stp>QQQ US 02/13/26 P595 Equity</stp>
        <stp>QUOTED_CURRENCY_REALTIME</stp>
        <tr r="F36" s="89"/>
      </tp>
      <tp t="s">
        <v>#N/A Requesting Data...2185742711</v>
        <stp/>
        <stp>BDP|739245098392147969</stp>
        <tr r="AG15" s="1"/>
      </tp>
      <tp t="s">
        <v>#N/A Requesting Data...3693024249</v>
        <stp/>
        <stp>BDP|608869092031732096</stp>
        <tr r="D22" s="2"/>
      </tp>
      <tp t="s">
        <v>#N/A Requesting Data...2551372345</v>
        <stp/>
        <stp>BDP|960144136580687245</stp>
        <tr r="AA103" s="89"/>
        <tr r="Z103" s="89"/>
      </tp>
      <tp t="s">
        <v>#N/A Requesting Data...2611361246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2.6777865365147591E-2</v>
        <stp/>
        <stp>BDP|8974293417399556479|22</stp>
        <stp>CSCO US 04/17/26 C100 Equity</stp>
        <stp>DELTA_MID_RT</stp>
        <tr r="AF10" s="2"/>
      </tp>
      <tp t="s">
        <v>#N/A Requesting Data...3681508964</v>
        <stp/>
        <stp>BDP|831190738783169237</stp>
        <tr r="C24" s="2"/>
      </tp>
      <tp t="s">
        <v>#N/A N/A</v>
        <stp/>
        <stp>BDP|128295106685337499</stp>
        <tr r="R61" s="89"/>
      </tp>
      <tp>
        <v>85.61</v>
        <stp/>
        <stp>BDP|6244681688337820540|22</stp>
        <stp>KBWB EQUITY</stp>
        <stp>LAST_PRICE</stp>
        <tr r="L1" s="1"/>
      </tp>
      <tp>
        <v>15.22</v>
        <stp/>
        <stp>BDP|11593899381746563402|22</stp>
        <stp>RIOT Equity</stp>
        <stp>LAST_PRICE</stp>
        <tr r="I43" s="1"/>
      </tp>
      <tp>
        <v>33.9</v>
        <stp/>
        <stp>BDP|7303697284640564666|22</stp>
        <stp>TSM US 06/18/26 C380 Equity</stp>
        <stp>ask</stp>
        <tr r="Q28" s="2"/>
      </tp>
      <tp t="s">
        <v>#N/A Requesting Data...2098168995</v>
        <stp/>
        <stp>BDP|450712038053400567</stp>
        <tr r="AG12" s="1"/>
      </tp>
      <tp>
        <v>601.91999999999996</v>
        <stp/>
        <stp>BDP|13846945124532688911|22</stp>
        <stp>QQQ Equity</stp>
        <stp>LAST_PRICE</stp>
        <tr r="I15" s="1"/>
      </tp>
      <tp t="s">
        <v>#N/A Requesting Data...4113019446</v>
        <stp/>
        <stp>BDP|305594615691195780</stp>
        <tr r="O7" s="89"/>
      </tp>
      <tp t="s">
        <v>#N/A Requesting Data...2562063210</v>
        <stp/>
        <stp>BDP|310378113498032857</stp>
        <tr r="F9" s="446"/>
      </tp>
      <tp>
        <v>6.9048999999999996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5" s="2"/>
      </tp>
      <tp t="s">
        <v>#N/A Requesting Data...3069448876</v>
        <stp/>
        <stp>BDP|263361638079522403</stp>
        <tr r="AA23" s="2"/>
      </tp>
      <tp t="s">
        <v>#N/A Requesting Data...2276092915</v>
        <stp/>
        <stp>BDP|297742743876267805</stp>
        <tr r="O19" s="89"/>
      </tp>
      <tp>
        <v>681.75</v>
        <stp/>
        <stp>BDP|13189918054944550299|22</stp>
        <stp>SPY Equity</stp>
        <stp>LAST_PRICE</stp>
        <tr r="X3" s="1"/>
      </tp>
      <tp>
        <v>802.13</v>
        <stp/>
        <stp>BDP|10549492573951112588|22</stp>
        <stp>GEV Equity</stp>
        <stp>LAST_PRICE</stp>
        <tr r="I46" s="1"/>
      </tp>
      <tp>
        <v>204.53</v>
        <stp/>
        <stp>BDP|200703832930302358|22</stp>
        <stp>SAP EQUITY</stp>
        <stp>LAST_PRICE</stp>
        <tr r="H9" s="1"/>
      </tp>
      <tp t="s">
        <v>#N/A Requesting Data...1618649220</v>
        <stp/>
        <stp>BDP|987924063845804559</stp>
        <tr r="J2" s="1"/>
      </tp>
      <tp>
        <v>639.77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Data...3027747751</v>
        <stp/>
        <stp>BDP|887987616640012698</stp>
        <tr r="AB12" s="1"/>
      </tp>
      <tp t="s">
        <v>#N/A Requesting Data...3140256252</v>
        <stp/>
        <stp>BDP|305146922705307837</stp>
        <tr r="C19" s="2"/>
      </tp>
      <tp t="s">
        <v>#N/A Requesting Data...2276609220</v>
        <stp/>
        <stp>BDP|804143981805222282</stp>
        <tr r="D61" s="89"/>
      </tp>
      <tp>
        <v>33.68</v>
        <stp/>
        <stp>BDP|18329643987132492211|22</stp>
        <stp>ASHR Equity</stp>
        <stp>LAST_PRICE</stp>
        <tr r="I14" s="1"/>
      </tp>
      <tp t="s">
        <v>#N/A Requesting Data...3302230313</v>
        <stp/>
        <stp>BDP|757266498405781787</stp>
        <tr r="X3" s="1"/>
      </tp>
      <tp t="s">
        <v>#N/A Requesting Data...4093979267</v>
        <stp/>
        <stp>BDP|321567796020124549</stp>
        <tr r="F43" s="446"/>
      </tp>
      <tp t="s">
        <v>#N/A Requesting Data...2930105789</v>
        <stp/>
        <stp>BDP|748281786590893378</stp>
        <tr r="AA68" s="89"/>
        <tr r="Z68" s="89"/>
      </tp>
      <tp>
        <v>103.94</v>
        <stp/>
        <stp>BDP|12455594618882884319|22</stp>
        <stp>GDX Equity</stp>
        <stp>LAST_PRICE</stp>
        <tr r="I49" s="1"/>
        <tr r="I50" s="1"/>
        <tr r="I51" s="1"/>
      </tp>
      <tp t="s">
        <v>#N/A Requesting Data...3689115708</v>
        <stp/>
        <stp>BDP|345620769730348823</stp>
        <tr r="G20" s="446"/>
      </tp>
      <tp>
        <v>409.95</v>
        <stp/>
        <stp>BDP|10424645079239254273|22</stp>
        <stp>AGX Equity</stp>
        <stp>LAST_PRICE</stp>
        <tr r="I45" s="1"/>
        <tr r="I44" s="1"/>
      </tp>
      <tp t="s">
        <v>#N/A Requesting Data...3621054468</v>
        <stp/>
        <stp>BDP|493910466490440711</stp>
        <tr r="T16" s="2"/>
      </tp>
      <tp t="s">
        <v>#N/A Requesting Data...2611601557</v>
        <stp/>
        <stp>BDP|771655587750732627</stp>
        <tr r="AI20" s="1"/>
      </tp>
      <tp>
        <v>82.77</v>
        <stp/>
        <stp>BDP|17908492883037311012|22</stp>
        <stp>IGV Equity</stp>
        <stp>LAST PRICE</stp>
        <tr r="I8" s="338"/>
      </tp>
      <tp t="s">
        <v>#N/A Requesting Data...3527119614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Data...2075034870</v>
        <stp/>
        <stp>BDP|315966408504131726</stp>
        <tr r="K15" s="1"/>
      </tp>
      <tp t="s">
        <v>#N/A Requesting Data...4022474548</v>
        <stp/>
        <stp>BDP|721330484650791132</stp>
        <tr r="D17" s="2"/>
      </tp>
      <tp t="s">
        <v>#N/A Requesting Data...1806242757</v>
        <stp/>
        <stp>BDP|728321980932410339</stp>
        <tr r="V61" s="89"/>
      </tp>
      <tp>
        <v>325.17</v>
        <stp/>
        <stp>BDP|1725093802414075352|22</stp>
        <stp>AVGO EQUITY</stp>
        <stp>LAST_PRICE</stp>
        <tr r="C1" s="1"/>
      </tp>
      <tp t="s">
        <v>USD</v>
        <stp/>
        <stp>BDP|7311297011545948714|22</stp>
        <stp>QQQ US 02/12/26 P598 Equity</stp>
        <stp>QUOTED_CURRENCY_REALTIME</stp>
        <tr r="F31" s="89"/>
      </tp>
      <tp>
        <v>-0.44627535343170166</v>
        <stp/>
        <stp>BDP|18209953850822191386|22</stp>
        <stp>QQQ US 02/20/26 P600 Equity</stp>
        <stp>DELTA_MID_RT</stp>
        <tr r="AF23" s="2"/>
      </tp>
      <tp>
        <v>78.61</v>
        <stp/>
        <stp>BDP|14735743812855208855|22</stp>
        <stp>MRVL Equity</stp>
        <stp>LAST_PRICE</stp>
        <tr r="I35" s="1"/>
      </tp>
      <tp>
        <v>182.81</v>
        <stp/>
        <stp>BDP|18083567340910719726|22</stp>
        <stp>NVDA Equity</stp>
        <stp>LAST PRICE</stp>
        <tr r="G11" s="338"/>
      </tp>
      <tp>
        <v>0.01</v>
        <stp/>
        <stp>BDP|3382977598666834708|22</stp>
        <stp>QQQ US 02/13/26 P590 Equity</stp>
        <stp>ask</stp>
        <tr r="L37" s="89"/>
      </tp>
      <tp>
        <v>0.02</v>
        <stp/>
        <stp>BDP|2443162597663585904|22</stp>
        <stp>QQQ US 02/12/26 P598 Equity</stp>
        <stp>ask</stp>
        <tr r="L31" s="89"/>
      </tp>
      <tp>
        <v>3</v>
        <stp/>
        <stp>BDP|4198991794791802947|22</stp>
        <stp>NFLX US 05/15/26 P70 Equity</stp>
        <stp>bid</stp>
        <tr r="P19" s="2"/>
      </tp>
      <tp>
        <v>2.2799999999999998</v>
        <stp/>
        <stp>BDP|8949169944132404204|22</stp>
        <stp>NFLX US 05/15/26 C90 Equity</stp>
        <stp>ask</stp>
        <tr r="Q18" s="2"/>
      </tp>
      <tp t="s">
        <v>#N/A N/A</v>
        <stp/>
        <stp>BDP|2613884890573679483|22</stp>
        <stp>QQQ US 02/13/26 P590 Equity</stp>
        <stp>bid</stp>
        <tr r="K37" s="89"/>
      </tp>
      <tp>
        <v>0.94</v>
        <stp/>
        <stp>BDP|8756946435615578390|22</stp>
        <stp>CSCO US 07/17/26 C95 Equity</stp>
        <stp>ask</stp>
        <tr r="L19" s="89"/>
      </tp>
      <tp>
        <v>182.81</v>
        <stp/>
        <stp>BDP|10556089213855348182|22</stp>
        <stp>NVDA Equity</stp>
        <stp>LAST_PRICE</stp>
        <tr r="I33" s="1"/>
        <tr r="I34" s="1"/>
      </tp>
      <tp>
        <v>8.355376124382019E-2</v>
        <stp/>
        <stp>BDP|5912738480285834307|22</stp>
        <stp>LITE US 02/20/26 C680 Equity</stp>
        <stp>DELTA_MID_RT</stp>
        <tr r="W8" s="89"/>
      </tp>
      <tp>
        <v>-0.27866187691688538</v>
        <stp/>
        <stp>BDP|16717608110745995139|22</stp>
        <stp>QQQ US 02/20/26 P590 Equity</stp>
        <stp>DELTA_MID_RT</stp>
        <tr r="AF24" s="2"/>
      </tp>
      <tp>
        <v>72.28</v>
        <stp/>
        <stp>BDP|12824948095476956285|22</stp>
        <stp>WMB Equity</stp>
        <stp>LAST_PRICE</stp>
        <tr r="I48" s="1"/>
      </tp>
      <tp>
        <v>51.65</v>
        <stp/>
        <stp>BDP|11210988692762470107|22</stp>
        <stp>XLF Equity</stp>
        <stp>LAST_PRICE</stp>
        <tr r="I52" s="1"/>
        <tr r="I53" s="1"/>
      </tp>
      <tp>
        <v>-7.0999232120811939E-3</v>
        <stp/>
        <stp>BDP|4903226982801918550|22</stp>
        <stp>CSCO US 04/17/26 C95 Equity</stp>
        <stp>theta_mid_rt</stp>
        <tr r="AN9" s="2"/>
      </tp>
      <tp>
        <v>-1.5740003436803818E-2</v>
        <stp/>
        <stp>BDP|13556712232817309221|22</stp>
        <stp>QQQ US 02/12/26 P598 Equity</stp>
        <stp>DELTA_MID_RT</stp>
        <tr r="W31" s="89"/>
      </tp>
      <tp>
        <v>46.79</v>
        <stp/>
        <stp>BDP|10275830506276374754|22</stp>
        <stp>INTC Equity</stp>
        <stp>LAST_PRICE</stp>
        <tr r="I32" s="1"/>
      </tp>
      <tp>
        <v>-7.5299562886357307E-3</v>
        <stp/>
        <stp>BDP|5598166511208398697|22</stp>
        <stp>ASHR US 02/20/26 C35 Equity</stp>
        <stp>theta_mid_rt</stp>
        <tr r="AN6" s="2"/>
      </tp>
      <tp>
        <v>85.61</v>
        <stp/>
        <stp>BDP|16647003187596374852|22</stp>
        <stp>KBWB Equity</stp>
        <stp>LAST_PRICE</stp>
        <tr r="I54" s="1"/>
      </tp>
      <tp>
        <v>155.72999999999999</v>
        <stp/>
        <stp>BDP|16076910053857732698|22</stp>
        <stp>BABA Equity</stp>
        <stp>LAST_PRICE</stp>
        <tr r="I12" s="1"/>
      </tp>
      <tp>
        <v>0.01</v>
        <stp/>
        <stp>BDP|4634208072736715005|22</stp>
        <stp>QQQ US 02/12/26 P598 Equity</stp>
        <stp>bid</stp>
        <tr r="K31" s="89"/>
      </tp>
      <tp t="s">
        <v>#N/A Real Time</v>
        <stp/>
        <stp>BDP|16732714406053690944|22</stp>
        <stp>KMU5 Index</stp>
        <stp>LAST PRICE</stp>
        <tr r="L13" s="446"/>
      </tp>
      <tp>
        <v>0.67608213424682617</v>
        <stp/>
        <stp>BDP|16687792746206833445|22</stp>
        <stp>TSM US 06/18/26 C340 Equity</stp>
        <stp>DELTA_MID_RT</stp>
        <tr r="AF27" s="2"/>
      </tp>
      <tp>
        <v>0.44</v>
        <stp/>
        <stp>BDP|5744678466973659230|22</stp>
        <stp>ASHR US 02/27/26 C35 Equity</stp>
        <stp>ask</stp>
        <tr r="Q7" s="2"/>
      </tp>
      <tp>
        <v>0.56000000000000005</v>
        <stp/>
        <stp>BDP|8989615576811822286|22</stp>
        <stp>CSCO US 07/17/26 C95 Equity</stp>
        <stp>bid</stp>
        <tr r="K19" s="89"/>
      </tp>
      <tp>
        <v>0.25737655162811279</v>
        <stp/>
        <stp>BDP|4566483656655524211|22</stp>
        <stp>AMZN US 07/17/26 C240 Equity</stp>
        <stp>DELTA_MID_RT</stp>
        <tr r="W103" s="89"/>
        <tr r="AF4" s="2"/>
      </tp>
      <tp>
        <v>5.17</v>
        <stp/>
        <stp>BDP|3766651537479906892|22</stp>
        <stp>QQQ US 02/27/26 P580 Equity</stp>
        <stp>ask</stp>
        <tr r="Q26" s="2"/>
      </tp>
      <tp>
        <v>6.8</v>
        <stp/>
        <stp>BDP|4238822232610329926|22</stp>
        <stp>QQQ US 02/20/26 P600 Equity</stp>
        <stp>ask</stp>
        <tr r="Q23" s="2"/>
      </tp>
      <tp>
        <v>75.97</v>
        <stp/>
        <stp>BDP|11576966289528241643|22</stp>
        <stp>HOOD Equity</stp>
        <stp>LAST PRICE</stp>
        <tr r="L5" s="446"/>
        <tr r="L6" s="446"/>
      </tp>
      <tp>
        <v>-0.24310283362865448</v>
        <stp/>
        <stp>BDP|17243319253822680332|22</stp>
        <stp>QQQ US 02/27/26 P580 Equity</stp>
        <stp>DELTA_MID_RT</stp>
        <tr r="AF26" s="2"/>
      </tp>
      <tp>
        <v>562.74</v>
        <stp/>
        <stp>BDP|13530810646219131800|22</stp>
        <stp>LITE Equity</stp>
        <stp>LAST_PRICE</stp>
        <tr r="I37" s="1"/>
        <tr r="I36" s="1"/>
      </tp>
      <tp>
        <v>224.23</v>
        <stp/>
        <stp>BDP|13659659385475398852|22</stp>
        <stp>ACN Equity</stp>
        <stp>LAST PRICE</stp>
        <tr r="L8" s="446"/>
      </tp>
      <tp>
        <v>0.33078858256340027</v>
        <stp/>
        <stp>BDP|9201492330588297547|22</stp>
        <stp>AMZN US 12/18/26 C250 Equity</stp>
        <stp>DELTA_MID_RT</stp>
        <tr r="W94" s="89"/>
      </tp>
      <tp>
        <v>325.17</v>
        <stp/>
        <stp>BDP|17391786708796275229|22</stp>
        <stp>AVGO Equity</stp>
        <stp>LAST PRICE</stp>
        <tr r="G12" s="338"/>
      </tp>
      <tp>
        <v>235.53</v>
        <stp/>
        <stp>BDP|4463437285265374374|22</stp>
        <stp>LRCX EQUITY</stp>
        <stp>LAST_PRICE</stp>
        <tr r="H6" s="1"/>
      </tp>
      <tp>
        <v>-3.1301379203796387E-2</v>
        <stp/>
        <stp>BDP|1880248133672197461|22</stp>
        <stp>NFLX US 05/15/26 P70 Equity</stp>
        <stp>theta_mid_rt</stp>
        <tr r="AN19" s="2"/>
      </tp>
      <tp>
        <v>6.2</v>
        <stp/>
        <stp>BDP|9317551536395983431|22</stp>
        <stp>INTC US 07/17/26 C50 Equity</stp>
        <stp>bid</stp>
        <tr r="P12" s="2"/>
      </tp>
      <tp>
        <v>0.91</v>
        <stp/>
        <stp>BDP|6215650409594363711|22</stp>
        <stp>MRVL US 03/20/26 P60 Equity</stp>
        <stp>bid</stp>
        <tr r="P17" s="2"/>
      </tp>
      <tp>
        <v>3.5</v>
        <stp/>
        <stp>BDP|8826778433184054251|22</stp>
        <stp>NFLX US 05/15/26 P70 Equity</stp>
        <stp>ask</stp>
        <tr r="Q19" s="2"/>
      </tp>
      <tp>
        <v>-0.47955486178398132</v>
        <stp/>
        <stp>BDP|4850800782704536302|22</stp>
        <stp>2OG6P 24750 Index</stp>
        <stp>DELTA_MID_RT</stp>
        <tr r="W61" s="89"/>
      </tp>
      <tp>
        <v>87.94</v>
        <stp/>
        <stp>BDP|3517880411788471110|22</stp>
        <stp>COPX EQUITY</stp>
        <stp>LAST_PRICE</stp>
        <tr r="L9" s="1"/>
      </tp>
      <tp>
        <v>0.48948341608047485</v>
        <stp/>
        <stp>BDP|1115882164603689622|22</stp>
        <stp>META US 07/17/26 C670 Equity</stp>
        <stp>DELTA_MID_RT</stp>
        <tr r="W78" s="89"/>
      </tp>
      <tp>
        <v>0.16</v>
        <stp/>
        <stp>BDP|6559733617078447128|22</stp>
        <stp>CSCO US 04/17/26 C95 Equity</stp>
        <stp>mid</stp>
        <tr r="L9" s="2"/>
      </tp>
      <tp>
        <v>3.83</v>
        <stp/>
        <stp>BDP|4879115531248824760|22</stp>
        <stp>QQQ US 02/20/26 P590 Equity</stp>
        <stp>bid</stp>
        <tr r="P24" s="2"/>
      </tp>
      <tp>
        <v>0.51349765062332153</v>
        <stp/>
        <stp>BDP|17478839230977938286|22</stp>
        <stp>TSM US 06/18/26 C380 Equity</stp>
        <stp>DELTA_MID_RT</stp>
        <tr r="AF28" s="2"/>
      </tp>
      <tp>
        <v>0.29414078593254089</v>
        <stp/>
        <stp>BDP|7125100259003145731|22</stp>
        <stp>META US 07/17/26 C750 Equity</stp>
        <stp>DELTA_MID_RT</stp>
        <tr r="AF15" s="2"/>
      </tp>
      <tp>
        <v>189.72</v>
        <stp/>
        <stp>BDP|18434337130911834676|22</stp>
        <stp>CRM Equity</stp>
        <stp>LAST PRICE</stp>
        <tr r="L9" s="446"/>
        <tr r="G8" s="338"/>
      </tp>
      <tp>
        <v>366.36</v>
        <stp/>
        <stp>BDP|13113113388917834281|22</stp>
        <stp>TSM Equity</stp>
        <stp>LAST_PRICE</stp>
        <tr r="I28" s="1"/>
        <tr r="I29" s="1"/>
      </tp>
      <tp>
        <v>306.02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6" s="2"/>
      </tp>
      <tp>
        <v>24.8</v>
        <stp/>
        <stp>BDP|12167170999494993919|22</stp>
        <stp>KHC Equity</stp>
        <stp>LAST_PRICE</stp>
        <tr r="I55" s="1"/>
      </tp>
      <tp>
        <v>5369</v>
        <stp/>
        <stp>BDP|18259571086573127790|22</stp>
        <stp>HCTA Index</stp>
        <stp>LAST PRICE</stp>
        <tr r="L12" s="446"/>
      </tp>
      <tp>
        <v>2.83</v>
        <stp/>
        <stp>BDP|5295851568697877083|22</stp>
        <stp>MRVL US 03/20/26 P70 Equity</stp>
        <stp>bid</stp>
        <tr r="P16" s="2"/>
      </tp>
      <tp>
        <v>0.59300315380096436</v>
        <stp/>
        <stp>BDP|3339707825527805733|22</stp>
        <stp>LITE US 06/18/26 C600 Equity</stp>
        <stp>DELTA_MID_RT</stp>
        <tr r="AF13" s="2"/>
      </tp>
      <tp t="s">
        <v>USD</v>
        <stp/>
        <stp>BDP|489157209106839653|22</stp>
        <stp>NVDA US 03/20/26 C220 Equity</stp>
        <stp>QUOTED_CURRENCY_REALTIME</stp>
        <tr r="G22" s="2"/>
      </tp>
      <tp>
        <v>2.13</v>
        <stp/>
        <stp>BDP|5541024631542138350|22</stp>
        <stp>NFLX US 05/15/26 C90 Equity</stp>
        <stp>bid</stp>
        <tr r="P18" s="2"/>
      </tp>
      <tp>
        <v>0.02</v>
        <stp/>
        <stp>BDP|8465872380432047250|22</stp>
        <stp>ASHR US 02/20/26 C35 Equity</stp>
        <stp>ask</stp>
        <tr r="Q6" s="2"/>
      </tp>
      <tp>
        <v>3.85</v>
        <stp/>
        <stp>BDP|6119932909512956310|22</stp>
        <stp>QQQ US 02/20/26 P590 Equity</stp>
        <stp>mid</stp>
        <tr r="L24" s="2"/>
      </tp>
      <tp>
        <v>0.01</v>
        <stp/>
        <stp>BDP|5237029452497081922|22</stp>
        <stp>QQQ US 02/13/26 P595 Equity</stp>
        <stp>ask</stp>
        <tr r="L36" s="89"/>
      </tp>
      <tp>
        <v>366.36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P&amp;L'!$B$12:$B$57</c:f>
              <c:strCache>
                <c:ptCount val="46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NQA</c:v>
                </c:pt>
                <c:pt idx="5">
                  <c:v>NQA</c:v>
                </c:pt>
                <c:pt idx="6">
                  <c:v>GOOG</c:v>
                </c:pt>
                <c:pt idx="7">
                  <c:v>META</c:v>
                </c:pt>
                <c:pt idx="8">
                  <c:v>AMZN</c:v>
                </c:pt>
                <c:pt idx="9">
                  <c:v>NFLX</c:v>
                </c:pt>
                <c:pt idx="10">
                  <c:v>EWY</c:v>
                </c:pt>
                <c:pt idx="11">
                  <c:v>000660 KS</c:v>
                </c:pt>
                <c:pt idx="12">
                  <c:v>402340 KS</c:v>
                </c:pt>
                <c:pt idx="13">
                  <c:v>005930 KS</c:v>
                </c:pt>
                <c:pt idx="14">
                  <c:v>005935 KS</c:v>
                </c:pt>
                <c:pt idx="15">
                  <c:v>2330 TT</c:v>
                </c:pt>
                <c:pt idx="16">
                  <c:v>TSM</c:v>
                </c:pt>
                <c:pt idx="17">
                  <c:v>TSM</c:v>
                </c:pt>
                <c:pt idx="18">
                  <c:v>AVGO</c:v>
                </c:pt>
                <c:pt idx="19">
                  <c:v>AVGO</c:v>
                </c:pt>
                <c:pt idx="20">
                  <c:v>INTC</c:v>
                </c:pt>
                <c:pt idx="21">
                  <c:v>NVDA</c:v>
                </c:pt>
                <c:pt idx="22">
                  <c:v>NVDA</c:v>
                </c:pt>
                <c:pt idx="23">
                  <c:v>MRVL</c:v>
                </c:pt>
                <c:pt idx="24">
                  <c:v>LITE</c:v>
                </c:pt>
                <c:pt idx="25">
                  <c:v>LITE</c:v>
                </c:pt>
                <c:pt idx="26">
                  <c:v>COHR</c:v>
                </c:pt>
                <c:pt idx="27">
                  <c:v>AKAM</c:v>
                </c:pt>
                <c:pt idx="28">
                  <c:v>AKAM</c:v>
                </c:pt>
                <c:pt idx="29">
                  <c:v>CSCO</c:v>
                </c:pt>
                <c:pt idx="30">
                  <c:v>CSCO</c:v>
                </c:pt>
                <c:pt idx="31">
                  <c:v>RIOT</c:v>
                </c:pt>
                <c:pt idx="32">
                  <c:v>AGX</c:v>
                </c:pt>
                <c:pt idx="33">
                  <c:v>AGX</c:v>
                </c:pt>
                <c:pt idx="34">
                  <c:v>GEV</c:v>
                </c:pt>
                <c:pt idx="35">
                  <c:v>ENR GY</c:v>
                </c:pt>
                <c:pt idx="36">
                  <c:v>WMB</c:v>
                </c:pt>
                <c:pt idx="37">
                  <c:v>GDX</c:v>
                </c:pt>
                <c:pt idx="38">
                  <c:v>GDX</c:v>
                </c:pt>
                <c:pt idx="39">
                  <c:v>GDX</c:v>
                </c:pt>
                <c:pt idx="40">
                  <c:v>XLF</c:v>
                </c:pt>
                <c:pt idx="41">
                  <c:v>XLF</c:v>
                </c:pt>
                <c:pt idx="42">
                  <c:v>KBWB</c:v>
                </c:pt>
                <c:pt idx="43">
                  <c:v>KHC</c:v>
                </c:pt>
                <c:pt idx="44">
                  <c:v>XLP</c:v>
                </c:pt>
                <c:pt idx="45">
                  <c:v>XLP</c:v>
                </c:pt>
              </c:strCache>
            </c:strRef>
          </c:cat>
          <c:val>
            <c:numRef>
              <c:f>'Master P&amp;L'!$J$12:$J$57</c:f>
              <c:numCache>
                <c:formatCode>0.00%</c:formatCode>
                <c:ptCount val="46"/>
                <c:pt idx="0">
                  <c:v>-1.8900018900018911E-2</c:v>
                </c:pt>
                <c:pt idx="1">
                  <c:v>-9.9002746061569447E-3</c:v>
                </c:pt>
                <c:pt idx="2">
                  <c:v>-4.1395623891188338E-3</c:v>
                </c:pt>
                <c:pt idx="3">
                  <c:v>2.1310602024506853E-3</c:v>
                </c:pt>
                <c:pt idx="4">
                  <c:v>6.2580749354013143E-4</c:v>
                </c:pt>
                <c:pt idx="5">
                  <c:v>4.2884923900838867E-3</c:v>
                </c:pt>
                <c:pt idx="6">
                  <c:v>-1.0828457833662042E-2</c:v>
                </c:pt>
                <c:pt idx="7">
                  <c:v>-1.5450670195903404E-2</c:v>
                </c:pt>
                <c:pt idx="8">
                  <c:v>-4.0581162324649922E-3</c:v>
                </c:pt>
                <c:pt idx="9">
                  <c:v>1.3313999472712945E-2</c:v>
                </c:pt>
                <c:pt idx="10">
                  <c:v>2.4235474006116142E-2</c:v>
                </c:pt>
                <c:pt idx="11">
                  <c:v>-8.9485458612975632E-3</c:v>
                </c:pt>
                <c:pt idx="12">
                  <c:v>-1.2302284710017597E-2</c:v>
                </c:pt>
                <c:pt idx="13">
                  <c:v>1.3896609227348478E-2</c:v>
                </c:pt>
                <c:pt idx="14">
                  <c:v>4.5045045045045029E-2</c:v>
                </c:pt>
                <c:pt idx="15">
                  <c:v>0</c:v>
                </c:pt>
                <c:pt idx="16">
                  <c:v>-4.7269763651182073E-3</c:v>
                </c:pt>
                <c:pt idx="17">
                  <c:v>-2.5320591358327649E-3</c:v>
                </c:pt>
                <c:pt idx="18">
                  <c:v>-1.8117583114412583E-2</c:v>
                </c:pt>
                <c:pt idx="19">
                  <c:v>-1.0829556170717569E-2</c:v>
                </c:pt>
                <c:pt idx="20">
                  <c:v>6.6695352839931665E-3</c:v>
                </c:pt>
                <c:pt idx="21">
                  <c:v>-2.2092650048143758E-2</c:v>
                </c:pt>
                <c:pt idx="22">
                  <c:v>-3.3257005779085969E-3</c:v>
                </c:pt>
                <c:pt idx="23">
                  <c:v>4.85747155822569E-3</c:v>
                </c:pt>
                <c:pt idx="24">
                  <c:v>-3.5512288760154997E-2</c:v>
                </c:pt>
                <c:pt idx="25">
                  <c:v>0</c:v>
                </c:pt>
                <c:pt idx="26">
                  <c:v>-4.9926713081714924E-3</c:v>
                </c:pt>
                <c:pt idx="27">
                  <c:v>6.8349106203995813E-2</c:v>
                </c:pt>
                <c:pt idx="28">
                  <c:v>0</c:v>
                </c:pt>
                <c:pt idx="29">
                  <c:v>2.4666666666666615E-2</c:v>
                </c:pt>
                <c:pt idx="30">
                  <c:v>-6.5019505851771076E-4</c:v>
                </c:pt>
                <c:pt idx="31">
                  <c:v>7.1830985915493084E-2</c:v>
                </c:pt>
                <c:pt idx="32">
                  <c:v>-8.9447600628550505E-3</c:v>
                </c:pt>
                <c:pt idx="33">
                  <c:v>0</c:v>
                </c:pt>
                <c:pt idx="34">
                  <c:v>-1.7671695894973971E-2</c:v>
                </c:pt>
                <c:pt idx="35">
                  <c:v>4.3370508054523249E-3</c:v>
                </c:pt>
                <c:pt idx="36">
                  <c:v>1.6167580486433408E-2</c:v>
                </c:pt>
                <c:pt idx="37">
                  <c:v>5.7590557590557534E-2</c:v>
                </c:pt>
                <c:pt idx="38">
                  <c:v>4.947495961227788E-2</c:v>
                </c:pt>
                <c:pt idx="39">
                  <c:v>8.8323789187614299E-3</c:v>
                </c:pt>
                <c:pt idx="40">
                  <c:v>-7.7384407041980463E-4</c:v>
                </c:pt>
                <c:pt idx="41">
                  <c:v>3.8872691933915515E-3</c:v>
                </c:pt>
                <c:pt idx="42">
                  <c:v>3.1638153269275548E-3</c:v>
                </c:pt>
                <c:pt idx="43">
                  <c:v>1.9736842105263275E-2</c:v>
                </c:pt>
                <c:pt idx="44">
                  <c:v>3.7003812514015966E-3</c:v>
                </c:pt>
                <c:pt idx="45">
                  <c:v>3.3628516982402434E-3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51</xdr:row>
      <xdr:rowOff>151243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50</xdr:row>
      <xdr:rowOff>154782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66.683476620368" createdVersion="8" refreshedVersion="8" minRefreshableVersion="3" recordCount="46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AKAM"/>
        <s v="CSCO"/>
        <s v="RIOT"/>
        <s v="AGX"/>
        <s v="GEV"/>
        <s v="ENR GY"/>
        <s v="WMB"/>
        <s v="GDX"/>
        <s v="XLF"/>
        <s v="KBWB"/>
        <s v="KHC"/>
        <s v="XLP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53300"/>
    </cacheField>
    <cacheField name="Price Today" numFmtId="43">
      <sharedItems containsSemiMixedTypes="0" containsString="0" containsNumber="1" minValue="15.445" maxValue="886000"/>
    </cacheField>
    <cacheField name="% Chg" numFmtId="10">
      <sharedItems containsSemiMixedTypes="0" containsString="0" containsNumber="1" minValue="-2.4354711548349561E-2" maxValue="8.767605633802833E-2"/>
    </cacheField>
    <cacheField name="Price Yest" numFmtId="43">
      <sharedItems containsSemiMixedTypes="0" containsString="0" containsNumber="1" minValue="14.2" maxValue="894000"/>
    </cacheField>
    <cacheField name="FX" numFmtId="0">
      <sharedItems containsSemiMixedTypes="0" containsString="0" containsNumber="1" minValue="0.84317032040472184" maxValue="1444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964500" maxValue="9699171.5"/>
    </cacheField>
    <cacheField name="D1 Exp %" numFmtId="196">
      <sharedItems containsSemiMixedTypes="0" containsString="0" containsNumber="1" minValue="-9.8894355323836391E-3" maxValue="3.8422292161582531E-3"/>
    </cacheField>
    <cacheField name="D1 P&amp;L bps" numFmtId="170">
      <sharedItems containsSemiMixedTypes="0" containsString="0" containsNumber="1" minValue="-1.1362481899311487" maxValue="0.76313974680518371"/>
    </cacheField>
    <cacheField name="Options Exp USD (delta adj)" numFmtId="166">
      <sharedItems containsString="0" containsBlank="1" containsNumber="1" minValue="-9295464.4606769066" maxValue="14487231.036984921"/>
    </cacheField>
    <cacheField name="Option Exp %" numFmtId="0">
      <sharedItems containsString="0" containsBlank="1" containsNumber="1" minValue="-3.6823047338191239E-3" maxValue="5.7389708339045343E-3"/>
    </cacheField>
    <cacheField name="Options P&amp;L bps" numFmtId="170">
      <sharedItems containsString="0" containsBlank="1" containsNumber="1" minValue="-0.40921255803049522" maxValue="0.11240470797788055"/>
    </cacheField>
    <cacheField name="Exp" numFmtId="166">
      <sharedItems containsSemiMixedTypes="0" containsString="0" containsNumber="1" minValue="-24964500" maxValue="13449346.877448089"/>
    </cacheField>
    <cacheField name="Exp %" numFmtId="173">
      <sharedItems containsSemiMixedTypes="0" containsString="0" containsNumber="1" minValue="-9.8894355323836391E-3" maxValue="5.3278234652081183E-3"/>
    </cacheField>
    <cacheField name="P&amp;L bps" numFmtId="170">
      <sharedItems containsSemiMixedTypes="0" containsString="0" containsNumber="1" minValue="-1.1362481899311487" maxValue="0.76313974680518371"/>
    </cacheField>
    <cacheField name="xx" numFmtId="166">
      <sharedItems containsSemiMixedTypes="0" containsString="0" containsNumber="1" minValue="0.75838504386228445" maxValue="24516.28802525089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25576.741596385837"/>
    </cacheField>
    <cacheField name="Column1" numFmtId="170">
      <sharedItems containsSemiMixedTypes="0" containsString="0" containsNumber="1" minValue="-1.372720625447174" maxValue="1.8353758852137005"/>
    </cacheField>
    <cacheField name="Expo Beta Adj" numFmtId="10">
      <sharedItems containsString="0" containsBlank="1" containsNumber="1" minValue="-3.6866711179900495E-3" maxValue="9.8288245953195089E-3"/>
    </cacheField>
    <cacheField name="Vol 10d" numFmtId="43">
      <sharedItems containsSemiMixedTypes="0" containsString="0" containsNumber="1" minValue="13.175400844316467" maxValue="153.60378474014021"/>
    </cacheField>
    <cacheField name="Beta" numFmtId="43">
      <sharedItems containsMixedTypes="1" containsNumber="1" minValue="0.36547309160232544" maxValue="2.1743414402008057"/>
    </cacheField>
    <cacheField name="Daily P&amp;L" numFmtId="166">
      <sharedItems containsSemiMixedTypes="0" containsString="0" containsNumber="1" minValue="-269354.50283886067" maxValue="180906.8906941360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0133360000000001E-2" maxValue="2.5335750000000001E-2"/>
    </cacheField>
    <cacheField name="Column4" numFmtId="170">
      <sharedItems containsMixedTypes="1" containsNumber="1" minValue="-0.13254937846520862" maxValue="0.3521221205243471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m/>
    <s v="USD"/>
    <s v="Long"/>
    <m/>
    <n v="3678"/>
    <n v="154.97"/>
    <n v="-2.3688023688023585E-2"/>
    <n v="158.72999999999999"/>
    <n v="1"/>
    <n v="1"/>
    <n v="569979.66"/>
    <n v="2.2579170831941138E-4"/>
    <n v="-5.478330149583692E-2"/>
    <n v="0"/>
    <n v="0"/>
    <n v="0"/>
    <n v="569979.66"/>
    <n v="2.2579170831941138E-4"/>
    <n v="-5.478330149583692E-2"/>
    <n v="2443.4023911079566"/>
    <m/>
    <n v="1287.3"/>
    <n v="5.0583584240991172E-2"/>
    <n v="1.9526265873744892E-4"/>
    <n v="35.844422892223619"/>
    <n v="0.86479109525680542"/>
    <n v="-12986.712822993995"/>
    <m/>
    <s v="20/02/2026"/>
    <e v="#VALUE!"/>
    <e v="#VALUE!"/>
    <s v="12/06/2025"/>
  </r>
  <r>
    <x v="1"/>
    <x v="0"/>
    <m/>
    <s v="USD"/>
    <s v="Long"/>
    <m/>
    <n v="4500"/>
    <n v="136.44999999999999"/>
    <n v="-1.3947102182396365E-2"/>
    <n v="138.38"/>
    <n v="1"/>
    <n v="1"/>
    <n v="614025"/>
    <n v="2.4323982666473847E-4"/>
    <n v="-3.4404753789882517E-2"/>
    <n v="0"/>
    <n v="0"/>
    <n v="0"/>
    <n v="614025"/>
    <n v="2.4323982666473847E-4"/>
    <n v="-3.4404753789882517E-2"/>
    <n v="2775.0389780139249"/>
    <m/>
    <n v="1575.0000000000002"/>
    <n v="7.4965032052330821E-2"/>
    <n v="2.5284893021548267E-4"/>
    <n v="49.311024813814811"/>
    <n v="1.0395046472549438"/>
    <n v="-8155.8548867116378"/>
    <m/>
    <s v="26/02/2026"/>
    <e v="#VALUE!"/>
    <e v="#VALUE!"/>
    <s v="#N/A Field Not Applicable"/>
  </r>
  <r>
    <x v="2"/>
    <x v="0"/>
    <m/>
    <s v="USD"/>
    <s v="Long"/>
    <m/>
    <n v="10000"/>
    <n v="33.695"/>
    <n v="-3.6960378474275579E-3"/>
    <n v="33.82"/>
    <n v="1"/>
    <n v="1"/>
    <n v="336950"/>
    <n v="1.3347935278642341E-4"/>
    <n v="-4.9517492501269991E-3"/>
    <n v="678003.42858582735"/>
    <n v="2.6858423752667242E-4"/>
    <n v="0"/>
    <n v="1014953.4285858274"/>
    <n v="4.020635903130958E-4"/>
    <n v="-4.9517492501269991E-3"/>
    <n v="11237.693086511352"/>
    <m/>
    <n v="10542.62353479862"/>
    <n v="3.3108431045500451E-2"/>
    <n v="4.5810560124362785E-4"/>
    <n v="13.175400844316467"/>
    <n v="1.1393859386444092"/>
    <n v="-1173.8420965330467"/>
    <m/>
    <s v="#N/A N/A"/>
    <n v="-9.4618480000000001E-3"/>
    <n v="-3.8042645778767856E-2"/>
    <s v="19/12/2025"/>
  </r>
  <r>
    <x v="3"/>
    <x v="1"/>
    <m/>
    <s v="USD"/>
    <s v="Short"/>
    <m/>
    <m/>
    <n v="605.73"/>
    <n v="8.4742940863080651E-3"/>
    <n v="600.64"/>
    <n v="1"/>
    <n v="1"/>
    <n v="0"/>
    <n v="0"/>
    <n v="0"/>
    <n v="-9295464.4606769066"/>
    <n v="-3.6823047338191239E-3"/>
    <n v="-0.32364633098830065"/>
    <n v="-9295464.4606769066"/>
    <n v="-3.6823047338191239E-3"/>
    <n v="-0.32364633098830065"/>
    <n v="625.12021618542917"/>
    <m/>
    <n v="-5371.0606396198264"/>
    <n v="-0.51393113471084628"/>
    <n v="-3.6866711179900495E-3"/>
    <n v="22.33084643933071"/>
    <n v="1.0011857748031616"/>
    <n v="0"/>
    <m/>
    <s v="#N/A N/A"/>
    <n v="-4.6621820000000003E-4"/>
    <n v="1.716757484852631E-2"/>
    <s v="22/12/2025"/>
  </r>
  <r>
    <x v="4"/>
    <x v="1"/>
    <m/>
    <s v="USD"/>
    <s v="Short"/>
    <m/>
    <n v="-15"/>
    <n v="24964.5"/>
    <n v="7.9336240310077244E-3"/>
    <n v="24768"/>
    <n v="1"/>
    <n v="20"/>
    <n v="-7489350"/>
    <n v="-2.9668306597150917E-3"/>
    <n v="-0.23352449463598932"/>
    <m/>
    <m/>
    <m/>
    <n v="-7489350"/>
    <n v="-2.9668306597150917E-3"/>
    <n v="-0.23352449463598932"/>
    <n v="0.75838504386228445"/>
    <m/>
    <n v="-105"/>
    <n v="-0.41181618763415212"/>
    <m/>
    <n v="22.209083557128906"/>
    <s v="#N/A Field Not Applicable"/>
    <n v="-55358.393272498492"/>
    <m/>
    <s v="#N/A Field Not Applicable"/>
    <e v="#VALUE!"/>
    <e v="#VALUE!"/>
    <s v="#N/A Field Not Applicable"/>
  </r>
  <r>
    <x v="4"/>
    <x v="1"/>
    <m/>
    <s v="USD"/>
    <s v="Short"/>
    <m/>
    <n v="-50"/>
    <n v="24964.5"/>
    <n v="1.1623058416779353E-2"/>
    <n v="24677.67"/>
    <n v="1"/>
    <n v="20"/>
    <n v="-24964500"/>
    <n v="-9.8894355323836391E-3"/>
    <n v="-1.1362481899311487"/>
    <m/>
    <m/>
    <m/>
    <n v="-24964500"/>
    <n v="-9.8894355323836391E-3"/>
    <n v="-1.1362481899311487"/>
    <n v="0.75838504386228445"/>
    <m/>
    <n v="-350"/>
    <n v="-1.372720625447174"/>
    <m/>
    <n v="22.209083557128906"/>
    <s v="#N/A Field Not Applicable"/>
    <n v="-269354.50283886067"/>
    <m/>
    <s v="#N/A Field Not Applicable"/>
    <e v="#VALUE!"/>
    <e v="#VALUE!"/>
    <s v="#N/A Field Not Applicable"/>
  </r>
  <r>
    <x v="5"/>
    <x v="2"/>
    <m/>
    <s v="USD"/>
    <s v="Long"/>
    <m/>
    <n v="2000"/>
    <n v="308.14"/>
    <n v="-3.9758218314640548E-3"/>
    <n v="309.37"/>
    <n v="1"/>
    <n v="1"/>
    <n v="616280"/>
    <n v="2.4413312222946139E-4"/>
    <n v="-9.7450425242500797E-3"/>
    <n v="0"/>
    <n v="0"/>
    <n v="0"/>
    <n v="616280"/>
    <n v="2.4413312222946139E-4"/>
    <n v="-9.7450425242500797E-3"/>
    <n v="1228.8377638411114"/>
    <m/>
    <n v="700"/>
    <n v="2.3799577204180831E-2"/>
    <n v="2.503788160278005E-4"/>
    <n v="15.597770257039709"/>
    <n v="1.0255831480026245"/>
    <n v="-2310.12124597707"/>
    <m/>
    <s v="24/04/2026"/>
    <n v="-5.1718210000000001E-3"/>
    <n v="-1.2626128083418953E-2"/>
    <s v="09/03/2026"/>
  </r>
  <r>
    <x v="6"/>
    <x v="2"/>
    <m/>
    <s v="USD"/>
    <s v="Long"/>
    <m/>
    <n v="8100"/>
    <n v="648"/>
    <n v="-2.7854295871100332E-3"/>
    <n v="649.80999999999995"/>
    <n v="1"/>
    <n v="1"/>
    <n v="5248800"/>
    <n v="2.0792593171253277E-3"/>
    <n v="-5.8078076604887806E-2"/>
    <n v="3428961.7946147919"/>
    <n v="1.358348719615834E-3"/>
    <n v="-0.14142195858362697"/>
    <n v="8677761.7946147919"/>
    <n v="3.4376080367411617E-3"/>
    <n v="-0.19950003518851478"/>
    <n v="584.34269837962972"/>
    <m/>
    <n v="4687.0626977086067"/>
    <n v="0.59425941924666126"/>
    <n v="4.091581545943356E-3"/>
    <n v="27.659205489175747"/>
    <n v="1.1902408599853516"/>
    <n v="-13767.759181816384"/>
    <m/>
    <s v="30/04/2026"/>
    <e v="#VALUE!"/>
    <e v="#VALUE!"/>
    <s v="16/03/2026"/>
  </r>
  <r>
    <x v="7"/>
    <x v="2"/>
    <m/>
    <s v="USD"/>
    <s v="Short"/>
    <m/>
    <m/>
    <n v="200"/>
    <n v="2.0040080160321772E-3"/>
    <n v="199.6"/>
    <n v="1"/>
    <n v="1"/>
    <n v="0"/>
    <n v="0"/>
    <n v="0"/>
    <n v="35509.765148162842"/>
    <n v="1.4066836235568097E-5"/>
    <n v="5.2884681991356181E-2"/>
    <n v="35509.765148162842"/>
    <n v="1.4066836235568097E-5"/>
    <n v="5.2884681991356181E-2"/>
    <n v="1893.2703427500001"/>
    <m/>
    <n v="62.142089009284966"/>
    <n v="2.5246939980706506E-3"/>
    <n v="1.7934657458084375E-5"/>
    <n v="28.716552387942855"/>
    <n v="1.2749602794647217"/>
    <n v="0"/>
    <m/>
    <s v="01/05/2026"/>
    <n v="-3.557148E-3"/>
    <n v="-5.003781838167859E-4"/>
    <s v="#N/A Field Not Applicable"/>
  </r>
  <r>
    <x v="8"/>
    <x v="2"/>
    <m/>
    <s v="USD"/>
    <s v="Short"/>
    <m/>
    <m/>
    <n v="76.995000000000005"/>
    <n v="1.4961771684682379E-2"/>
    <n v="75.86"/>
    <n v="1"/>
    <n v="1"/>
    <n v="0"/>
    <n v="0"/>
    <n v="0"/>
    <n v="-386971.30499035132"/>
    <n v="-1.532947895445311E-4"/>
    <n v="2.5551026130655338E-2"/>
    <n v="-386971.30499035132"/>
    <n v="-1.532947895445311E-4"/>
    <n v="2.5551026130655338E-2"/>
    <n v="4917.9046503019681"/>
    <m/>
    <n v="-1759.0747028589251"/>
    <n v="-3.5820746219130076E-2"/>
    <n v="-1.7018822984186106E-4"/>
    <n v="37.387568175602624"/>
    <n v="1.1102023124694824"/>
    <n v="0"/>
    <m/>
    <s v="17/04/2026"/>
    <n v="1.3181979999999998E-3"/>
    <n v="-2.0207288498802177E-3"/>
    <s v="#N/A Field Not Applicable"/>
  </r>
  <r>
    <x v="9"/>
    <x v="3"/>
    <m/>
    <s v="USD"/>
    <s v="Long"/>
    <m/>
    <n v="38496"/>
    <n v="134.31"/>
    <n v="2.6834862385320957E-2"/>
    <n v="130.80000000000001"/>
    <n v="1"/>
    <n v="1"/>
    <n v="5170397.76"/>
    <n v="2.0482010584750654E-3"/>
    <n v="0.53526808988515084"/>
    <n v="0"/>
    <n v="0"/>
    <n v="0"/>
    <n v="5170397.76"/>
    <n v="2.0482010584750654E-3"/>
    <n v="0.53526808988515084"/>
    <n v="2819.2544750949296"/>
    <m/>
    <n v="13473.6"/>
    <n v="0.52321065928590116"/>
    <n v="1.8489225854805265E-3"/>
    <n v="40.871820244088262"/>
    <n v="0.9027056097984314"/>
    <n v="126888.53677756603"/>
    <m/>
    <s v="#N/A N/A"/>
    <n v="6.6513389999999992E-3"/>
    <n v="0.13623279580076481"/>
    <s v="16/12/2025"/>
  </r>
  <r>
    <x v="10"/>
    <x v="3"/>
    <m/>
    <s v="KRW"/>
    <s v="Long"/>
    <m/>
    <n v="1563"/>
    <n v="886000"/>
    <n v="-8.9485458612975632E-3"/>
    <n v="894000"/>
    <n v="1444"/>
    <n v="1"/>
    <n v="959015.23545706377"/>
    <n v="3.7990423784279068E-4"/>
    <n v="-3.4302865719439343E-2"/>
    <n v="0"/>
    <n v="0"/>
    <n v="0"/>
    <n v="959015.23545706377"/>
    <n v="3.7990423784279068E-4"/>
    <n v="-3.4302865719439343E-2"/>
    <n v="617.12920427336337"/>
    <m/>
    <n v="0.37884349030470915"/>
    <n v="0.14721987290445177"/>
    <n v="6.4134597643296669E-4"/>
    <n v="62.002940000000002"/>
    <n v="1.688178"/>
    <n v="-8131.701703628376"/>
    <m/>
    <s v="23/04/2026"/>
    <e v="#VALUE!"/>
    <e v="#VALUE!"/>
    <s v="26/02/2026"/>
  </r>
  <r>
    <x v="11"/>
    <x v="3"/>
    <m/>
    <s v="KRW"/>
    <s v="Long"/>
    <m/>
    <n v="1468"/>
    <n v="562000"/>
    <n v="-1.2302284710017597E-2"/>
    <n v="569000"/>
    <n v="1444"/>
    <n v="1"/>
    <n v="571340.72022160667"/>
    <n v="2.2633087863394886E-4"/>
    <n v="-2.8190678833410001E-2"/>
    <n v="0"/>
    <n v="0"/>
    <n v="0"/>
    <n v="571340.72022160667"/>
    <n v="2.2633087863394886E-4"/>
    <n v="-2.8190678833410001E-2"/>
    <n v="972.91187719964421"/>
    <m/>
    <n v="0.35581717451523548"/>
    <n v="0.10476023191418522"/>
    <n v="4.5100184660399635E-4"/>
    <n v="74.058109999999999"/>
    <n v="1.992666"/>
    <n v="-6682.7708498468637"/>
    <m/>
    <s v="11/03/2026"/>
    <e v="#VALUE!"/>
    <e v="#VALUE!"/>
    <s v="#N/A N/A"/>
  </r>
  <r>
    <x v="12"/>
    <x v="3"/>
    <m/>
    <s v="KRW"/>
    <s v="Long"/>
    <m/>
    <n v="7080"/>
    <n v="182400"/>
    <n v="1.3896609227348478E-2"/>
    <n v="179900"/>
    <n v="1444"/>
    <n v="1"/>
    <n v="894315.78947368416"/>
    <n v="3.5427420319224408E-4"/>
    <n v="4.8557319516480825E-2"/>
    <n v="0"/>
    <n v="0"/>
    <n v="0"/>
    <n v="894315.78947368416"/>
    <n v="3.5427420319224408E-4"/>
    <n v="4.8557319516480825E-2"/>
    <n v="2997.6780426875002"/>
    <m/>
    <n v="1.7160664819944595"/>
    <n v="0.15393552903409807"/>
    <n v="4.0983786067250925E-4"/>
    <n v="69.521529999999998"/>
    <n v="1.156838"/>
    <n v="11510.80615436838"/>
    <m/>
    <s v="07/04/2026"/>
    <e v="#VALUE!"/>
    <e v="#VALUE!"/>
    <s v="29/12/2025"/>
  </r>
  <r>
    <x v="13"/>
    <x v="3"/>
    <m/>
    <s v="KRW"/>
    <s v="Long"/>
    <m/>
    <n v="4400"/>
    <n v="127600"/>
    <n v="4.5045045045045029E-2"/>
    <n v="122100"/>
    <n v="1444"/>
    <n v="1"/>
    <n v="388808.86426592799"/>
    <n v="1.5402272016572314E-4"/>
    <n v="6.638910351970824E-2"/>
    <n v="0"/>
    <n v="0"/>
    <n v="0"/>
    <n v="388808.86426592799"/>
    <n v="1.5402272016572314E-4"/>
    <n v="6.638910351970824E-2"/>
    <n v="4285.0820923683386"/>
    <m/>
    <n v="1.0664819944598336"/>
    <n v="6.7096850200853889E-2"/>
    <n v="1.7362072510232991E-4"/>
    <n v="69.700729999999993"/>
    <n v="1.1272409999999999"/>
    <n v="15737.938357949986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6230.688435550418"/>
    <m/>
    <n v="199.37482149090795"/>
    <n v="7.7532893284500207E-2"/>
    <n v="5.4778456069573794E-4"/>
    <n v="28.706900000000001"/>
    <n v="1.2676229999999999"/>
    <n v="0"/>
    <m/>
    <s v="17/04/2026"/>
    <e v="#VALUE!"/>
    <e v="#VALUE!"/>
    <s v="17/03/2026"/>
  </r>
  <r>
    <x v="15"/>
    <x v="4"/>
    <m/>
    <s v="USD"/>
    <s v="Long"/>
    <m/>
    <n v="-5000"/>
    <n v="368.44"/>
    <n v="9.2366204835636623E-4"/>
    <n v="368.1"/>
    <n v="1"/>
    <n v="1"/>
    <n v="-1842200"/>
    <n v="-7.297689974867167E-4"/>
    <n v="-6.7343789801722247E-3"/>
    <n v="14487231.036984921"/>
    <n v="5.7389708339045343E-3"/>
    <n v="0.11240470797788055"/>
    <n v="12645031.036984921"/>
    <n v="5.0092018364178174E-3"/>
    <n v="0.10567032899770833"/>
    <n v="1027.7224746227337"/>
    <m/>
    <n v="12012.16171681881"/>
    <n v="1.3495226502266353"/>
    <n v="7.2777262945495679E-3"/>
    <n v="43.105395048460061"/>
    <n v="1.4528714418411255"/>
    <n v="-1596.4252512848263"/>
    <m/>
    <s v="17/04/2026"/>
    <e v="#VALUE!"/>
    <e v="#VALUE!"/>
    <s v="17/03/2026"/>
  </r>
  <r>
    <x v="15"/>
    <x v="4"/>
    <m/>
    <s v="USD"/>
    <s v="Long"/>
    <m/>
    <n v="1640"/>
    <n v="368.44"/>
    <n v="3.131040866889867E-3"/>
    <n v="367.29"/>
    <n v="1"/>
    <n v="1"/>
    <n v="604241.6"/>
    <n v="2.3936423117564308E-4"/>
    <n v="7.4711992685914698E-3"/>
    <m/>
    <m/>
    <m/>
    <n v="604241.6"/>
    <n v="2.3936423117564308E-4"/>
    <n v="7.4711992685914698E-3"/>
    <n v="1027.7224746227337"/>
    <m/>
    <n v="573.99999999999989"/>
    <n v="6.4486810908106332E-2"/>
    <n v="3.4776545567334903E-4"/>
    <n v="43.105395048460061"/>
    <n v="1.4528714418411255"/>
    <n v="1771.0929552490261"/>
    <m/>
    <s v="17/04/2026"/>
    <e v="#VALUE!"/>
    <e v="#VALUE!"/>
    <s v="17/03/2026"/>
  </r>
  <r>
    <x v="16"/>
    <x v="4"/>
    <m/>
    <s v="USD"/>
    <s v="Long"/>
    <m/>
    <n v="16400"/>
    <n v="327.08999999999997"/>
    <n v="-1.2319956517800601E-2"/>
    <n v="331.17"/>
    <n v="1"/>
    <n v="1"/>
    <n v="5364276"/>
    <n v="2.1250039728379407E-3"/>
    <n v="-0.2650651566596009"/>
    <n v="1921742.69113183"/>
    <n v="7.6127903437992655E-4"/>
    <n v="-0.14498721804371842"/>
    <n v="7286018.6911318302"/>
    <n v="2.8862830072178673E-3"/>
    <n v="-0.41005237470331934"/>
    <n v="1157.6448945244431"/>
    <m/>
    <n v="7796.3451707363138"/>
    <n v="1.0301833871101755"/>
    <n v="5.8505017057882119E-3"/>
    <n v="57.10782398172023"/>
    <n v="2.0270020961761475"/>
    <n v="-62835.297890576003"/>
    <m/>
    <s v="04/03/2026"/>
    <n v="-3.2612170000000003E-3"/>
    <n v="-9.4127952099500339E-2"/>
    <s v="22/12/2025"/>
  </r>
  <r>
    <x v="16"/>
    <x v="4"/>
    <m/>
    <s v="USD"/>
    <s v="Long"/>
    <m/>
    <n v="-3650"/>
    <n v="327.08999999999997"/>
    <n v="-4.9888966629150211E-3"/>
    <n v="328.73"/>
    <n v="1"/>
    <n v="1"/>
    <n v="-1193878.5"/>
    <n v="-4.7294295736941976E-4"/>
    <n v="2.3712936809008798E-2"/>
    <m/>
    <m/>
    <m/>
    <n v="-1193878.5"/>
    <n v="-4.7294295736941976E-4"/>
    <n v="2.3712936809008798E-2"/>
    <n v="1157.6448945244431"/>
    <m/>
    <n v="-1277.5"/>
    <n v="-0.168804644767794"/>
    <n v="-9.5865636595956019E-4"/>
    <n v="57.10782398172023"/>
    <n v="2.0270020961761475"/>
    <n v="5621.295031877602"/>
    <m/>
    <s v="04/03/2026"/>
    <n v="-3.2612170000000003E-3"/>
    <n v="1.5423696126034272E-2"/>
    <s v="22/12/2025"/>
  </r>
  <r>
    <x v="17"/>
    <x v="4"/>
    <m/>
    <s v="USD"/>
    <s v="Long"/>
    <m/>
    <n v="-1000"/>
    <n v="47.19"/>
    <n v="1.5275387263339102E-2"/>
    <n v="46.48"/>
    <n v="1"/>
    <n v="1"/>
    <n v="-47190"/>
    <n v="-1.8693843769079449E-5"/>
    <n v="-2.8125935740721396E-3"/>
    <n v="757886.50735616684"/>
    <n v="3.0022911555858159E-4"/>
    <n v="4.1594693701066755E-2"/>
    <n v="710696.50735616684"/>
    <n v="2.8153527178950217E-4"/>
    <n v="3.8782100126994616E-2"/>
    <n v="8024.0319675778774"/>
    <m/>
    <n v="5271.112048625946"/>
    <n v="9.4855951663372448E-2"/>
    <n v="4.1333061138793545E-4"/>
    <n v="53.907818262597914"/>
    <n v="1.4681308269500732"/>
    <n v="-666.74231083077143"/>
    <m/>
    <s v="24/04/2026"/>
    <e v="#VALUE!"/>
    <e v="#VALUE!"/>
    <s v="03/09/2024"/>
  </r>
  <r>
    <x v="18"/>
    <x v="4"/>
    <m/>
    <s v="USD"/>
    <s v="Long"/>
    <m/>
    <n v="52700"/>
    <n v="184.04499999999999"/>
    <n v="-1.5486252273456791E-2"/>
    <n v="186.94"/>
    <n v="1"/>
    <n v="1"/>
    <n v="9699171.5"/>
    <n v="3.8422292161582531E-3"/>
    <n v="-0.6043768415756029"/>
    <n v="3750175.3774480894"/>
    <n v="1.4855942490498652E-3"/>
    <n v="-0.40921255803049522"/>
    <n v="13449346.877448089"/>
    <n v="5.3278234652081183E-3"/>
    <n v="-1.0135893996060981"/>
    <n v="2057.3993781412159"/>
    <m/>
    <n v="25576.741596385837"/>
    <n v="1.8353758852137005"/>
    <n v="9.8288245953195089E-3"/>
    <n v="55.118219203744012"/>
    <n v="1.8448104858398438"/>
    <n v="-143271.18417656777"/>
    <m/>
    <s v="25/02/2026"/>
    <n v="2.1932370000000002E-3"/>
    <n v="0.1168517955336266"/>
    <s v="04/12/2025"/>
  </r>
  <r>
    <x v="18"/>
    <x v="4"/>
    <m/>
    <s v="USD"/>
    <s v="Long"/>
    <m/>
    <n v="3270"/>
    <n v="184.04499999999999"/>
    <n v="3.407480100316107E-3"/>
    <n v="183.42"/>
    <n v="1"/>
    <n v="1"/>
    <n v="601827.14999999991"/>
    <n v="2.384077710974855E-4"/>
    <n v="8.096110023957645E-3"/>
    <m/>
    <m/>
    <m/>
    <n v="601827.14999999991"/>
    <n v="2.384077710974855E-4"/>
    <n v="8.096110023957645E-3"/>
    <n v="2057.3993781412159"/>
    <m/>
    <n v="1144.4999999999998"/>
    <n v="8.2128823670170201E-2"/>
    <n v="4.3981715602634647E-4"/>
    <n v="55.118219203744012"/>
    <n v="1.8448104858398438"/>
    <n v="1919.2318278315317"/>
    <m/>
    <s v="25/02/2026"/>
    <n v="2.1932370000000002E-3"/>
    <n v="5.228847446585359E-3"/>
    <s v="04/12/2025"/>
  </r>
  <r>
    <x v="19"/>
    <x v="4"/>
    <m/>
    <s v="USD"/>
    <s v="Short"/>
    <m/>
    <n v="-5600"/>
    <n v="79.034999999999997"/>
    <n v="1.029017001150434E-2"/>
    <n v="78.23"/>
    <n v="1"/>
    <n v="1"/>
    <n v="-442596"/>
    <n v="-1.7532995288873675E-4"/>
    <n v="-1.7857988495657846E-2"/>
    <n v="-525880.47226499766"/>
    <n v="-2.0832225873557077E-4"/>
    <n v="-4.7239687846211562E-2"/>
    <n v="-968476.47226499766"/>
    <n v="-3.8365221162430755E-4"/>
    <n v="-6.5097676341869415E-2"/>
    <n v="4790.9668950464993"/>
    <m/>
    <n v="-4288.8184385746717"/>
    <n v="-0.14277600931816245"/>
    <n v="-7.5991782405990227E-4"/>
    <n v="59.543932756671289"/>
    <n v="1.9807466268539429"/>
    <n v="-4233.3441369367401"/>
    <m/>
    <s v="05/03/2026"/>
    <n v="-3.5792710000000002E-3"/>
    <n v="1.3731952351527469E-2"/>
    <s v="09/01/2026"/>
  </r>
  <r>
    <x v="20"/>
    <x v="5"/>
    <m/>
    <s v="USD"/>
    <s v="Long"/>
    <m/>
    <n v="4000"/>
    <n v="569.25"/>
    <n v="-2.4354711548349561E-2"/>
    <n v="583.46"/>
    <n v="1"/>
    <n v="1"/>
    <n v="2277000"/>
    <n v="9.0201064340313423E-4"/>
    <n v="-0.2251659419017755"/>
    <n v="1005175.1010864973"/>
    <n v="3.981900042441115E-4"/>
    <n v="-0.12478408110319916"/>
    <n v="3282175.1010864973"/>
    <n v="1.3002006476472458E-3"/>
    <n v="-0.34995002300497469"/>
    <n v="665.18062108036895"/>
    <m/>
    <n v="2018.0259734392166"/>
    <n v="0.5713156560854924"/>
    <n v="2.622544953184665E-3"/>
    <n v="70.304921889624481"/>
    <n v="2.0170309543609619"/>
    <n v="-53376.947813550833"/>
    <m/>
    <s v="06/05/2026"/>
    <e v="#VALUE!"/>
    <e v="#VALUE!"/>
    <s v="#N/A N/A"/>
  </r>
  <r>
    <x v="20"/>
    <x v="5"/>
    <m/>
    <s v="USD"/>
    <s v="Long"/>
    <m/>
    <n v="400"/>
    <n v="569.25"/>
    <n v="0"/>
    <n v="569.25"/>
    <n v="1"/>
    <n v="1"/>
    <n v="227700"/>
    <n v="9.0201064340313431E-5"/>
    <n v="0"/>
    <m/>
    <m/>
    <m/>
    <n v="227700"/>
    <n v="9.0201064340313431E-5"/>
    <n v="0"/>
    <n v="665.18062108036895"/>
    <m/>
    <n v="140"/>
    <n v="3.9634867392542052E-2"/>
    <n v="1.8193833889071693E-4"/>
    <n v="70.304921889624481"/>
    <n v="2.0170309543609619"/>
    <n v="0"/>
    <m/>
    <s v="06/05/2026"/>
    <e v="#VALUE!"/>
    <e v="#VALUE!"/>
    <s v="#N/A N/A"/>
  </r>
  <r>
    <x v="21"/>
    <x v="5"/>
    <m/>
    <s v="USD"/>
    <s v="Long"/>
    <m/>
    <n v="2880"/>
    <n v="220.18"/>
    <n v="8.5196042506412439E-3"/>
    <n v="218.32"/>
    <n v="1"/>
    <n v="1"/>
    <n v="634118.40000000002"/>
    <n v="2.5119962493533863E-4"/>
    <n v="2.1220424306464404E-2"/>
    <n v="0"/>
    <n v="0"/>
    <n v="0"/>
    <n v="634118.40000000002"/>
    <n v="2.5119962493533863E-4"/>
    <n v="2.1220424306464404E-2"/>
    <n v="1719.7477906712691"/>
    <m/>
    <n v="1008"/>
    <n v="0.13972624708649869"/>
    <n v="5.4619375425980646E-4"/>
    <n v="88.997742491034799"/>
    <n v="2.1743414402008057"/>
    <n v="5030.4298741666171"/>
    <m/>
    <s v="07/05/2026"/>
    <n v="2.1888000000000001E-2"/>
    <n v="5.4982573905846918E-2"/>
    <s v="27/02/2004"/>
  </r>
  <r>
    <x v="22"/>
    <x v="5"/>
    <m/>
    <s v="USD"/>
    <s v="Long"/>
    <m/>
    <n v="8000"/>
    <n v="111.79"/>
    <n v="6.8635885670585983E-2"/>
    <n v="104.61"/>
    <n v="1"/>
    <n v="1"/>
    <n v="894320"/>
    <n v="3.5427587114988626E-4"/>
    <n v="0.2275427815418361"/>
    <n v="0"/>
    <n v="0"/>
    <n v="0"/>
    <n v="894320"/>
    <n v="3.5427587114988626E-4"/>
    <n v="0.2275427815418361"/>
    <n v="3387.1908806691117"/>
    <m/>
    <n v="2800"/>
    <n v="0.15875539182639936"/>
    <n v="2.5757249453195826E-4"/>
    <n v="71.697975393524203"/>
    <n v="0.72703933715820313"/>
    <n v="53940.392019886611"/>
    <m/>
    <s v="19/02/2026"/>
    <n v="-1.0515310000000001E-3"/>
    <n v="-3.7253206106611109E-3"/>
    <s v="#N/A Field Not Applicable"/>
  </r>
  <r>
    <x v="22"/>
    <x v="5"/>
    <m/>
    <s v="USD"/>
    <s v="Long"/>
    <m/>
    <n v="5268"/>
    <n v="111.79"/>
    <n v="0"/>
    <n v="111.79"/>
    <n v="1"/>
    <n v="1"/>
    <n v="588909.72000000009"/>
    <n v="2.3329066115220014E-4"/>
    <n v="0"/>
    <n v="0"/>
    <n v="0"/>
    <n v="0"/>
    <n v="588909.72000000009"/>
    <n v="2.3329066115220014E-4"/>
    <n v="0"/>
    <n v="3387.1908806691117"/>
    <m/>
    <n v="1843.8"/>
    <n v="0.104540425517684"/>
    <n v="1.6961148764929455E-4"/>
    <n v="71.697975393524203"/>
    <n v="0.72703933715820313"/>
    <n v="0"/>
    <m/>
    <s v="19/02/2026"/>
    <n v="-1.0515310000000001E-3"/>
    <n v="-2.4531236221203415E-3"/>
    <s v="#N/A Field Not Applicable"/>
  </r>
  <r>
    <x v="23"/>
    <x v="5"/>
    <m/>
    <s v="USD"/>
    <s v="Long"/>
    <m/>
    <n v="30560"/>
    <n v="76.95"/>
    <n v="2.6000000000000023E-2"/>
    <n v="75"/>
    <n v="1"/>
    <n v="1"/>
    <n v="2351592"/>
    <n v="9.3155951380837214E-4"/>
    <n v="0.23606771305085489"/>
    <n v="-190016.35543070734"/>
    <n v="-7.5273067641269643E-5"/>
    <n v="7.5610319227877205E-4"/>
    <n v="2161575.6445692927"/>
    <n v="8.5628644616710244E-4"/>
    <n v="0.23682381624313367"/>
    <n v="4920.7806179337231"/>
    <m/>
    <n v="9831.7280779629928"/>
    <n v="0.43181771549814968"/>
    <n v="7.9203996397406921E-4"/>
    <n v="80.686591255726853"/>
    <n v="0.92497080564498901"/>
    <n v="55961.278573277938"/>
    <m/>
    <s v="14/05/2026"/>
    <n v="-1.0133360000000001E-2"/>
    <n v="-8.6770588221318709E-2"/>
    <s v="02/04/2026"/>
  </r>
  <r>
    <x v="23"/>
    <x v="5"/>
    <m/>
    <s v="USD"/>
    <s v="Long"/>
    <m/>
    <n v="4550"/>
    <n v="76.95"/>
    <n v="6.5019505851759973E-4"/>
    <n v="76.900000000000006"/>
    <n v="1"/>
    <n v="1"/>
    <n v="350122.5"/>
    <n v="1.3869750614620724E-4"/>
    <n v="9.0121836352306274E-4"/>
    <m/>
    <m/>
    <m/>
    <n v="350122.5"/>
    <n v="1.3869750614620724E-4"/>
    <n v="9.0121836352306274E-4"/>
    <n v="4920.7806179337231"/>
    <m/>
    <n v="1592.5"/>
    <n v="6.9943931166298046E-2"/>
    <n v="1.2829114400100813E-4"/>
    <n v="80.686591255726853"/>
    <n v="0.92497080564498901"/>
    <n v="213.63926156900237"/>
    <m/>
    <s v="14/05/2026"/>
    <n v="-1.0133360000000001E-2"/>
    <n v="-1.4054717608817309E-2"/>
    <s v="02/04/2026"/>
  </r>
  <r>
    <x v="24"/>
    <x v="6"/>
    <m/>
    <s v="USD"/>
    <s v="Long"/>
    <m/>
    <n v="30000"/>
    <n v="15.445"/>
    <n v="8.767605633802833E-2"/>
    <n v="14.2"/>
    <n v="1"/>
    <n v="1"/>
    <n v="463350"/>
    <n v="1.8355144120370763E-4"/>
    <n v="0.14795826759379488"/>
    <n v="0"/>
    <n v="0"/>
    <n v="0"/>
    <n v="463350"/>
    <n v="1.8355144120370763E-4"/>
    <n v="0.14795826759379488"/>
    <n v="24516.288025250891"/>
    <m/>
    <n v="10500"/>
    <n v="0.17621372539623006"/>
    <n v="3.7649951865664788E-4"/>
    <n v="153.60378474014021"/>
    <n v="2.0511934757232666"/>
    <n v="35074.401844407468"/>
    <m/>
    <s v="24/02/2026"/>
    <n v="1.2676080000000001E-2"/>
    <n v="2.3267127528134944E-2"/>
    <s v="12/10/2017"/>
  </r>
  <r>
    <x v="25"/>
    <x v="6"/>
    <m/>
    <s v="USD"/>
    <s v="Long"/>
    <m/>
    <n v="2700"/>
    <n v="409.71"/>
    <n v="-9.5249607155808436E-3"/>
    <n v="413.65"/>
    <n v="1"/>
    <n v="1"/>
    <n v="1106217"/>
    <n v="4.3821673601821914E-4"/>
    <n v="-4.214136681828079E-2"/>
    <n v="0"/>
    <n v="0"/>
    <n v="0"/>
    <n v="1106217"/>
    <n v="4.3821673601821914E-4"/>
    <n v="-4.214136681828079E-2"/>
    <n v="924.20021124697973"/>
    <m/>
    <n v="945.00000000000011"/>
    <n v="0.26497350278939114"/>
    <n v="5.5315503692446419E-4"/>
    <n v="96.746100643084404"/>
    <n v="1.2622864246368408"/>
    <n v="-9989.8657783348353"/>
    <m/>
    <s v="27/03/2026"/>
    <n v="4.8353010000000001E-4"/>
    <n v="2.1189098218856312E-3"/>
    <s v="22/01/2026"/>
  </r>
  <r>
    <x v="25"/>
    <x v="6"/>
    <m/>
    <s v="USD"/>
    <s v="Long"/>
    <m/>
    <n v="600"/>
    <n v="409.71"/>
    <n v="0"/>
    <n v="409.71"/>
    <n v="1"/>
    <n v="1"/>
    <n v="245826"/>
    <n v="9.7381496892937584E-5"/>
    <n v="0"/>
    <n v="0"/>
    <n v="0"/>
    <n v="0"/>
    <n v="245826"/>
    <n v="9.7381496892937584E-5"/>
    <n v="0"/>
    <n v="924.20021124697973"/>
    <m/>
    <n v="210"/>
    <n v="5.8883000619864692E-2"/>
    <n v="1.229233415387698E-4"/>
    <n v="96.746100643084404"/>
    <n v="1.2622864246368408"/>
    <n v="0"/>
    <m/>
    <s v="27/03/2026"/>
    <n v="4.8353010000000001E-4"/>
    <n v="4.7086884930791799E-4"/>
    <s v="22/01/2026"/>
  </r>
  <r>
    <x v="26"/>
    <x v="6"/>
    <m/>
    <s v="USD"/>
    <s v="Long"/>
    <m/>
    <n v="965"/>
    <n v="810"/>
    <n v="-8.0337023611246616E-3"/>
    <n v="816.56"/>
    <n v="1"/>
    <n v="1"/>
    <n v="781650"/>
    <n v="3.0964278410894151E-4"/>
    <n v="-2.5077242762402956E-2"/>
    <n v="0"/>
    <n v="0"/>
    <n v="0"/>
    <n v="781650"/>
    <n v="3.0964278410894151E-4"/>
    <n v="-2.5077242762402956E-2"/>
    <n v="467.47415870370372"/>
    <m/>
    <n v="337.75"/>
    <n v="0.101604751522356"/>
    <n v="3.920817100515698E-4"/>
    <n v="52.501660228766546"/>
    <n v="1.266238808631897"/>
    <n v="-5944.7120063141901"/>
    <m/>
    <s v="23/04/2026"/>
    <n v="2.4125990000000001E-3"/>
    <n v="7.4704387129844825E-3"/>
    <s v="05/01/2026"/>
  </r>
  <r>
    <x v="27"/>
    <x v="6"/>
    <m/>
    <s v="EUR"/>
    <s v="Long"/>
    <m/>
    <n v="2000"/>
    <n v="162.1"/>
    <n v="4.3370508054523249E-3"/>
    <n v="161.4"/>
    <n v="0.84317032040472184"/>
    <n v="1"/>
    <n v="384501.19999999995"/>
    <n v="1.5231628230183449E-4"/>
    <n v="6.5775075639285885E-3"/>
    <n v="0"/>
    <n v="0"/>
    <n v="0"/>
    <n v="384501.19999999995"/>
    <n v="1.5231628230183449E-4"/>
    <n v="6.5775075639285885E-3"/>
    <n v="1969.5858871181681"/>
    <m/>
    <n v="830.19999999999993"/>
    <n v="6.7482567462175222E-2"/>
    <n v="2.0846295796765442E-4"/>
    <n v="70.886780000000002"/>
    <n v="1.368619"/>
    <n v="1559.2379336667511"/>
    <m/>
    <s v="12/05/2026"/>
    <e v="#VALUE!"/>
    <e v="#VALUE!"/>
    <s v="27/02/2026"/>
  </r>
  <r>
    <x v="28"/>
    <x v="6"/>
    <m/>
    <s v="USD"/>
    <s v="Long"/>
    <m/>
    <n v="53300"/>
    <n v="72.510000000000005"/>
    <n v="1.9401096583720134E-2"/>
    <n v="71.13"/>
    <n v="1"/>
    <n v="1"/>
    <n v="3864783.0000000005"/>
    <n v="1.5309949057722863E-3"/>
    <n v="0.29137677147507507"/>
    <n v="0"/>
    <n v="0"/>
    <n v="0"/>
    <n v="3864783.0000000005"/>
    <n v="1.5309949057722863E-3"/>
    <n v="0.29137677147507507"/>
    <n v="5222.0944497310711"/>
    <m/>
    <n v="18655"/>
    <n v="0.30170964030683128"/>
    <n v="1.0598213884858412E-3"/>
    <n v="31.530831531240249"/>
    <n v="0.69224357604980469"/>
    <n v="69072.625254713857"/>
    <m/>
    <s v="05/05/2026"/>
    <n v="5.6938900000000001E-3"/>
    <n v="8.7173165840277622E-2"/>
    <s v="13/03/2026"/>
  </r>
  <r>
    <x v="29"/>
    <x v="7"/>
    <m/>
    <s v="USD"/>
    <m/>
    <m/>
    <n v="33738"/>
    <n v="103.99"/>
    <n v="5.8099308099307967E-2"/>
    <n v="98.28"/>
    <n v="1"/>
    <n v="1"/>
    <n v="3508414.6199999996"/>
    <n v="1.3898231570975681E-3"/>
    <n v="0.76313974680518371"/>
    <n v="0"/>
    <n v="0"/>
    <n v="0"/>
    <n v="3508414.6199999996"/>
    <n v="1.3898231570975681E-3"/>
    <n v="0.76313974680518371"/>
    <n v="3641.2546259255701"/>
    <m/>
    <n v="11808.3"/>
    <n v="0.69333654061030636"/>
    <n v="1.3850654950660114E-3"/>
    <n v="79.818677600190014"/>
    <n v="0.99657678604125977"/>
    <n v="180906.89069413603"/>
    <m/>
    <s v="#N/A N/A"/>
    <n v="2.5335750000000001E-2"/>
    <n v="0.3521221205243471"/>
    <s v="22/12/2025"/>
  </r>
  <r>
    <x v="29"/>
    <x v="7"/>
    <m/>
    <s v="USD"/>
    <m/>
    <m/>
    <n v="-12700"/>
    <n v="103.99"/>
    <n v="4.9979806138933602E-2"/>
    <n v="99.04"/>
    <n v="1"/>
    <n v="1"/>
    <n v="-1320673"/>
    <n v="-5.2317132299303803E-4"/>
    <n v="-0.24903337328738648"/>
    <n v="0"/>
    <n v="0"/>
    <n v="0"/>
    <n v="-1320673"/>
    <n v="-5.2317132299303803E-4"/>
    <n v="-0.24903337328738648"/>
    <n v="3641.2546259255701"/>
    <m/>
    <n v="-4445.0000000000009"/>
    <n v="-0.26099276974778862"/>
    <n v="-5.2138039561735571E-4"/>
    <n v="79.818677600190014"/>
    <n v="0.99657678604125977"/>
    <n v="-59034.866718839847"/>
    <m/>
    <s v="#N/A N/A"/>
    <n v="2.5335750000000001E-2"/>
    <n v="-0.13254937846520862"/>
    <s v="22/12/2025"/>
  </r>
  <r>
    <x v="29"/>
    <x v="7"/>
    <m/>
    <s v="USD"/>
    <m/>
    <m/>
    <n v="-6129"/>
    <n v="103.99"/>
    <n v="9.3176744637484266E-3"/>
    <n v="103.03"/>
    <n v="1"/>
    <n v="1"/>
    <n v="-637354.71"/>
    <n v="-2.5248165658459289E-4"/>
    <n v="-2.3308240246293646E-2"/>
    <n v="0"/>
    <n v="0"/>
    <n v="0"/>
    <n v="-637354.71"/>
    <n v="-2.5248165658459289E-4"/>
    <n v="-2.3308240246293646E-2"/>
    <n v="3641.2546259255701"/>
    <m/>
    <n v="-2145.1499999999996"/>
    <n v="-0.12595469966804695"/>
    <n v="-2.5161735785344662E-4"/>
    <n v="79.818677600190014"/>
    <n v="0.99657678604125977"/>
    <n v="-5525.3592650119654"/>
    <m/>
    <s v="#N/A N/A"/>
    <n v="2.5335750000000001E-2"/>
    <n v="-6.3968121308130996E-2"/>
    <s v="22/12/2025"/>
  </r>
  <r>
    <x v="30"/>
    <x v="8"/>
    <m/>
    <s v="USD"/>
    <s v="Long"/>
    <m/>
    <n v="23500"/>
    <n v="51.805"/>
    <n v="2.224801702457091E-3"/>
    <n v="51.69"/>
    <n v="1"/>
    <n v="1"/>
    <n v="1217417.5"/>
    <n v="4.8226769541731893E-4"/>
    <n v="1.0705681878774758E-2"/>
    <n v="0"/>
    <n v="0"/>
    <n v="0"/>
    <n v="1217417.5"/>
    <n v="4.8226769541731893E-4"/>
    <n v="1.0705681878774758E-2"/>
    <n v="7309.218580252872"/>
    <m/>
    <n v="8224.9999999999982"/>
    <n v="5.7718672312639149E-2"/>
    <n v="4.8222834297201295E-4"/>
    <n v="19.149090137648525"/>
    <n v="0.99991840124130249"/>
    <n v="2537.8466127044908"/>
    <m/>
    <s v="#N/A N/A"/>
    <n v="-2.1280089999999997E-3"/>
    <n v="-1.0262699962573132E-2"/>
    <s v="22/12/2025"/>
  </r>
  <r>
    <x v="30"/>
    <x v="8"/>
    <m/>
    <s v="USD"/>
    <s v="Long"/>
    <m/>
    <n v="-23323"/>
    <n v="51.805"/>
    <n v="6.8999028182701316E-3"/>
    <n v="51.45"/>
    <n v="1"/>
    <n v="1"/>
    <n v="-1208248.0149999999"/>
    <n v="-4.7863529617949482E-4"/>
    <n v="-3.2799059964041921E-2"/>
    <n v="0"/>
    <n v="0"/>
    <n v="0"/>
    <n v="-1208248.0149999999"/>
    <n v="-4.7863529617949482E-4"/>
    <n v="-3.2799059964041921E-2"/>
    <n v="7309.218580252872"/>
    <m/>
    <n v="-8163.0499999999984"/>
    <n v="-5.7283940185007785E-2"/>
    <n v="-4.7859624013345774E-4"/>
    <n v="19.149090137648525"/>
    <n v="0.99991840124130249"/>
    <n v="-7775.2154577529627"/>
    <m/>
    <s v="#N/A N/A"/>
    <n v="-2.1280089999999997E-3"/>
    <n v="1.0185402179876304E-2"/>
    <s v="22/12/2025"/>
  </r>
  <r>
    <x v="31"/>
    <x v="8"/>
    <m/>
    <s v="USD"/>
    <s v="Long"/>
    <m/>
    <n v="15000"/>
    <n v="85.677000000000007"/>
    <n v="3.9489102413874377E-3"/>
    <n v="85.34"/>
    <n v="1"/>
    <n v="1"/>
    <n v="1285155"/>
    <n v="5.0910122460375712E-4"/>
    <n v="2.0024873967513783E-2"/>
    <n v="0"/>
    <n v="0"/>
    <n v="0"/>
    <n v="1285155"/>
    <n v="5.0910122460375712E-4"/>
    <n v="2.0024873967513783E-2"/>
    <n v="4419.5533054378657"/>
    <m/>
    <n v="5249.9999999999991"/>
    <n v="8.9652224901869859E-2"/>
    <n v="5.0712975344541472E-4"/>
    <n v="28.175842624349713"/>
    <n v="0.99612754583358765"/>
    <n v="4747.0174383796875"/>
    <m/>
    <s v="#N/A N/A"/>
    <n v="-6.6791619999999998E-3"/>
    <n v="-3.4003695535268795E-2"/>
    <s v="22/12/2025"/>
  </r>
  <r>
    <x v="32"/>
    <x v="8"/>
    <m/>
    <s v="USD"/>
    <s v="Short"/>
    <m/>
    <n v="-10500"/>
    <n v="24.785"/>
    <n v="1.9120065789473673E-2"/>
    <n v="24.32"/>
    <n v="1"/>
    <n v="1"/>
    <n v="-260242.5"/>
    <n v="-1.0309244833809406E-4"/>
    <n v="-1.9341532570996054E-2"/>
    <n v="0"/>
    <n v="0"/>
    <n v="0"/>
    <n v="-260242.5"/>
    <n v="-1.0309244833809406E-4"/>
    <n v="-1.9341532570996054E-2"/>
    <n v="15277.549669154732"/>
    <m/>
    <n v="-3675"/>
    <n v="-1.5623641520572093E-2"/>
    <n v="-3.7677515814976254E-5"/>
    <n v="24.247970473001477"/>
    <n v="0.36547309160232544"/>
    <n v="-4585.0272290580797"/>
    <m/>
    <s v="29/04/2026"/>
    <e v="#VALUE!"/>
    <e v="#VALUE!"/>
    <s v="06/03/2026"/>
  </r>
  <r>
    <x v="33"/>
    <x v="8"/>
    <m/>
    <s v="USD"/>
    <s v="Short"/>
    <m/>
    <n v="18478"/>
    <n v="89.775000000000006"/>
    <n v="8.367965854206405E-3"/>
    <n v="89.03"/>
    <n v="1"/>
    <n v="1"/>
    <n v="1658862.4500000002"/>
    <n v="6.571416714281071E-4"/>
    <n v="5.4533059895732969E-2"/>
    <n v="0"/>
    <n v="0"/>
    <n v="0"/>
    <n v="1658862.4500000002"/>
    <n v="6.571416714281071E-4"/>
    <n v="5.4533059895732969E-2"/>
    <n v="4217.8119582289055"/>
    <m/>
    <n v="6467.3"/>
    <n v="5.4196930691867096E-2"/>
    <n v="6.5884723312205351E-4"/>
    <n v="13.195798239143352"/>
    <n v="1.0025954246520996"/>
    <n v="12927.391538803711"/>
    <m/>
    <s v="#N/A N/A"/>
    <n v="-1.2330520000000001E-3"/>
    <n v="-8.1028985223777026E-3"/>
    <s v="22/12/2025"/>
  </r>
  <r>
    <x v="33"/>
    <x v="8"/>
    <m/>
    <s v="USD"/>
    <s v="Short"/>
    <m/>
    <n v="-27500"/>
    <n v="89.775000000000006"/>
    <n v="6.3333706983523808E-3"/>
    <n v="89.21"/>
    <n v="1"/>
    <n v="1"/>
    <n v="-2468812.5"/>
    <n v="-9.7799523564633313E-4"/>
    <n v="-6.1550243179079901E-2"/>
    <n v="0"/>
    <n v="0"/>
    <n v="0"/>
    <n v="-2468812.5"/>
    <n v="-9.7799523564633313E-4"/>
    <n v="-6.1550243179079901E-2"/>
    <n v="4217.8119582289055"/>
    <m/>
    <n v="-9625"/>
    <n v="-8.0658923802702939E-2"/>
    <n v="-9.8053354859056556E-4"/>
    <n v="13.195798239143352"/>
    <n v="1.0025954246520996"/>
    <n v="-14590.857259906077"/>
    <m/>
    <s v="#N/A N/A"/>
    <n v="-1.2330520000000001E-3"/>
    <n v="1.2059189813041823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6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9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x="30"/>
        <item x="33"/>
        <item m="1" x="194"/>
        <item m="1" x="193"/>
        <item m="1" x="68"/>
        <item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x="21"/>
        <item m="1" x="67"/>
        <item m="1" x="65"/>
        <item x="24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x="32"/>
        <item m="1" x="51"/>
        <item x="17"/>
        <item x="23"/>
        <item x="22"/>
        <item m="1" x="50"/>
        <item m="1" x="49"/>
        <item x="12"/>
        <item m="1" x="47"/>
        <item m="1" x="48"/>
        <item m="1" x="39"/>
        <item x="28"/>
        <item m="1" x="44"/>
        <item m="1" x="35"/>
        <item x="25"/>
        <item x="26"/>
        <item m="1" x="37"/>
        <item x="13"/>
        <item x="2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4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7"/>
    </i>
    <i>
      <x v="21"/>
    </i>
    <i r="1">
      <x v="163"/>
    </i>
    <i r="1">
      <x v="166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5"/>
    </i>
    <i r="1">
      <x v="198"/>
    </i>
    <i>
      <x v="25"/>
    </i>
    <i r="1">
      <x v="19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8">
      <pivotArea outline="0" collapsedLevelsAreSubtotals="1" fieldPosition="0"/>
    </format>
    <format dxfId="10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4">
      <pivotArea outline="0" collapsedLevelsAreSubtotals="1" fieldPosition="0"/>
    </format>
    <format dxfId="103">
      <pivotArea type="all" dataOnly="0" outline="0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field="1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67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7" totalsRowShown="0" headerRowDxfId="69" dataDxfId="67" headerRowBorderDxfId="68" tableBorderDxfId="66">
  <autoFilter ref="B11:AI57" xr:uid="{488A667B-27C2-4003-A53C-C52DE885F6F5}"/>
  <sortState xmlns:xlrd2="http://schemas.microsoft.com/office/spreadsheetml/2017/richdata2" ref="B12:AI57">
    <sortCondition ref="C11:C57"/>
  </sortState>
  <tableColumns count="34">
    <tableColumn id="1" xr3:uid="{C4869650-AB2A-4E52-A8FD-8FC4A1E9B450}" name="Ticker" dataDxfId="65" totalsRowDxfId="64"/>
    <tableColumn id="2" xr3:uid="{3392DCC0-4423-44FF-B70A-0E06289D8EEE}" name="Sector" dataDxfId="63"/>
    <tableColumn id="29" xr3:uid="{7A835F51-8D98-481A-BCE1-CD91D7445A8F}" name="Diretoria" dataDxfId="62"/>
    <tableColumn id="3" xr3:uid="{B1589ED3-B8E2-4F6B-B66F-D68F68C1ABA6}" name="Crncy" dataDxfId="61"/>
    <tableColumn id="4" xr3:uid="{616D46BC-AC49-4393-8BDA-875BFB778D29}" name="Long / Short" dataDxfId="60" totalsRowDxfId="59">
      <calculatedColumnFormula>IF(T12&gt;0,"Long","Short")</calculatedColumnFormula>
    </tableColumn>
    <tableColumn id="33" xr3:uid="{F6985B5B-9203-43DA-8157-CAE6E92D0561}" name="Qtdd " dataDxfId="58"/>
    <tableColumn id="5" xr3:uid="{9A4DCF38-5D0D-4646-8CF9-69904711743E}" name="Qtt Shs" dataDxfId="57"/>
    <tableColumn id="6" xr3:uid="{BC11B5F3-DE4D-477B-AAED-C5AB103E9DA0}" name="Price Today" dataDxfId="56" totalsRowDxfId="55">
      <calculatedColumnFormula array="1">_xll.BDP(B12&amp;" Equity","LAST_PRICE")</calculatedColumnFormula>
    </tableColumn>
    <tableColumn id="7" xr3:uid="{704FFD7D-1208-4AA6-81A9-0E257F085F19}" name="% Chg" dataDxfId="54" totalsRowDxfId="53">
      <calculatedColumnFormula>I12/K12-1</calculatedColumnFormula>
    </tableColumn>
    <tableColumn id="8" xr3:uid="{E069BEAC-4A43-4F60-BD21-C3F1FDA777D4}" name="Price Yest" dataDxfId="52" dataCellStyle="Comma">
      <calculatedColumnFormula>_xll.BDP(B12&amp;" equity","PX_YEST_CLOSE")</calculatedColumnFormula>
    </tableColumn>
    <tableColumn id="9" xr3:uid="{A2F51CF4-C965-4A1F-975F-FCDA401F7124}" name="FX" dataDxfId="51">
      <calculatedColumnFormula>_xll.BDP(E12&amp;" Curncy","PX_LAST")</calculatedColumnFormula>
    </tableColumn>
    <tableColumn id="10" xr3:uid="{0525E66F-8EF5-4CCF-835F-559F3DAE7E58}" name="Mult" dataDxfId="50" totalsRowDxfId="49" dataCellStyle="Comma"/>
    <tableColumn id="11" xr3:uid="{8FC681CE-75F1-4027-AD99-551C42A97619}" name="D1 Exp USD" dataDxfId="48">
      <calculatedColumnFormula>IFERROR(IF(((I12/L12)*H12*M12)&lt;&gt;0,((I12/L12)*H12*M12),0),"-")</calculatedColumnFormula>
    </tableColumn>
    <tableColumn id="12" xr3:uid="{BE55CED1-1EEB-46EA-A2E5-D244B7925B83}" name="D1 Exp %" dataDxfId="47">
      <calculatedColumnFormula>IFERROR(IF(Tabelad[[#This Row],[D1 Exp USD]]&lt;&gt;0,N12/$AE$7,0),"-")</calculatedColumnFormula>
    </tableColumn>
    <tableColumn id="13" xr3:uid="{622A85AF-E726-48C1-A6C0-2A26A6E13A5C}" name="D1 P&amp;L bps" dataDxfId="4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5" totalsRowDxfId="44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43" totalsRowDxfId="42" dataCellStyle="Percent">
      <calculatedColumnFormula>Q12/$AE$7</calculatedColumnFormula>
    </tableColumn>
    <tableColumn id="16" xr3:uid="{48C8F341-ED13-4859-B6ED-AB346A494BEF}" name="Options P&amp;L bps" dataDxfId="41" totalsRowDxfId="40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39" totalsRowDxfId="38">
      <calculatedColumnFormula>N12+Q12</calculatedColumnFormula>
    </tableColumn>
    <tableColumn id="18" xr3:uid="{56683745-C1CE-4341-A873-C851B97E4432}" name="Exp %" dataDxfId="37" totalsRowDxfId="36">
      <calculatedColumnFormula>T12/$AE$7</calculatedColumnFormula>
    </tableColumn>
    <tableColumn id="19" xr3:uid="{AD790890-4299-4C9E-A460-9342E2B4BE92}" name="P&amp;L bps" dataDxfId="35" totalsRowDxfId="34">
      <calculatedColumnFormula>P12+S12</calculatedColumnFormula>
    </tableColumn>
    <tableColumn id="20" xr3:uid="{A3132FF2-B491-42D2-B6D5-98FB024D0411}" name="xx" dataDxfId="33" totalsRowDxfId="32">
      <calculatedColumnFormula>$W$10/(I12/L12*M12)</calculatedColumnFormula>
    </tableColumn>
    <tableColumn id="21" xr3:uid="{68119C5E-24ED-4841-8DFC-985A70CC957B}" name="Ticker2" dataDxfId="31" totalsRowDxfId="30"/>
    <tableColumn id="22" xr3:uid="{EAB0ADAA-AF64-4574-AD5E-BAD2211681D1}" name="xx2" dataDxfId="29" totalsRowDxfId="28">
      <calculatedColumnFormula>Tabelad[[#This Row],[Exp %]]*$Y$10*$AD$7/Tabelad[[#This Row],[Price Today]]</calculatedColumnFormula>
    </tableColumn>
    <tableColumn id="23" xr3:uid="{160D9866-3FEF-4C23-ADDC-0615A4FD8D8A}" name="Column1" dataDxfId="27">
      <calculatedColumnFormula>Tabelad[[#This Row],[Vol 10d]]/16*Tabelad[[#This Row],[Exp %]]*100</calculatedColumnFormula>
    </tableColumn>
    <tableColumn id="27" xr3:uid="{5FC9F15D-E683-4C75-83A6-A027ED24C573}" name="Expo Beta Adj" dataDxfId="26" totalsRowDxfId="25">
      <calculatedColumnFormula>Tabelad[[#This Row],[Exp %]]*Tabelad[[#This Row],[Beta]]</calculatedColumnFormula>
    </tableColumn>
    <tableColumn id="24" xr3:uid="{02F0D998-EE72-4509-80A1-181D260811AE}" name="Vol 10d" dataDxfId="24">
      <calculatedColumnFormula>_xll.BDP($B12&amp;" Equity","volatility_10d")</calculatedColumnFormula>
    </tableColumn>
    <tableColumn id="25" xr3:uid="{06753197-209B-42CE-8324-F5BF4E6BBC8C}" name="Beta" dataDxfId="23" totalsRowDxfId="22">
      <calculatedColumnFormula>_xll.BDP(B12&amp;" EQUITY","eqy_beta")</calculatedColumnFormula>
    </tableColumn>
    <tableColumn id="26" xr3:uid="{E0099784-2515-472D-A708-E950C7C1F961}" name="Daily P&amp;L" dataDxfId="21" totalsRowDxfId="20">
      <calculatedColumnFormula>Tabelad[[#This Row],[D1 P&amp;L bps]]*$AD$5/10000</calculatedColumnFormula>
    </tableColumn>
    <tableColumn id="28" xr3:uid="{E8C15306-AE60-46ED-BE32-1873B2B613BE}" name="VALUE" dataDxfId="19" totalsRowDxfId="18"/>
    <tableColumn id="30" xr3:uid="{3553EED7-0690-4464-BFF1-737C1D716FE2}" name="Report Date2" dataDxfId="17" totalsRowDxfId="16">
      <calculatedColumnFormula>_xll.BDP(B12&amp;" Equity","EXPECTED_REPORT_DT")</calculatedColumnFormula>
    </tableColumn>
    <tableColumn id="31" xr3:uid="{5102101F-2C4E-4C70-B272-6AB453BA1BFE}" name="Column3" dataDxfId="15" totalsRowDxfId="14">
      <calculatedColumnFormula>_xll.BDP(B12&amp;" Index","CHG_PCT_1D_PRE_FROM_REGULAR")/100</calculatedColumnFormula>
    </tableColumn>
    <tableColumn id="32" xr3:uid="{78144925-541C-4BB9-B1CE-5128912D0AEA}" name="Column4" dataDxfId="13">
      <calculatedColumnFormula>(T12*AG12)/$AD$7*10000</calculatedColumnFormula>
    </tableColumn>
    <tableColumn id="34" xr3:uid="{F48AA587-E15F-424C-9278-DC54512DF635}" name="Column5" dataDxfId="1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7" dataDxfId="6" totalsRowBorderDxfId="5">
  <autoFilter ref="F3:G136" xr:uid="{50594F44-C7EB-4454-89DA-F08A9C91DB54}"/>
  <tableColumns count="2">
    <tableColumn id="1" xr3:uid="{C2C1762E-B58F-491C-8249-F5F204F351C6}" name="De (Lote)" totalsRowFunction="count" dataDxfId="4"/>
    <tableColumn id="2" xr3:uid="{2A11C67E-26BC-4BE0-826C-B31A77595F54}" name="Para (Ticker Daniel)" totalsRowFunction="count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3">
        <v>0.41</v>
      </c>
      <c r="D6" s="320">
        <f>C6^2</f>
        <v>0.16809999999999997</v>
      </c>
    </row>
    <row r="7" spans="2:12">
      <c r="B7" t="s">
        <v>658</v>
      </c>
      <c r="C7" s="323">
        <v>0.25</v>
      </c>
      <c r="D7" s="320">
        <f>C7^2</f>
        <v>6.25E-2</v>
      </c>
    </row>
    <row r="8" spans="2:12">
      <c r="B8" t="s">
        <v>656</v>
      </c>
      <c r="C8" s="318">
        <f>SQRT(D6+D7+2*C10)</f>
        <v>0.35791060336346558</v>
      </c>
    </row>
    <row r="9" spans="2:12">
      <c r="B9" t="s">
        <v>654</v>
      </c>
      <c r="C9" s="322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667</v>
      </c>
      <c r="D15" t="s">
        <v>666</v>
      </c>
      <c r="J15" s="327">
        <f>J14/5.19</f>
        <v>53179190.751445085</v>
      </c>
    </row>
    <row r="16" spans="2:12">
      <c r="B16" t="s">
        <v>677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676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656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654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652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5">
        <v>0.82</v>
      </c>
      <c r="B25" t="s">
        <v>674</v>
      </c>
      <c r="C25" s="323">
        <v>0.3</v>
      </c>
      <c r="D25" s="320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3">
        <v>0.4</v>
      </c>
      <c r="D26" s="320">
        <f>C26^2</f>
        <v>0.16000000000000003</v>
      </c>
      <c r="I26" t="s">
        <v>671</v>
      </c>
      <c r="J26">
        <v>1</v>
      </c>
      <c r="R26" s="324"/>
    </row>
    <row r="27" spans="1:21">
      <c r="B27" t="s">
        <v>670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2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657</v>
      </c>
    </row>
    <row r="34" spans="2:17">
      <c r="B34" t="s">
        <v>656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655</v>
      </c>
    </row>
    <row r="35" spans="2:17">
      <c r="B35" t="s">
        <v>654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651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650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649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648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647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646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45890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46066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46036</v>
      </c>
      <c r="AN3" s="142">
        <f ca="1">WORKDAY($Q$3,-66)</f>
        <v>45974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20250821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189.72</v>
      </c>
      <c r="H8" s="150" cm="1">
        <f t="array" ref="H8">G8/_xll.BDP(B8&amp;" Equity", "PREV_CLOSE_VAL")-1</f>
        <v>2.3135414981394486E-2</v>
      </c>
      <c r="I8" s="149" cm="1">
        <f t="array" ref="I8">_xll.BDP(C8&amp;" Equity","LAST PRICE")</f>
        <v>82.77</v>
      </c>
      <c r="J8" s="150" cm="1">
        <f t="array" ref="J8">I8/_xll.BDP(C8&amp;" Equity", "PREV_CLOSE_VAL")-1</f>
        <v>2.2356719367588873E-2</v>
      </c>
      <c r="K8" s="151">
        <f>G8/I8</f>
        <v>2.2921348314606744</v>
      </c>
      <c r="L8" s="150" cm="1">
        <f t="array" ref="L8">K8/(_xll.BDP(B8&amp;" Equity", "PREV_CLOSE_VAL")/_xll.BDP(C8&amp;" Equity", "PREV_CLOSE_VAL"))-1</f>
        <v>7.616672332211305E-4</v>
      </c>
      <c r="M8" s="150"/>
      <c r="N8" s="152">
        <f>ABS(L8/O8)</f>
        <v>4.2995113084888008E-2</v>
      </c>
      <c r="O8" s="153">
        <f>P8/15.87/100</f>
        <v>1.7715204788909894E-2</v>
      </c>
      <c r="P8" s="154" cm="1">
        <f t="array" ref="P8">_xll.BDP($A8&amp;" Index","VOLATILITY_30D")</f>
        <v>28.11403</v>
      </c>
      <c r="Q8" s="154" cm="1">
        <f t="array" aca="1" ref="Q8" ca="1">(_xll.BDP(($B8&amp; " Equity"),"CORR_COEF", "BETA_OVERRIDE_REL_INDEX",($C8&amp; " Equity"),"BETA_OVERRIDE_END_DT",$Q$5,"BETA_OVERRIDE_START_DT",$Q$4))*100</f>
        <v>82.425179666427894</v>
      </c>
      <c r="R8" s="150"/>
      <c r="S8" s="150" cm="1">
        <f t="array" ref="S8">_xll.BDP($A8&amp;" Index","CHG_PCT_2D")/100</f>
        <v>3.2101589999999999E-2</v>
      </c>
      <c r="T8" s="150" cm="1">
        <f t="array" ref="T8">_xll.BDP($A8&amp;" Index","CHG_PCT_5D")/100</f>
        <v>-1.1380639999999999E-2</v>
      </c>
      <c r="U8" s="150" cm="1">
        <f t="array" ref="U8">K8/_xll.BDP($A8&amp;" Index","HIGH_52WEEK")-1</f>
        <v>-0.26870255573400637</v>
      </c>
      <c r="V8" s="150" cm="1">
        <f t="array" ref="V8">K8/_xll.BDP($A8&amp;" Index","LOW_52WEEK")-1</f>
        <v>0.11908078265657385</v>
      </c>
      <c r="W8" s="150"/>
      <c r="X8" s="154" cm="1">
        <f t="array" ref="X8">_xll.BDP($A8&amp;" Index","RSI_14D")</f>
        <v>44.631300000000003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1.9050922762884293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7.905138339920903E-3</v>
      </c>
      <c r="AN8" s="156">
        <f ca="1">IF(ISTEXT(B8),AP8/_xll.BDH(B8 &amp;  " Equity","BEST_EPS",$AN$3,$AN$3,"BEST_FPERIOD_OVERRIDE=1BF","CDR=US","Fill=p")-1,"")</f>
        <v>6.5916398713826485E-2</v>
      </c>
      <c r="AO8" s="158">
        <f ca="1">G8/AP8</f>
        <v>14.307692307692308</v>
      </c>
      <c r="AP8" s="158" cm="1">
        <f t="array" aca="1" ref="AP8" ca="1">IF(ISTEXT(B8),_xll.BDH(B8 &amp;  " Equity","BEST_EPS",$Q$3,$Q$3,"BEST_FPERIOD_OVERRIDE=1BF","CDR=US","Fill=p"),"")</f>
        <v>13.26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639.77</v>
      </c>
      <c r="H9" s="150" cm="1">
        <f t="array" ref="H9">G9/_xll.BDP(B9&amp;" Equity", "PREV_CLOSE_VAL")-1</f>
        <v>-1.5450670195903404E-2</v>
      </c>
      <c r="I9" s="149" cm="1">
        <f t="array" ref="I9">_xll.BDP(C9&amp;" Equity","LAST PRICE")</f>
        <v>601.91999999999996</v>
      </c>
      <c r="J9" s="150" cm="1">
        <f t="array" ref="J9">I9/_xll.BDP(C9&amp;" Equity", "PREV_CLOSE_VAL")-1</f>
        <v>2.1310602024506853E-3</v>
      </c>
      <c r="K9" s="151">
        <f>G9/I9</f>
        <v>1.062882110579479</v>
      </c>
      <c r="L9" s="150" cm="1">
        <f t="array" ref="L9">K9/(_xll.BDP(B9&amp;" Equity", "PREV_CLOSE_VAL")/_xll.BDP(C9&amp;" Equity", "PREV_CLOSE_VAL"))-1</f>
        <v>-1.7544342348596809E-2</v>
      </c>
      <c r="M9" s="150"/>
      <c r="N9" s="152">
        <f>ABS(L9/O9)</f>
        <v>0.67716993819572124</v>
      </c>
      <c r="O9" s="153">
        <f>P9/15.87/100</f>
        <v>2.590833018273472E-2</v>
      </c>
      <c r="P9" s="154" cm="1">
        <f t="array" ref="P9">_xll.BDP($A9&amp;" Index","VOLATILITY_30D")</f>
        <v>41.116520000000001</v>
      </c>
      <c r="Q9" s="154" cm="1">
        <f t="array" aca="1" ref="Q9" ca="1">(_xll.BDP(($B9&amp; " Equity"),"CORR_COEF", "BETA_OVERRIDE_REL_INDEX",($C9&amp; " Equity"),"BETA_OVERRIDE_END_DT",$Q$5,"BETA_OVERRIDE_START_DT",$Q$4))*100</f>
        <v>45.942160153468507</v>
      </c>
      <c r="R9" s="150"/>
      <c r="S9" s="150" cm="1">
        <f t="array" ref="S9">_xll.BDP($A9&amp;" Index","CHG_PCT_2D")/100</f>
        <v>-2.1989580000000002E-2</v>
      </c>
      <c r="T9" s="150" cm="1">
        <f t="array" ref="T9">_xll.BDP($A9&amp;" Index","CHG_PCT_5D")/100</f>
        <v>-1.6878610000000002E-2</v>
      </c>
      <c r="U9" s="150" cm="1">
        <f t="array" ref="U9">K9/_xll.BDP($A9&amp;" Index","HIGH_52WEEK")-1</f>
        <v>-0.2277249795978501</v>
      </c>
      <c r="V9" s="150" cm="1">
        <f t="array" ref="V9">K9/_xll.BDP($A9&amp;" Index","LOW_52WEEK")-1</f>
        <v>8.3943125508101346E-2</v>
      </c>
      <c r="W9" s="150"/>
      <c r="X9" s="154" cm="1">
        <f t="array" ref="X9">_xll.BDP($A9&amp;" Index","RSI_14D")</f>
        <v>50.481610000000003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1.8088276944865183</v>
      </c>
      <c r="AI9" s="158" cm="1">
        <f t="array" ref="AI9">(_xll.BDP(C9&amp;" Equity","SHORT_INT")/_xll.BDP(C9&amp;" Equity","VOLUME_AVG_90D"))</f>
        <v>0.79474794213233302</v>
      </c>
      <c r="AJ9" s="158" cm="1">
        <f t="array" ref="AJ9">(_xll.BDP(B9&amp;" Equity","SHORT_INT"))/((_xll.BDP(B9&amp;" Equity","EQY_FREE_FLOAT_PCT"))*(_xll.BDP(B9&amp;" Equity","EQY_SH_OUT_TOT_MULT_SH")))/100</f>
        <v>1.284500080580834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-2.6436242004577282E-2</v>
      </c>
      <c r="AN9" s="156">
        <f ca="1">IF(ISTEXT(B9),AP9/_xll.BDH(B9 &amp;  " Equity","BEST_EPS",$AN$3,$AN$3,"BEST_FPERIOD_OVERRIDE=1BF","CDR=US","Fill=p")-1,"")</f>
        <v>4.0244492858869663E-3</v>
      </c>
      <c r="AO9" s="158">
        <f ca="1">G9/AP9</f>
        <v>19.281215153250354</v>
      </c>
      <c r="AP9" s="158" cm="1">
        <f t="array" aca="1" ref="AP9" ca="1">IF(ISTEXT(B9),_xll.BDH(B9 &amp;  " Equity","BEST_EPS",$Q$3,$Q$3,"BEST_FPERIOD_OVERRIDE=1BF","CDR=US","Fill=p"),"")</f>
        <v>33.180999999999997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366.36</v>
      </c>
      <c r="H10" s="150" cm="1">
        <f t="array" ref="H10">G10/_xll.BDP(B10&amp;" Equity", "PREV_CLOSE_VAL")-1</f>
        <v>-4.7269763651182073E-3</v>
      </c>
      <c r="I10" s="149" cm="1">
        <f t="array" ref="I10">_xll.BDP(C10&amp;" Equity","LAST PRICE")</f>
        <v>407.72</v>
      </c>
      <c r="J10" s="150" cm="1">
        <f t="array" ref="J10">I10/_xll.BDP(C10&amp;" Equity", "PREV_CLOSE_VAL")-1</f>
        <v>3.9644431311713912E-3</v>
      </c>
      <c r="K10" s="151">
        <f>G10/I10</f>
        <v>0.89855783380751497</v>
      </c>
      <c r="L10" s="150" cm="1">
        <f t="array" ref="L10">K10/(_xll.BDP(B10&amp;" Equity", "PREV_CLOSE_VAL")/_xll.BDP(C10&amp;" Equity", "PREV_CLOSE_VAL"))-1</f>
        <v>-8.6570989199404869E-3</v>
      </c>
      <c r="M10" s="150"/>
      <c r="N10" s="152">
        <f>ABS(L10/O10)</f>
        <v>0.57752664400970666</v>
      </c>
      <c r="O10" s="153">
        <f>P10/15.87/100</f>
        <v>1.498995589161941E-2</v>
      </c>
      <c r="P10" s="154" cm="1">
        <f t="array" ref="P10">_xll.BDP($A10&amp;" Index","VOLATILITY_30D")</f>
        <v>23.789059999999999</v>
      </c>
      <c r="Q10" s="154" cm="1">
        <f t="array" aca="1" ref="Q10" ca="1">(_xll.BDP(($B10&amp; " Equity"),"CORR_COEF", "BETA_OVERRIDE_REL_INDEX",($C10&amp; " Equity"),"BETA_OVERRIDE_END_DT",$Q$5,"BETA_OVERRIDE_START_DT",$Q$4))*100</f>
        <v>73.463609899323387</v>
      </c>
      <c r="R10" s="150"/>
      <c r="S10" s="150" cm="1">
        <f t="array" ref="S10">_xll.BDP($A10&amp;" Index","CHG_PCT_2D")/100</f>
        <v>-3.880475E-3</v>
      </c>
      <c r="T10" s="150" cm="1">
        <f t="array" ref="T10">_xll.BDP($A10&amp;" Index","CHG_PCT_5D")/100</f>
        <v>3.4376790000000004E-2</v>
      </c>
      <c r="U10" s="150" cm="1">
        <f t="array" ref="U10">K10/_xll.BDP($A10&amp;" Index","HIGH_52WEEK")-1</f>
        <v>-8.6519927101555982E-3</v>
      </c>
      <c r="V10" s="150" cm="1">
        <f t="array" ref="V10">K10/_xll.BDP($A10&amp;" Index","LOW_52WEEK")-1</f>
        <v>0.19333559165916103</v>
      </c>
      <c r="W10" s="150"/>
      <c r="X10" s="154" cm="1">
        <f t="array" ref="X10">_xll.BDP($A10&amp;" Index","RSI_14D")</f>
        <v>72.298869999999994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1.4440527234955627</v>
      </c>
      <c r="AI10" s="158" cm="1">
        <f t="array" ref="AI10">(_xll.BDP(C10&amp;" Equity","SHORT_INT")/_xll.BDP(C10&amp;" Equity","VOLUME_AVG_90D"))</f>
        <v>1.0275344631391987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5.8237113613241132E-2</v>
      </c>
      <c r="AN10" s="156">
        <f ca="1">IF(ISTEXT(B10),AP10/_xll.BDH(B10 &amp;  " Equity","BEST_EPS",$AN$3,$AN$3,"BEST_FPERIOD_OVERRIDE=1BF","CDR=US","Fill=p")-1,"")</f>
        <v>0.26847274513013586</v>
      </c>
      <c r="AO10" s="158">
        <f ca="1">G10/AP10</f>
        <v>0.78796247306138778</v>
      </c>
      <c r="AP10" s="158" cm="1">
        <f t="array" aca="1" ref="AP10" ca="1">IF(ISTEXT(B10),_xll.BDH(B10 &amp;  " Equity","BEST_EPS",$Q$3,$Q$3,"BEST_FPERIOD_OVERRIDE=1BF","CDR=US","Fill=p"),"")</f>
        <v>464.94600000000003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182.81</v>
      </c>
      <c r="H11" s="150" cm="1">
        <f t="array" ref="H11">G11/_xll.BDP(B11&amp;" Equity", "PREV_CLOSE_VAL")-1</f>
        <v>-2.2092650048143758E-2</v>
      </c>
      <c r="I11" s="149" cm="1">
        <f t="array" ref="I11">_xll.BDP(C11&amp;" Equity","LAST PRICE")</f>
        <v>407.72</v>
      </c>
      <c r="J11" s="150" cm="1">
        <f t="array" ref="J11">I11/_xll.BDP(C11&amp;" Equity", "PREV_CLOSE_VAL")-1</f>
        <v>3.9644431311713912E-3</v>
      </c>
      <c r="K11" s="151">
        <f>G11/I11</f>
        <v>0.44837143137447266</v>
      </c>
      <c r="L11" s="150" cm="1">
        <f t="array" ref="L11">K11/(_xll.BDP(B11&amp;" Equity", "PREV_CLOSE_VAL")/_xll.BDP(C11&amp;" Equity", "PREV_CLOSE_VAL"))-1</f>
        <v>-2.595419923244302E-2</v>
      </c>
      <c r="M11" s="150"/>
      <c r="N11" s="152">
        <f>ABS(L11/O11)</f>
        <v>1.569434204857709</v>
      </c>
      <c r="O11" s="153">
        <f>P11/15.87/100</f>
        <v>1.6537296786389415E-2</v>
      </c>
      <c r="P11" s="154" cm="1">
        <f t="array" ref="P11">_xll.BDP($A11&amp;" Index","VOLATILITY_30D")</f>
        <v>26.244689999999999</v>
      </c>
      <c r="Q11" s="154" cm="1">
        <f t="array" aca="1" ref="Q11" ca="1">(_xll.BDP(($B11&amp; " Equity"),"CORR_COEF", "BETA_OVERRIDE_REL_INDEX",($C11&amp; " Equity"),"BETA_OVERRIDE_END_DT",$Q$5,"BETA_OVERRIDE_START_DT",$Q$4))*100</f>
        <v>56.817197044818379</v>
      </c>
      <c r="R11" s="150"/>
      <c r="S11" s="150" cm="1">
        <f t="array" ref="S11">_xll.BDP($A11&amp;" Index","CHG_PCT_2D")/100</f>
        <v>-2.3799269999999997E-2</v>
      </c>
      <c r="T11" s="150" cm="1">
        <f t="array" ref="T11">_xll.BDP($A11&amp;" Index","CHG_PCT_5D")/100</f>
        <v>-3.1044530000000001E-2</v>
      </c>
      <c r="U11" s="150" cm="1">
        <f t="array" ref="U11">K11/_xll.BDP($A11&amp;" Index","HIGH_52WEEK")-1</f>
        <v>-0.28374026522073414</v>
      </c>
      <c r="V11" s="150" cm="1">
        <f t="array" ref="V11">K11/_xll.BDP($A11&amp;" Index","LOW_52WEEK")-1</f>
        <v>-5.9385181809717968E-3</v>
      </c>
      <c r="W11" s="150"/>
      <c r="X11" s="154" cm="1">
        <f t="array" ref="X11">_xll.BDP($A11&amp;" Index","RSI_14D")</f>
        <v>43.430050000000001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1.4154750963040341</v>
      </c>
      <c r="AI11" s="158" cm="1">
        <f t="array" ref="AI11">(_xll.BDP(C11&amp;" Equity","SHORT_INT")/_xll.BDP(C11&amp;" Equity","VOLUME_AVG_90D"))</f>
        <v>1.0275344631391987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3.2585751978891908E-2</v>
      </c>
      <c r="AN11" s="156">
        <f ca="1">IF(ISTEXT(B11),AP11/_xll.BDH(B11 &amp;  " Equity","BEST_EPS",$AN$3,$AN$3,"BEST_FPERIOD_OVERRIDE=1BF","CDR=US","Fill=p")-1,"")</f>
        <v>0.25211966085426329</v>
      </c>
      <c r="AO11" s="158">
        <f ca="1">G11/AP11</f>
        <v>23.356330650313019</v>
      </c>
      <c r="AP11" s="158" cm="1">
        <f t="array" aca="1" ref="AP11" ca="1">IF(ISTEXT(B11),_xll.BDH(B11 &amp;  " Equity","BEST_EPS",$Q$3,$Q$3,"BEST_FPERIOD_OVERRIDE=1BF","CDR=US","Fill=p"),"")</f>
        <v>7.827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325.17</v>
      </c>
      <c r="H12" s="150" cm="1">
        <f t="array" ref="H12">G12/_xll.BDP(B12&amp;" Equity", "PREV_CLOSE_VAL")-1</f>
        <v>-1.8117583114412583E-2</v>
      </c>
      <c r="I12" s="149" cm="1">
        <f t="array" ref="I12">_xll.BDP(C12&amp;" Equity","LAST PRICE")</f>
        <v>407.72</v>
      </c>
      <c r="J12" s="150" cm="1">
        <f t="array" ref="J12">I12/_xll.BDP(C12&amp;" Equity", "PREV_CLOSE_VAL")-1</f>
        <v>3.9644431311713912E-3</v>
      </c>
      <c r="K12" s="151">
        <f>G12/I12</f>
        <v>0.79753262042578243</v>
      </c>
      <c r="L12" s="150" cm="1">
        <f t="array" ref="L12">K12/(_xll.BDP(B12&amp;" Equity", "PREV_CLOSE_VAL")/_xll.BDP(C12&amp;" Equity", "PREV_CLOSE_VAL"))-1</f>
        <v>-2.1994828996846016E-2</v>
      </c>
      <c r="M12" s="150"/>
      <c r="N12" s="152">
        <f>ABS(L12/O12)</f>
        <v>1.172882932043039</v>
      </c>
      <c r="O12" s="153">
        <f>P12/15.87/100</f>
        <v>1.8752791430371771E-2</v>
      </c>
      <c r="P12" s="154" cm="1">
        <f t="array" ref="P12">_xll.BDP($A12&amp;" Index","VOLATILITY_30D")</f>
        <v>29.760680000000001</v>
      </c>
      <c r="Q12" s="154" cm="1">
        <f t="array" aca="1" ref="Q12" ca="1">(_xll.BDP(($B12&amp; " Equity"),"CORR_COEF", "BETA_OVERRIDE_REL_INDEX",($C12&amp; " Equity"),"BETA_OVERRIDE_END_DT",$Q$5,"BETA_OVERRIDE_START_DT",$Q$4))*100</f>
        <v>57.466223284577964</v>
      </c>
      <c r="R12" s="150"/>
      <c r="S12" s="150" cm="1">
        <f t="array" ref="S12">_xll.BDP($A12&amp;" Index","CHG_PCT_2D")/100</f>
        <v>-3.078032E-2</v>
      </c>
      <c r="T12" s="150" cm="1">
        <f t="array" ref="T12">_xll.BDP($A12&amp;" Index","CHG_PCT_5D")/100</f>
        <v>-3.3721250000000001E-2</v>
      </c>
      <c r="U12" s="150" cm="1">
        <f t="array" ref="U12">K12/_xll.BDP($A12&amp;" Index","HIGH_52WEEK")-1</f>
        <v>-0.35080779778121085</v>
      </c>
      <c r="V12" s="150" cm="1">
        <f t="array" ref="V12">K12/_xll.BDP($A12&amp;" Index","LOW_52WEEK")-1</f>
        <v>1.2752695813003756E-2</v>
      </c>
      <c r="W12" s="150"/>
      <c r="X12" s="154" cm="1">
        <f t="array" ref="X12">_xll.BDP($A12&amp;" Index","RSI_14D")</f>
        <v>39.272640000000003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1.9384738725796034</v>
      </c>
      <c r="AI12" s="158" cm="1">
        <f t="array" ref="AI12">(_xll.BDP(C12&amp;" Equity","SHORT_INT")/_xll.BDP(C12&amp;" Equity","VOLUME_AVG_90D"))</f>
        <v>1.0275344631391987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2.8833673280177941E-2</v>
      </c>
      <c r="AN12" s="156">
        <f ca="1">IF(ISTEXT(B12),AP12/_xll.BDH(B12 &amp;  " Equity","BEST_EPS",$AN$3,$AN$3,"BEST_FPERIOD_OVERRIDE=1BF","CDR=US","Fill=p")-1,"")</f>
        <v>0.17440999047518257</v>
      </c>
      <c r="AO12" s="158">
        <f ca="1">G12/AP12</f>
        <v>29.302514193025143</v>
      </c>
      <c r="AP12" s="158" cm="1">
        <f t="array" aca="1" ref="AP12" ca="1">IF(ISTEXT(B12),_xll.BDH(B12 &amp;  " Equity","BEST_EPS",$Q$3,$Q$3,"BEST_FPERIOD_OVERRIDE=1BF","CDR=US","Fill=p"),"")</f>
        <v>11.097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0.8052235175510789</v>
      </c>
      <c r="G5" s="130" cm="1">
        <f t="array" ref="G5">_xll.BDP($C5&amp;" Equity","volatility_30d")/100</f>
        <v>0.68077511031255655</v>
      </c>
      <c r="J5" t="s">
        <v>411</v>
      </c>
      <c r="K5" s="205">
        <v>70</v>
      </c>
      <c r="L5" cm="1">
        <f t="array" ref="L5">_xll.BDP(J5&amp;" Equity","LAST PRICE")</f>
        <v>75.97</v>
      </c>
      <c r="M5" s="207">
        <f>L5/K5-1</f>
        <v>8.5285714285714187E-2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0.8052235175510789</v>
      </c>
      <c r="G6" s="130" cm="1">
        <f t="array" ref="G6">_xll.BDP($C6&amp;" Equity","volatility_30d")/100</f>
        <v>0.68077511031255655</v>
      </c>
      <c r="J6" t="s">
        <v>411</v>
      </c>
      <c r="K6" s="205">
        <v>70</v>
      </c>
      <c r="L6" cm="1">
        <f t="array" ref="L6">_xll.BDP(J6&amp;" Equity","LAST PRICE")</f>
        <v>75.97</v>
      </c>
      <c r="M6" s="207">
        <f>L6/K6-1</f>
        <v>8.5285714285714187E-2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0.49106522514409412</v>
      </c>
      <c r="G7" s="130" cm="1">
        <f t="array" ref="G7">_xll.BDP($C7&amp;" Equity","volatility_30d")/100</f>
        <v>0.49708245363660991</v>
      </c>
      <c r="J7" t="s">
        <v>414</v>
      </c>
      <c r="K7" s="205">
        <v>28.5</v>
      </c>
      <c r="L7" cm="1">
        <f t="array" ref="L7">_xll.BDP(J7&amp;" Equity","LAST PRICE")</f>
        <v>16.98</v>
      </c>
      <c r="M7" s="207">
        <f t="shared" ref="M7:M13" si="6">L7/K7-1</f>
        <v>-0.40421052631578946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0.77172265272424867</v>
      </c>
      <c r="G8" s="130" cm="1">
        <f t="array" ref="G8">_xll.BDP($C8&amp;" Equity","volatility_30d")/100</f>
        <v>0.64099273759099651</v>
      </c>
      <c r="J8" t="s">
        <v>317</v>
      </c>
      <c r="K8" s="205">
        <v>318.75</v>
      </c>
      <c r="L8" cm="1">
        <f t="array" ref="L8">_xll.BDP(J8&amp;" Equity","LAST PRICE")</f>
        <v>224.23</v>
      </c>
      <c r="M8" s="207">
        <f t="shared" si="6"/>
        <v>-0.29653333333333332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0.52129983589929929</v>
      </c>
      <c r="G9" s="130" cm="1">
        <f t="array" ref="G9">_xll.BDP($C9&amp;" Equity","volatility_30d")/100</f>
        <v>0.3578377168629161</v>
      </c>
      <c r="J9" t="s">
        <v>81</v>
      </c>
      <c r="K9" s="205">
        <v>265.95999999999998</v>
      </c>
      <c r="L9" cm="1">
        <f t="array" ref="L9">_xll.BDP(J9&amp;" Equity","LAST PRICE")</f>
        <v>189.72</v>
      </c>
      <c r="M9" s="207">
        <f t="shared" si="6"/>
        <v>-0.28665964806737854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0.60448160000000006</v>
      </c>
      <c r="G10" s="130" cm="1">
        <f t="array" ref="G10">_xll.BDP($C10&amp;" Equity","volatility_30d")/100</f>
        <v>0.42505979999999999</v>
      </c>
      <c r="J10" t="s">
        <v>424</v>
      </c>
      <c r="K10" s="205">
        <v>251.52</v>
      </c>
      <c r="L10" cm="1">
        <f t="array" ref="L10">_xll.BDP(J10&amp;" Equity","LAST PRICE")</f>
        <v>144.41999999999999</v>
      </c>
      <c r="M10" s="207">
        <f t="shared" si="6"/>
        <v>-0.42581106870229013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0.26650123535533199</v>
      </c>
      <c r="G11" s="130" cm="1">
        <f t="array" ref="G11">_xll.BDP($C11&amp;" Equity","volatility_30d")/100</f>
        <v>0.21517537094141587</v>
      </c>
      <c r="J11" t="s">
        <v>277</v>
      </c>
      <c r="K11" s="205">
        <v>117.4</v>
      </c>
      <c r="L11" cm="1">
        <f t="array" ref="L11">_xll.BDP(J11&amp;" Equity","LAST PRICE")</f>
        <v>139.65</v>
      </c>
      <c r="M11" s="207">
        <f t="shared" si="6"/>
        <v>0.18952299829642238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0.24807483414770939</v>
      </c>
      <c r="G12" s="130" cm="1">
        <f t="array" ref="G12">_xll.BDP($C12&amp;" Equity","volatility_30d")/100</f>
        <v>0.29566691676534146</v>
      </c>
      <c r="J12" t="s">
        <v>413</v>
      </c>
      <c r="K12" s="205">
        <v>5420</v>
      </c>
      <c r="L12" cm="1">
        <f t="array" ref="L12">_xll.BDP(J12&amp;" Index","LAST PRICE")</f>
        <v>5369</v>
      </c>
      <c r="M12" s="207">
        <f t="shared" si="6"/>
        <v>-9.4095940959409985E-3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0.26920366238905918</v>
      </c>
      <c r="G13" s="130" cm="1">
        <f t="array" ref="G13">_xll.BDP($C13&amp;" Equity","volatility_30d")/100</f>
        <v>0.32346040870387605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0.19092167447100855</v>
      </c>
      <c r="G14" s="130" cm="1">
        <f t="array" ref="G14">_xll.BDP($C14&amp;" Equity","volatility_30d")/100</f>
        <v>0.18109955888452953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0.28167290608773576</v>
      </c>
      <c r="G15" s="130" cm="1">
        <f t="array" ref="G15">_xll.BDP($C15&amp;" Equity","volatility_30d")/100</f>
        <v>0.23039798966560487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0.21092283925757896</v>
      </c>
      <c r="G16" s="130" cm="1">
        <f t="array" ref="G16">_xll.BDP($C16&amp;" Equity","volatility_30d")/100</f>
        <v>0.25481431724159453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0.46174223523836899</v>
      </c>
      <c r="G17" s="130" cm="1">
        <f t="array" ref="G17">_xll.BDP($C17&amp;" Equity","volatility_30d")/100</f>
        <v>0.35758192028296149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0.45101025010942231</v>
      </c>
      <c r="G18" s="130" cm="1">
        <f t="array" ref="G18">_xll.BDP($C18&amp;" Equity","volatility_30d")/100</f>
        <v>0.33721161916226633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0.13319600896829059</v>
      </c>
      <c r="G19" s="130" cm="1">
        <f t="array" ref="G19">_xll.BDP($C19&amp;" Equity","volatility_30d")/100</f>
        <v>0.1400380483950488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0.17812664787460464</v>
      </c>
      <c r="G20" s="130" cm="1">
        <f t="array" ref="G20">_xll.BDP($C20&amp;" Equity","volatility_30d")/100</f>
        <v>0.16703891042129737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0.15396133956178773</v>
      </c>
      <c r="G21" s="130" cm="1">
        <f t="array" ref="G21">_xll.BDP($C21&amp;" Equity","volatility_30d")/100</f>
        <v>0.12826153501476856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0.16485524514891772</v>
      </c>
      <c r="G22" s="130" cm="1">
        <f t="array" ref="G22">_xll.BDP($C22&amp;" Equity","volatility_30d")/100</f>
        <v>0.12641696031072189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0.22182850397421083</v>
      </c>
      <c r="G23" s="130" cm="1">
        <f t="array" ref="G23">_xll.BDP($C23&amp;" Equity","volatility_30d")/100</f>
        <v>0.17074823746787626</v>
      </c>
      <c r="K23" s="302" t="s">
        <v>572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0.27184805239058346</v>
      </c>
      <c r="G24" s="130" cm="1">
        <f t="array" ref="G24">_xll.BDP($C24&amp;" Equity","volatility_30d")/100</f>
        <v>0.19765158132218755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0.24489341259902694</v>
      </c>
      <c r="G25" s="130" cm="1">
        <f t="array" ref="G25">_xll.BDP($C25&amp;" Equity","volatility_30d")/100</f>
        <v>0.20999727298878113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1.1902408599853516</v>
      </c>
      <c r="F26" s="130" cm="1">
        <f t="array" ref="F26">_xll.BDP($C26&amp;" Equity","volatility_10d")/100</f>
        <v>0.27646337891158029</v>
      </c>
      <c r="G26" s="130" cm="1">
        <f t="array" ref="G26">_xll.BDP($C26&amp;" Equity","volatility_30d")/100</f>
        <v>0.44060042982669023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1.0625611543655396</v>
      </c>
      <c r="F27" s="130" cm="1">
        <f t="array" ref="F27">_xll.BDP($C27&amp;" Equity","volatility_10d")/100</f>
        <v>0.35110387962442197</v>
      </c>
      <c r="G27" s="130" cm="1">
        <f t="array" ref="G27">_xll.BDP($C27&amp;" Equity","volatility_30d")/100</f>
        <v>0.28537768402267677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1.2108018398284912</v>
      </c>
      <c r="F28" s="130" cm="1">
        <f t="array" ref="F28">_xll.BDP($C28&amp;" Equity","volatility_10d")/100</f>
        <v>0.35734834031269552</v>
      </c>
      <c r="G28" s="130" cm="1">
        <f t="array" ref="G28">_xll.BDP($C28&amp;" Equity","volatility_30d")/100</f>
        <v>0.34506006583381515</v>
      </c>
      <c r="K28" s="299" t="s">
        <v>358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0.8611491322517395</v>
      </c>
      <c r="F29" s="130" cm="1">
        <f t="array" ref="F29">_xll.BDP($C29&amp;" Equity","volatility_10d")/100</f>
        <v>0.65148971541449585</v>
      </c>
      <c r="G29" s="130" cm="1">
        <f t="array" ref="G29">_xll.BDP($C29&amp;" Equity","volatility_30d")/100</f>
        <v>0.45439599634704608</v>
      </c>
      <c r="K29" s="299" t="s">
        <v>471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1.0185316801071167</v>
      </c>
      <c r="F30" s="130" cm="1">
        <f t="array" ref="F30">_xll.BDP($C30&amp;" Equity","volatility_10d")/100</f>
        <v>0.40155074162103088</v>
      </c>
      <c r="G30" s="130" cm="1">
        <f t="array" ref="G30">_xll.BDP($C30&amp;" Equity","volatility_30d")/100</f>
        <v>0.42591356651356216</v>
      </c>
      <c r="K30" s="299" t="s">
        <v>566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358</v>
      </c>
      <c r="D31" s="205" cm="1">
        <f t="array" ref="D31">_xll.BDP(C31&amp;" EQUITY","eqy_beta")</f>
        <v>1.2250771522521973</v>
      </c>
      <c r="F31" s="130" cm="1">
        <f t="array" ref="F31">_xll.BDP($C31&amp;" Equity","volatility_10d")/100</f>
        <v>0.34768741027974165</v>
      </c>
      <c r="G31" s="130" cm="1">
        <f t="array" ref="G31">_xll.BDP($C31&amp;" Equity","volatility_30d")/100</f>
        <v>0.42652924260779557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0.85044598579406738</v>
      </c>
      <c r="F32" s="130" cm="1">
        <f t="array" ref="F32">_xll.BDP($C32&amp;" Equity","volatility_10d")/100</f>
        <v>0.1852408230741843</v>
      </c>
      <c r="G32" s="130" cm="1">
        <f t="array" ref="G32">_xll.BDP($C32&amp;" Equity","volatility_30d")/100</f>
        <v>0.2614399318875949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0.83178466558456421</v>
      </c>
      <c r="F33" s="130" cm="1">
        <f t="array" ref="F33">_xll.BDP($C33&amp;" Equity","volatility_10d")/100</f>
        <v>0.22785789083563365</v>
      </c>
      <c r="G33" s="130" cm="1">
        <f t="array" ref="G33">_xll.BDP($C33&amp;" Equity","volatility_30d")/100</f>
        <v>0.26619290394379452</v>
      </c>
      <c r="K33" s="299" t="s">
        <v>573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0.62486034631729126</v>
      </c>
      <c r="F34" s="130" cm="1">
        <f t="array" ref="F34">_xll.BDP($C34&amp;" Equity","volatility_10d")/100</f>
        <v>0.18097768759007907</v>
      </c>
      <c r="G34" s="130" cm="1">
        <f t="array" ref="G34">_xll.BDP($C34&amp;" Equity","volatility_30d")/100</f>
        <v>0.14871540948340403</v>
      </c>
      <c r="K34" s="302" t="s">
        <v>544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1.4528714418411255</v>
      </c>
      <c r="F35" s="130" cm="1">
        <f t="array" ref="F35">_xll.BDP($C35&amp;" Equity","volatility_10d")/100</f>
        <v>0.43585786748787814</v>
      </c>
      <c r="G35" s="130" cm="1">
        <f t="array" ref="G35">_xll.BDP($C35&amp;" Equity","volatility_30d")/100</f>
        <v>0.36901406131972492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1.8448104858398438</v>
      </c>
      <c r="F36" s="130" cm="1">
        <f t="array" ref="F36">_xll.BDP($C36&amp;" Equity","volatility_10d")/100</f>
        <v>0.56037121564998293</v>
      </c>
      <c r="G36" s="130" cm="1">
        <f t="array" ref="G36">_xll.BDP($C36&amp;" Equity","volatility_30d")/100</f>
        <v>0.37894092762033521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1.6551313400268555</v>
      </c>
      <c r="F37" s="130" cm="1">
        <f t="array" ref="F37">_xll.BDP($C37&amp;" Equity","volatility_10d")/100</f>
        <v>0.76162849159590695</v>
      </c>
      <c r="G37" s="130" cm="1">
        <f t="array" ref="G37">_xll.BDP($C37&amp;" Equity","volatility_30d")/100</f>
        <v>0.95612971467082875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1.1855286359786987</v>
      </c>
      <c r="F38" s="130" cm="1">
        <f t="array" ref="F38">_xll.BDP($C38&amp;" Equity","volatility_10d")/100</f>
        <v>0.52603123006603403</v>
      </c>
      <c r="G38" s="130" cm="1">
        <f t="array" ref="G38">_xll.BDP($C38&amp;" Equity","volatility_30d")/100</f>
        <v>0.36664908239072214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1.0839351415634155</v>
      </c>
      <c r="F39" s="130" cm="1">
        <f t="array" ref="F39">_xll.BDP($C39&amp;" Equity","volatility_10d")/100</f>
        <v>0.56670219498280539</v>
      </c>
      <c r="G39" s="130" cm="1">
        <f t="array" ref="G39">_xll.BDP($C39&amp;" Equity","volatility_30d")/100</f>
        <v>0.39909119144427863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355</v>
      </c>
      <c r="D40" s="205" cm="1">
        <f t="array" ref="D40">_xll.BDP(C40&amp;" EQUITY","eqy_beta")</f>
        <v>0.59204941987991333</v>
      </c>
      <c r="F40" s="130" cm="1">
        <f t="array" ref="F40">_xll.BDP($C40&amp;" Equity","volatility_10d")/100</f>
        <v>0.53471138059557632</v>
      </c>
      <c r="G40" s="130" cm="1">
        <f t="array" ref="G40">_xll.BDP($C40&amp;" Equity","volatility_30d")/100</f>
        <v>0.38004492205691903</v>
      </c>
      <c r="K40" s="299" t="s">
        <v>576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356</v>
      </c>
      <c r="D41" s="205" cm="1">
        <f t="array" ref="D41">_xll.BDP(C41&amp;" EQUITY","eqy_beta")</f>
        <v>0.53775566816329956</v>
      </c>
      <c r="F41" s="130" cm="1">
        <f t="array" ref="F41">_xll.BDP($C41&amp;" Equity","volatility_10d")/100</f>
        <v>0.45294251294240567</v>
      </c>
      <c r="G41" s="130" cm="1">
        <f t="array" ref="G41">_xll.BDP($C41&amp;" Equity","volatility_30d")/100</f>
        <v>0.33174986690980629</v>
      </c>
      <c r="K41" s="302" t="s">
        <v>543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357</v>
      </c>
      <c r="D42" s="205" cm="1">
        <f t="array" ref="D42">_xll.BDP(C42&amp;" EQUITY","eqy_beta")</f>
        <v>0.54449498653411865</v>
      </c>
      <c r="F42" s="130" cm="1">
        <f t="array" ref="F42">_xll.BDP($C42&amp;" Equity","volatility_10d")/100</f>
        <v>0.3413959598688836</v>
      </c>
      <c r="G42" s="130" cm="1">
        <f t="array" ref="G42">_xll.BDP($C42&amp;" Equity","volatility_30d")/100</f>
        <v>0.28584210985569919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363</v>
      </c>
      <c r="D43" s="205" cm="1">
        <f t="array" ref="D43">_xll.BDP(C43&amp;" EQUITY","eqy_beta")</f>
        <v>0.76145392656326294</v>
      </c>
      <c r="F43" s="130" cm="1">
        <f t="array" ref="F43">_xll.BDP($C43&amp;" Equity","volatility_10d")/100</f>
        <v>0.23416220893014891</v>
      </c>
      <c r="G43" s="130" cm="1">
        <f t="array" ref="G43">_xll.BDP($C43&amp;" Equity","volatility_30d")/100</f>
        <v>0.27129943630523529</v>
      </c>
      <c r="K43" s="299" t="s">
        <v>552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0.66327273845672607</v>
      </c>
      <c r="F44" s="130" cm="1">
        <f t="array" ref="F44">_xll.BDP($C44&amp;" Equity","volatility_10d")/100</f>
        <v>0.95092652826892166</v>
      </c>
      <c r="G44" s="130" cm="1">
        <f t="array" ref="G44">_xll.BDP($C44&amp;" Equity","volatility_30d")/100</f>
        <v>0.83064498791128438</v>
      </c>
      <c r="K44" s="302" t="s">
        <v>545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0.56127637624740601</v>
      </c>
      <c r="F45" s="130" cm="1">
        <f t="array" ref="F45">_xll.BDP($C45&amp;" Equity","volatility_10d")/100</f>
        <v>0.73148724844293711</v>
      </c>
      <c r="G45" s="130" cm="1">
        <f t="array" ref="G45">_xll.BDP($C45&amp;" Equity","volatility_30d")/100</f>
        <v>0.75734157954858428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518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354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355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356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357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560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370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575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4" priority="6" operator="lessThan">
      <formula>0</formula>
    </cfRule>
  </conditionalFormatting>
  <conditionalFormatting sqref="L23:O59">
    <cfRule type="cellIs" dxfId="3563" priority="5" operator="lessThan">
      <formula>0</formula>
    </cfRule>
  </conditionalFormatting>
  <conditionalFormatting sqref="R23:R59">
    <cfRule type="cellIs" dxfId="3562" priority="4" operator="lessThan">
      <formula>0</formula>
    </cfRule>
  </conditionalFormatting>
  <conditionalFormatting sqref="Q45:Q48">
    <cfRule type="cellIs" dxfId="3561" priority="3" operator="lessThan">
      <formula>0</formula>
    </cfRule>
  </conditionalFormatting>
  <conditionalFormatting sqref="Q42:Q43">
    <cfRule type="cellIs" dxfId="3560" priority="2" operator="lessThan">
      <formula>0</formula>
    </cfRule>
  </conditionalFormatting>
  <conditionalFormatting sqref="Q39">
    <cfRule type="cellIs" dxfId="3559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928</v>
      </c>
      <c r="J5" s="6" t="s">
        <v>925</v>
      </c>
      <c r="K5" s="6" t="s">
        <v>927</v>
      </c>
      <c r="L5" s="6" t="s">
        <v>926</v>
      </c>
      <c r="O5" s="6" t="s">
        <v>5</v>
      </c>
      <c r="P5" s="6" t="s">
        <v>932</v>
      </c>
      <c r="Q5" s="6" t="s">
        <v>932</v>
      </c>
      <c r="R5" s="6" t="s">
        <v>933</v>
      </c>
      <c r="S5" s="6" t="s">
        <v>931</v>
      </c>
      <c r="T5" s="6" t="s">
        <v>931</v>
      </c>
      <c r="V5" s="368" t="s">
        <v>623</v>
      </c>
      <c r="W5" s="368" t="s">
        <v>623</v>
      </c>
      <c r="X5" s="368" t="s">
        <v>620</v>
      </c>
      <c r="Y5" s="368" t="s">
        <v>620</v>
      </c>
      <c r="Z5" s="368" t="s">
        <v>621</v>
      </c>
      <c r="AA5" s="368" t="s">
        <v>621</v>
      </c>
      <c r="AB5" s="368" t="s">
        <v>622</v>
      </c>
      <c r="AC5" s="368" t="s">
        <v>622</v>
      </c>
      <c r="AD5" s="368" t="s">
        <v>623</v>
      </c>
    </row>
    <row r="6" spans="3:30" s="6" customFormat="1">
      <c r="V6" s="368" t="s">
        <v>929</v>
      </c>
      <c r="W6" s="368" t="s">
        <v>930</v>
      </c>
      <c r="X6" s="368" t="s">
        <v>929</v>
      </c>
      <c r="Y6" s="368" t="s">
        <v>930</v>
      </c>
      <c r="Z6" s="368" t="s">
        <v>929</v>
      </c>
      <c r="AA6" s="368" t="s">
        <v>930</v>
      </c>
      <c r="AB6" s="368" t="s">
        <v>929</v>
      </c>
      <c r="AC6" s="368" t="s">
        <v>930</v>
      </c>
      <c r="AD6" s="368" t="s">
        <v>929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875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934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875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934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936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875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934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936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961</v>
      </c>
    </row>
    <row r="58" spans="8:30">
      <c r="H58" t="s">
        <v>960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961</v>
      </c>
      <c r="J64" s="42"/>
      <c r="K64" s="42"/>
      <c r="L64" s="42"/>
    </row>
    <row r="65" spans="8:9">
      <c r="H65" t="s">
        <v>960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6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4" t="s">
        <v>627</v>
      </c>
      <c r="F6" s="56" t="s">
        <v>626</v>
      </c>
      <c r="G6" s="314" t="s">
        <v>627</v>
      </c>
      <c r="H6" s="314" t="s">
        <v>628</v>
      </c>
      <c r="J6" s="56"/>
      <c r="K6" s="56"/>
      <c r="L6" s="56" t="s">
        <v>625</v>
      </c>
      <c r="M6" s="314" t="s">
        <v>627</v>
      </c>
      <c r="N6" s="56" t="s">
        <v>626</v>
      </c>
      <c r="O6" s="314" t="s">
        <v>627</v>
      </c>
      <c r="P6" s="56" t="s">
        <v>629</v>
      </c>
      <c r="Q6" s="314" t="s">
        <v>627</v>
      </c>
      <c r="R6" s="314" t="s">
        <v>628</v>
      </c>
      <c r="T6" s="56"/>
      <c r="U6" s="56"/>
      <c r="V6" s="56" t="s">
        <v>625</v>
      </c>
      <c r="W6" s="314" t="s">
        <v>627</v>
      </c>
      <c r="X6" s="56" t="s">
        <v>626</v>
      </c>
      <c r="Y6" s="314" t="s">
        <v>627</v>
      </c>
      <c r="Z6" s="56" t="s">
        <v>629</v>
      </c>
      <c r="AA6" s="314" t="s">
        <v>627</v>
      </c>
      <c r="AB6" s="314" t="s">
        <v>628</v>
      </c>
    </row>
    <row r="7" spans="2:28">
      <c r="B7" t="s">
        <v>623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623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623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620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620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620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621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621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621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622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622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622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2" zoomScale="70" zoomScaleNormal="70" zoomScaleSheetLayoutView="85" workbookViewId="0">
      <selection activeCell="C56" sqref="C56"/>
    </sheetView>
  </sheetViews>
  <sheetFormatPr defaultColWidth="9.140625" defaultRowHeight="15.75" outlineLevelCol="1"/>
  <cols>
    <col min="1" max="1" width="18.85546875" style="210" bestFit="1" customWidth="1"/>
    <col min="2" max="2" width="9.8554687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-1.8077683823152704</v>
      </c>
      <c r="F4" s="212">
        <f>'Master P&amp;L'!U5</f>
        <v>2.8017814536525291E-2</v>
      </c>
    </row>
    <row r="5" spans="1:28">
      <c r="A5" s="225" t="s">
        <v>13</v>
      </c>
      <c r="C5" s="226">
        <f>'Master P&amp;L'!V6</f>
        <v>-0.4573752519369389</v>
      </c>
      <c r="F5" s="212">
        <f>'Master P&amp;L'!U6</f>
        <v>-1.7301813581727454E-2</v>
      </c>
    </row>
    <row r="6" spans="1:28" s="232" customFormat="1">
      <c r="A6" s="227" t="s">
        <v>14</v>
      </c>
      <c r="B6" s="228"/>
      <c r="C6" s="229">
        <f>'Master P&amp;L'!V7</f>
        <v>-2.2651436342522091</v>
      </c>
      <c r="D6" s="230"/>
      <c r="E6" s="230"/>
      <c r="F6" s="230">
        <f>'Master P&amp;L'!U7</f>
        <v>1.0716000954797838E-2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4.5319628118252742E-2</v>
      </c>
    </row>
    <row r="8" spans="1:28">
      <c r="A8" s="234" t="s">
        <v>16</v>
      </c>
      <c r="B8" s="235"/>
      <c r="C8" s="236">
        <f>'Master P&amp;L'!V7*'Master P&amp;L'!AD5/10000</f>
        <v>-536965.99287835578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-2804519.6842043647</v>
      </c>
      <c r="D9" s="240"/>
      <c r="E9" s="240"/>
      <c r="F9" s="240"/>
      <c r="G9" s="241"/>
      <c r="H9" s="240"/>
    </row>
    <row r="10" spans="1:28">
      <c r="A10" s="354" t="s">
        <v>785</v>
      </c>
      <c r="B10" s="357">
        <f>Options!AI1</f>
        <v>-19.770613674474308</v>
      </c>
      <c r="H10" s="219"/>
    </row>
    <row r="11" spans="1:28">
      <c r="A11" s="242">
        <f ca="1">TODAY()</f>
        <v>46066</v>
      </c>
      <c r="H11" s="219"/>
      <c r="L11" s="212"/>
    </row>
    <row r="12" spans="1:28" s="292" customFormat="1" ht="47.25">
      <c r="A12" s="605" t="s">
        <v>20</v>
      </c>
      <c r="B12" s="598" t="s">
        <v>21</v>
      </c>
      <c r="C12" s="604" t="s">
        <v>22</v>
      </c>
      <c r="D12" s="604" t="s">
        <v>23</v>
      </c>
      <c r="E12" s="604" t="s">
        <v>24</v>
      </c>
      <c r="F12" s="604" t="s">
        <v>25</v>
      </c>
      <c r="G12" s="291"/>
      <c r="H12" s="293"/>
      <c r="I12" s="293"/>
      <c r="L12" s="243"/>
      <c r="AA12" s="294"/>
      <c r="AB12" s="294"/>
    </row>
    <row r="13" spans="1:28">
      <c r="A13" s="599" t="s">
        <v>572</v>
      </c>
      <c r="B13" s="600">
        <v>-1.3777054572615835E-2</v>
      </c>
      <c r="C13" s="603">
        <v>-9.4139804535846444E-2</v>
      </c>
      <c r="D13" s="601">
        <v>6.0251088777057331E-4</v>
      </c>
      <c r="E13" s="601">
        <v>2.6858423752667242E-4</v>
      </c>
      <c r="F13" s="601">
        <v>8.7109512529724568E-4</v>
      </c>
      <c r="G13" s="244"/>
      <c r="H13" s="219"/>
      <c r="L13" s="244"/>
    </row>
    <row r="14" spans="1:28">
      <c r="A14" s="602" t="s">
        <v>7</v>
      </c>
      <c r="B14" s="600">
        <v>-3.6960378474275579E-3</v>
      </c>
      <c r="C14" s="603">
        <v>-4.9517492501269991E-3</v>
      </c>
      <c r="D14" s="601">
        <v>1.3347935278642341E-4</v>
      </c>
      <c r="E14" s="601">
        <v>2.6858423752667242E-4</v>
      </c>
      <c r="F14" s="601">
        <v>4.020635903130958E-4</v>
      </c>
      <c r="G14" s="244"/>
      <c r="H14" s="219"/>
      <c r="I14" s="213"/>
      <c r="L14" s="244"/>
    </row>
    <row r="15" spans="1:28">
      <c r="A15" s="602" t="s">
        <v>800</v>
      </c>
      <c r="B15" s="600">
        <v>-1.3947102182396365E-2</v>
      </c>
      <c r="C15" s="603">
        <v>-3.4404753789882517E-2</v>
      </c>
      <c r="D15" s="601">
        <v>2.4323982666473847E-4</v>
      </c>
      <c r="E15" s="601">
        <v>0</v>
      </c>
      <c r="F15" s="601">
        <v>2.4323982666473847E-4</v>
      </c>
      <c r="G15" s="244"/>
      <c r="H15" s="219"/>
      <c r="I15" s="213"/>
      <c r="L15" s="244"/>
    </row>
    <row r="16" spans="1:28">
      <c r="A16" s="602" t="s">
        <v>334</v>
      </c>
      <c r="B16" s="600">
        <v>-2.3688023688023585E-2</v>
      </c>
      <c r="C16" s="603">
        <v>-5.478330149583692E-2</v>
      </c>
      <c r="D16" s="601">
        <v>2.2579170831941138E-4</v>
      </c>
      <c r="E16" s="601">
        <v>0</v>
      </c>
      <c r="F16" s="601">
        <v>2.2579170831941138E-4</v>
      </c>
      <c r="G16" s="244"/>
      <c r="H16" s="219"/>
      <c r="I16" s="213"/>
      <c r="L16" s="244"/>
    </row>
    <row r="17" spans="1:12">
      <c r="A17" s="599" t="s">
        <v>26</v>
      </c>
      <c r="B17" s="600">
        <v>9.3436588446983802E-3</v>
      </c>
      <c r="C17" s="603">
        <v>-1.6934190155554387</v>
      </c>
      <c r="D17" s="601">
        <v>-1.2856266192098731E-2</v>
      </c>
      <c r="E17" s="601">
        <v>-3.6823047338191239E-3</v>
      </c>
      <c r="F17" s="601">
        <v>-1.6538570925917855E-2</v>
      </c>
      <c r="G17" s="244"/>
      <c r="H17" s="219"/>
      <c r="I17" s="213"/>
      <c r="L17" s="244"/>
    </row>
    <row r="18" spans="1:12">
      <c r="A18" s="602" t="s">
        <v>82</v>
      </c>
      <c r="B18" s="600">
        <v>8.4742940863080651E-3</v>
      </c>
      <c r="C18" s="603">
        <v>-0.32364633098830065</v>
      </c>
      <c r="D18" s="601">
        <v>0</v>
      </c>
      <c r="E18" s="601">
        <v>-3.6823047338191239E-3</v>
      </c>
      <c r="F18" s="601">
        <v>-3.6823047338191239E-3</v>
      </c>
      <c r="G18" s="244"/>
      <c r="H18" s="219"/>
      <c r="I18" s="213"/>
      <c r="L18" s="244"/>
    </row>
    <row r="19" spans="1:12">
      <c r="A19" s="602" t="s">
        <v>573</v>
      </c>
      <c r="B19" s="600">
        <v>9.7783412238935385E-3</v>
      </c>
      <c r="C19" s="603">
        <v>-1.3697726845671381</v>
      </c>
      <c r="D19" s="601">
        <v>-1.2856266192098731E-2</v>
      </c>
      <c r="E19" s="601"/>
      <c r="F19" s="601">
        <v>-1.2856266192098731E-2</v>
      </c>
      <c r="G19" s="244"/>
      <c r="H19" s="219"/>
      <c r="I19" s="213"/>
      <c r="L19" s="244"/>
    </row>
    <row r="20" spans="1:12">
      <c r="A20" s="599" t="s">
        <v>797</v>
      </c>
      <c r="B20" s="600">
        <v>3.913226290066333E-2</v>
      </c>
      <c r="C20" s="603">
        <v>0.49079813327150357</v>
      </c>
      <c r="D20" s="601">
        <v>6.1417017751993716E-4</v>
      </c>
      <c r="E20" s="601">
        <v>0</v>
      </c>
      <c r="F20" s="601">
        <v>6.1417017751993716E-4</v>
      </c>
      <c r="G20" s="244"/>
      <c r="H20" s="219"/>
      <c r="L20" s="244"/>
    </row>
    <row r="21" spans="1:12">
      <c r="A21" s="602" t="s">
        <v>78</v>
      </c>
      <c r="B21" s="600">
        <v>3.913226290066333E-2</v>
      </c>
      <c r="C21" s="603">
        <v>0.49079813327150357</v>
      </c>
      <c r="D21" s="601">
        <v>6.1417017751993716E-4</v>
      </c>
      <c r="E21" s="601">
        <v>0</v>
      </c>
      <c r="F21" s="601">
        <v>6.1417017751993716E-4</v>
      </c>
      <c r="G21" s="244"/>
      <c r="H21" s="219"/>
      <c r="I21" s="213"/>
      <c r="L21" s="244"/>
    </row>
    <row r="22" spans="1:12">
      <c r="A22" s="599" t="s">
        <v>545</v>
      </c>
      <c r="B22" s="600">
        <v>2.5848315137041073E-5</v>
      </c>
      <c r="C22" s="603">
        <v>-1.3050067754250261</v>
      </c>
      <c r="D22" s="601">
        <v>5.4804046729404234E-3</v>
      </c>
      <c r="E22" s="601">
        <v>8.0777509741573363E-3</v>
      </c>
      <c r="F22" s="601">
        <v>1.355815564709776E-2</v>
      </c>
      <c r="G22" s="244"/>
      <c r="H22" s="219"/>
      <c r="L22" s="244"/>
    </row>
    <row r="23" spans="1:12">
      <c r="A23" s="602" t="s">
        <v>42</v>
      </c>
      <c r="B23" s="600">
        <v>-6.0393860865703419E-3</v>
      </c>
      <c r="C23" s="603">
        <v>-1.0054932895821405</v>
      </c>
      <c r="D23" s="601">
        <v>4.0806369872557384E-3</v>
      </c>
      <c r="E23" s="601">
        <v>1.4855942490498652E-3</v>
      </c>
      <c r="F23" s="601">
        <v>5.566231236305604E-3</v>
      </c>
      <c r="G23" s="244"/>
      <c r="H23" s="219"/>
      <c r="J23" s="244"/>
      <c r="L23" s="244"/>
    </row>
    <row r="24" spans="1:12">
      <c r="A24" s="602" t="s">
        <v>44</v>
      </c>
      <c r="B24" s="600">
        <v>2.0273514576231166E-3</v>
      </c>
      <c r="C24" s="603">
        <v>0.11314152826629979</v>
      </c>
      <c r="D24" s="601">
        <v>-4.9040476631107368E-4</v>
      </c>
      <c r="E24" s="601">
        <v>5.7389708339045343E-3</v>
      </c>
      <c r="F24" s="601">
        <v>5.2485660675934609E-3</v>
      </c>
      <c r="G24" s="244"/>
      <c r="H24" s="219"/>
      <c r="L24" s="244"/>
    </row>
    <row r="25" spans="1:12">
      <c r="A25" s="602" t="s">
        <v>84</v>
      </c>
      <c r="B25" s="600">
        <v>-8.654426590357811E-3</v>
      </c>
      <c r="C25" s="603">
        <v>-0.38633943789431052</v>
      </c>
      <c r="D25" s="601">
        <v>1.652061015468521E-3</v>
      </c>
      <c r="E25" s="601">
        <v>7.6127903437992655E-4</v>
      </c>
      <c r="F25" s="601">
        <v>2.4133400498484473E-3</v>
      </c>
      <c r="G25" s="244"/>
      <c r="H25" s="219"/>
      <c r="L25" s="244"/>
    </row>
    <row r="26" spans="1:12">
      <c r="A26" s="602" t="s">
        <v>433</v>
      </c>
      <c r="B26" s="600">
        <v>0</v>
      </c>
      <c r="C26" s="603">
        <v>0</v>
      </c>
      <c r="D26" s="601">
        <v>4.3213523318505416E-4</v>
      </c>
      <c r="E26" s="601">
        <v>0</v>
      </c>
      <c r="F26" s="601">
        <v>4.3213523318505416E-4</v>
      </c>
      <c r="G26" s="244"/>
      <c r="H26" s="219"/>
      <c r="L26" s="244"/>
    </row>
    <row r="27" spans="1:12">
      <c r="A27" s="602" t="s">
        <v>85</v>
      </c>
      <c r="B27" s="600">
        <v>1.029017001150434E-2</v>
      </c>
      <c r="C27" s="603">
        <v>-6.5097676341869415E-2</v>
      </c>
      <c r="D27" s="601">
        <v>-1.7532995288873675E-4</v>
      </c>
      <c r="E27" s="601">
        <v>-2.0832225873557077E-4</v>
      </c>
      <c r="F27" s="601">
        <v>-3.8365221162430755E-4</v>
      </c>
      <c r="G27" s="244"/>
      <c r="H27" s="219"/>
      <c r="L27" s="244"/>
    </row>
    <row r="28" spans="1:12">
      <c r="A28" s="602" t="s">
        <v>342</v>
      </c>
      <c r="B28" s="600">
        <v>1.5275387263339102E-2</v>
      </c>
      <c r="C28" s="603">
        <v>3.8782100126994616E-2</v>
      </c>
      <c r="D28" s="601">
        <v>-1.8693843769079449E-5</v>
      </c>
      <c r="E28" s="601">
        <v>3.0022911555858159E-4</v>
      </c>
      <c r="F28" s="601">
        <v>2.8153527178950217E-4</v>
      </c>
      <c r="G28" s="244"/>
      <c r="H28" s="219"/>
      <c r="L28" s="244"/>
    </row>
    <row r="29" spans="1:12">
      <c r="A29" s="599" t="s">
        <v>796</v>
      </c>
      <c r="B29" s="600">
        <v>1.2905137217279861E-2</v>
      </c>
      <c r="C29" s="603">
        <v>0.58772096836849064</v>
      </c>
      <c r="D29" s="601">
        <v>3.1627330983097723E-3</v>
      </c>
      <c r="E29" s="601">
        <v>0</v>
      </c>
      <c r="F29" s="601">
        <v>3.1627330983097723E-3</v>
      </c>
      <c r="G29" s="244"/>
      <c r="H29" s="219"/>
      <c r="L29" s="244"/>
    </row>
    <row r="30" spans="1:12">
      <c r="A30" s="602" t="s">
        <v>425</v>
      </c>
      <c r="B30" s="600">
        <v>2.6834862385320957E-2</v>
      </c>
      <c r="C30" s="603">
        <v>0.53526808988515084</v>
      </c>
      <c r="D30" s="601">
        <v>2.0482010584750654E-3</v>
      </c>
      <c r="E30" s="601">
        <v>0</v>
      </c>
      <c r="F30" s="601">
        <v>2.0482010584750654E-3</v>
      </c>
      <c r="G30" s="244"/>
      <c r="H30" s="219"/>
      <c r="I30" s="213"/>
      <c r="L30" s="244"/>
    </row>
    <row r="31" spans="1:12">
      <c r="A31" s="602" t="s">
        <v>432</v>
      </c>
      <c r="B31" s="600">
        <v>-8.9485458612975632E-3</v>
      </c>
      <c r="C31" s="603">
        <v>-3.4302865719439343E-2</v>
      </c>
      <c r="D31" s="601">
        <v>3.7990423784279068E-4</v>
      </c>
      <c r="E31" s="601">
        <v>0</v>
      </c>
      <c r="F31" s="601">
        <v>3.7990423784279068E-4</v>
      </c>
      <c r="G31" s="244"/>
      <c r="H31" s="219"/>
      <c r="I31" s="213"/>
      <c r="L31" s="244"/>
    </row>
    <row r="32" spans="1:12">
      <c r="A32" s="602" t="s">
        <v>523</v>
      </c>
      <c r="B32" s="600">
        <v>-1.2302284710017597E-2</v>
      </c>
      <c r="C32" s="603">
        <v>-2.8190678833410001E-2</v>
      </c>
      <c r="D32" s="601">
        <v>2.2633087863394886E-4</v>
      </c>
      <c r="E32" s="601">
        <v>0</v>
      </c>
      <c r="F32" s="601">
        <v>2.2633087863394886E-4</v>
      </c>
      <c r="G32" s="244"/>
      <c r="H32" s="219"/>
      <c r="L32" s="244"/>
    </row>
    <row r="33" spans="1:28">
      <c r="A33" s="602" t="s">
        <v>956</v>
      </c>
      <c r="B33" s="600">
        <v>1.3896609227348478E-2</v>
      </c>
      <c r="C33" s="603">
        <v>4.8557319516480825E-2</v>
      </c>
      <c r="D33" s="601">
        <v>3.5427420319224408E-4</v>
      </c>
      <c r="E33" s="601">
        <v>0</v>
      </c>
      <c r="F33" s="601">
        <v>3.5427420319224408E-4</v>
      </c>
      <c r="G33" s="244"/>
      <c r="H33" s="219"/>
      <c r="I33" s="213"/>
      <c r="L33" s="244"/>
    </row>
    <row r="34" spans="1:28">
      <c r="A34" s="602" t="s">
        <v>1041</v>
      </c>
      <c r="B34" s="600">
        <v>4.5045045045045029E-2</v>
      </c>
      <c r="C34" s="603">
        <v>6.638910351970824E-2</v>
      </c>
      <c r="D34" s="601">
        <v>1.5402272016572314E-4</v>
      </c>
      <c r="E34" s="601">
        <v>0</v>
      </c>
      <c r="F34" s="601">
        <v>1.5402272016572314E-4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99" t="s">
        <v>729</v>
      </c>
      <c r="B35" s="600">
        <v>1.1350139061627898E-2</v>
      </c>
      <c r="C35" s="603">
        <v>0.13653821744998257</v>
      </c>
      <c r="D35" s="601">
        <v>2.9012348849354517E-3</v>
      </c>
      <c r="E35" s="601">
        <v>3.2291693660284186E-4</v>
      </c>
      <c r="F35" s="601">
        <v>3.2241518215382937E-3</v>
      </c>
      <c r="G35" s="214"/>
      <c r="H35" s="219"/>
      <c r="I35" s="213"/>
      <c r="L35" s="244"/>
    </row>
    <row r="36" spans="1:28">
      <c r="A36" s="602" t="s">
        <v>728</v>
      </c>
      <c r="B36" s="600">
        <v>-1.2177355774174781E-2</v>
      </c>
      <c r="C36" s="603">
        <v>-0.34995002300497469</v>
      </c>
      <c r="D36" s="601">
        <v>9.9221170774344762E-4</v>
      </c>
      <c r="E36" s="601">
        <v>3.981900042441115E-4</v>
      </c>
      <c r="F36" s="601">
        <v>1.3904017119875593E-3</v>
      </c>
      <c r="G36" s="214"/>
      <c r="H36" s="219"/>
      <c r="I36" s="213"/>
      <c r="L36" s="244"/>
    </row>
    <row r="37" spans="1:28">
      <c r="A37" s="602" t="s">
        <v>1052</v>
      </c>
      <c r="B37" s="600">
        <v>8.5196042506412439E-3</v>
      </c>
      <c r="C37" s="603">
        <v>2.1220424306464404E-2</v>
      </c>
      <c r="D37" s="601">
        <v>2.5119962493533863E-4</v>
      </c>
      <c r="E37" s="601">
        <v>0</v>
      </c>
      <c r="F37" s="601">
        <v>2.5119962493533863E-4</v>
      </c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602" t="s">
        <v>892</v>
      </c>
      <c r="B38" s="600">
        <v>1.3325097529258811E-2</v>
      </c>
      <c r="C38" s="603">
        <v>0.23772503460665673</v>
      </c>
      <c r="D38" s="601">
        <v>1.0702570199545795E-3</v>
      </c>
      <c r="E38" s="601">
        <v>-7.5273067641269643E-5</v>
      </c>
      <c r="F38" s="601">
        <v>9.9498395231330966E-4</v>
      </c>
      <c r="G38" s="214"/>
      <c r="H38" s="219"/>
      <c r="I38" s="213"/>
      <c r="L38" s="244"/>
      <c r="AA38" s="247"/>
      <c r="AB38" s="247"/>
    </row>
    <row r="39" spans="1:28">
      <c r="A39" s="602" t="s">
        <v>1079</v>
      </c>
      <c r="B39" s="600">
        <v>3.4317942835292992E-2</v>
      </c>
      <c r="C39" s="603">
        <v>0.2275427815418361</v>
      </c>
      <c r="D39" s="601">
        <v>5.8756653230208639E-4</v>
      </c>
      <c r="E39" s="601">
        <v>0</v>
      </c>
      <c r="F39" s="601">
        <v>5.8756653230208639E-4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99" t="s">
        <v>791</v>
      </c>
      <c r="B40" s="600">
        <v>1.5642590108415882E-2</v>
      </c>
      <c r="C40" s="603">
        <v>0.37869393705211479</v>
      </c>
      <c r="D40" s="601">
        <v>2.7121036462979266E-3</v>
      </c>
      <c r="E40" s="601">
        <v>0</v>
      </c>
      <c r="F40" s="601">
        <v>2.7121036462979266E-3</v>
      </c>
      <c r="G40" s="214"/>
      <c r="H40" s="219"/>
      <c r="L40" s="244"/>
    </row>
    <row r="41" spans="1:28">
      <c r="A41" s="602" t="s">
        <v>790</v>
      </c>
      <c r="B41" s="600">
        <v>8.767605633802833E-2</v>
      </c>
      <c r="C41" s="603">
        <v>0.14795826759379488</v>
      </c>
      <c r="D41" s="601">
        <v>1.8355144120370763E-4</v>
      </c>
      <c r="E41" s="601">
        <v>0</v>
      </c>
      <c r="F41" s="601">
        <v>1.8355144120370763E-4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602" t="s">
        <v>974</v>
      </c>
      <c r="B42" s="600">
        <v>1.9401096583720134E-2</v>
      </c>
      <c r="C42" s="603">
        <v>0.29137677147507507</v>
      </c>
      <c r="D42" s="601">
        <v>1.5309949057722863E-3</v>
      </c>
      <c r="E42" s="601">
        <v>0</v>
      </c>
      <c r="F42" s="601">
        <v>1.5309949057722863E-3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602" t="s">
        <v>1036</v>
      </c>
      <c r="B43" s="600">
        <v>-4.7624803577904218E-3</v>
      </c>
      <c r="C43" s="603">
        <v>-4.214136681828079E-2</v>
      </c>
      <c r="D43" s="601">
        <v>5.355982329111567E-4</v>
      </c>
      <c r="E43" s="601">
        <v>0</v>
      </c>
      <c r="F43" s="601">
        <v>5.355982329111567E-4</v>
      </c>
      <c r="G43" s="214"/>
      <c r="H43" s="219"/>
      <c r="I43" s="213">
        <v>610</v>
      </c>
      <c r="J43" s="606">
        <f>+I43/I44-1</f>
        <v>7.3943661971830998E-2</v>
      </c>
      <c r="L43" s="244"/>
    </row>
    <row r="44" spans="1:28">
      <c r="A44" s="602" t="s">
        <v>1037</v>
      </c>
      <c r="B44" s="600">
        <v>-8.0337023611246616E-3</v>
      </c>
      <c r="C44" s="603">
        <v>-2.5077242762402956E-2</v>
      </c>
      <c r="D44" s="601">
        <v>3.0964278410894151E-4</v>
      </c>
      <c r="E44" s="601">
        <v>0</v>
      </c>
      <c r="F44" s="601">
        <v>3.0964278410894151E-4</v>
      </c>
      <c r="G44" s="214"/>
      <c r="H44" s="219"/>
      <c r="I44" s="213">
        <v>568</v>
      </c>
      <c r="L44" s="244"/>
      <c r="S44" s="245"/>
      <c r="T44" s="245"/>
      <c r="U44" s="245"/>
    </row>
    <row r="45" spans="1:28">
      <c r="A45" s="602" t="s">
        <v>1047</v>
      </c>
      <c r="B45" s="600">
        <v>4.3370508054523249E-3</v>
      </c>
      <c r="C45" s="603">
        <v>6.5775075639285885E-3</v>
      </c>
      <c r="D45" s="601">
        <v>1.5231628230183449E-4</v>
      </c>
      <c r="E45" s="601">
        <v>0</v>
      </c>
      <c r="F45" s="601">
        <v>1.5231628230183449E-4</v>
      </c>
      <c r="G45" s="214"/>
      <c r="H45" s="219"/>
      <c r="I45" s="213"/>
      <c r="J45" s="214">
        <v>15</v>
      </c>
      <c r="L45" s="244"/>
    </row>
    <row r="46" spans="1:28">
      <c r="A46" s="599" t="s">
        <v>830</v>
      </c>
      <c r="B46" s="600">
        <v>2.551132070535117E-3</v>
      </c>
      <c r="C46" s="603">
        <v>-0.13080936959075334</v>
      </c>
      <c r="D46" s="601">
        <v>2.3233924393547892E-3</v>
      </c>
      <c r="E46" s="601">
        <v>1.219120766306871E-3</v>
      </c>
      <c r="F46" s="601">
        <v>3.5425132056616602E-3</v>
      </c>
      <c r="G46" s="214"/>
      <c r="H46" s="219"/>
      <c r="I46" s="213"/>
      <c r="J46" s="606">
        <f>+J45/I44</f>
        <v>2.6408450704225352E-2</v>
      </c>
    </row>
    <row r="47" spans="1:28">
      <c r="A47" s="602" t="s">
        <v>29</v>
      </c>
      <c r="B47" s="600">
        <v>-2.7854295871100332E-3</v>
      </c>
      <c r="C47" s="603">
        <v>-0.19950003518851478</v>
      </c>
      <c r="D47" s="601">
        <v>2.0792593171253277E-3</v>
      </c>
      <c r="E47" s="601">
        <v>1.358348719615834E-3</v>
      </c>
      <c r="F47" s="601">
        <v>3.4376080367411617E-3</v>
      </c>
      <c r="G47" s="214"/>
      <c r="H47" s="219"/>
      <c r="I47" s="213"/>
    </row>
    <row r="48" spans="1:28">
      <c r="A48" s="602" t="s">
        <v>316</v>
      </c>
      <c r="B48" s="600">
        <v>2.0040080160321772E-3</v>
      </c>
      <c r="C48" s="603">
        <v>5.2884681991356181E-2</v>
      </c>
      <c r="D48" s="601">
        <v>0</v>
      </c>
      <c r="E48" s="601">
        <v>1.4066836235568097E-5</v>
      </c>
      <c r="F48" s="601">
        <v>1.4066836235568097E-5</v>
      </c>
      <c r="G48" s="214"/>
      <c r="H48" s="219"/>
      <c r="I48" s="213"/>
    </row>
    <row r="49" spans="1:35">
      <c r="A49" s="602" t="s">
        <v>982</v>
      </c>
      <c r="B49" s="600">
        <v>1.4961771684682379E-2</v>
      </c>
      <c r="C49" s="603">
        <v>2.5551026130655338E-2</v>
      </c>
      <c r="D49" s="601">
        <v>0</v>
      </c>
      <c r="E49" s="601">
        <v>-1.532947895445311E-4</v>
      </c>
      <c r="F49" s="601">
        <v>-1.532947895445311E-4</v>
      </c>
      <c r="G49" s="214"/>
      <c r="H49" s="219"/>
      <c r="I49" s="213"/>
    </row>
    <row r="50" spans="1:35">
      <c r="A50" s="602" t="s">
        <v>807</v>
      </c>
      <c r="B50" s="600">
        <v>-3.9758218314640548E-3</v>
      </c>
      <c r="C50" s="603">
        <v>-9.7450425242500797E-3</v>
      </c>
      <c r="D50" s="601">
        <v>2.4413312222946139E-4</v>
      </c>
      <c r="E50" s="601">
        <v>0</v>
      </c>
      <c r="F50" s="601">
        <v>2.4413312222946139E-4</v>
      </c>
      <c r="G50" s="214" t="s">
        <v>1126</v>
      </c>
      <c r="H50" s="219"/>
      <c r="I50" s="213"/>
    </row>
    <row r="51" spans="1:35">
      <c r="A51" s="599" t="s">
        <v>831</v>
      </c>
      <c r="B51" s="600">
        <v>7.8158361840245192E-3</v>
      </c>
      <c r="C51" s="603">
        <v>-2.8427219972096369E-2</v>
      </c>
      <c r="D51" s="601">
        <v>8.8787611285261195E-5</v>
      </c>
      <c r="E51" s="601">
        <v>0</v>
      </c>
      <c r="F51" s="601">
        <v>8.8787611285261195E-5</v>
      </c>
      <c r="G51" s="214"/>
      <c r="H51" s="219"/>
      <c r="I51" s="214"/>
    </row>
    <row r="52" spans="1:35">
      <c r="A52" s="602" t="s">
        <v>36</v>
      </c>
      <c r="B52" s="600">
        <v>4.5623522603636113E-3</v>
      </c>
      <c r="C52" s="603">
        <v>-2.2093378085267165E-2</v>
      </c>
      <c r="D52" s="601">
        <v>3.6323992378241104E-6</v>
      </c>
      <c r="E52" s="601">
        <v>0</v>
      </c>
      <c r="F52" s="601">
        <v>3.6323992378241104E-6</v>
      </c>
      <c r="G52" s="214"/>
      <c r="H52" s="219"/>
      <c r="I52" s="213"/>
    </row>
    <row r="53" spans="1:35">
      <c r="A53" s="602" t="s">
        <v>4</v>
      </c>
      <c r="B53" s="600">
        <v>7.3506682762793929E-3</v>
      </c>
      <c r="C53" s="603">
        <v>-7.0171832833469325E-3</v>
      </c>
      <c r="D53" s="601">
        <v>-3.2085356421822603E-4</v>
      </c>
      <c r="E53" s="601">
        <v>0</v>
      </c>
      <c r="F53" s="601">
        <v>-3.2085356421822603E-4</v>
      </c>
      <c r="G53" s="214"/>
      <c r="H53" s="219"/>
      <c r="I53" s="213"/>
    </row>
    <row r="54" spans="1:35">
      <c r="A54" s="602" t="s">
        <v>6</v>
      </c>
      <c r="B54" s="600">
        <v>3.9489102413874377E-3</v>
      </c>
      <c r="C54" s="603">
        <v>2.0024873967513783E-2</v>
      </c>
      <c r="D54" s="601">
        <v>5.0910122460375712E-4</v>
      </c>
      <c r="E54" s="601">
        <v>0</v>
      </c>
      <c r="F54" s="601">
        <v>5.0910122460375712E-4</v>
      </c>
      <c r="G54" s="214"/>
      <c r="H54" s="219"/>
      <c r="I54" s="213"/>
    </row>
    <row r="55" spans="1:35">
      <c r="A55" s="602" t="s">
        <v>839</v>
      </c>
      <c r="B55" s="600">
        <v>1.9120065789473673E-2</v>
      </c>
      <c r="C55" s="603">
        <v>-1.9341532570996054E-2</v>
      </c>
      <c r="D55" s="601">
        <v>-1.0309244833809406E-4</v>
      </c>
      <c r="E55" s="601">
        <v>0</v>
      </c>
      <c r="F55" s="601">
        <v>-1.0309244833809406E-4</v>
      </c>
      <c r="G55" s="214"/>
      <c r="H55" s="219"/>
      <c r="I55" s="214"/>
    </row>
    <row r="56" spans="1:35">
      <c r="A56" s="599" t="s">
        <v>45</v>
      </c>
      <c r="B56" s="600">
        <v>8.6795865632401832E-3</v>
      </c>
      <c r="C56" s="603">
        <v>-1.6580509289370693</v>
      </c>
      <c r="D56" s="601">
        <v>5.0290712263154061E-3</v>
      </c>
      <c r="E56" s="601">
        <v>6.2060681807745988E-3</v>
      </c>
      <c r="F56" s="601">
        <v>1.1235139407090004E-2</v>
      </c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8" priority="12226" operator="lessThan">
      <formula>0</formula>
    </cfRule>
  </conditionalFormatting>
  <conditionalFormatting sqref="H86:H1048576 F1:H9 F12:G12 G10:G11">
    <cfRule type="cellIs" dxfId="3557" priority="12223" operator="lessThan">
      <formula>0</formula>
    </cfRule>
    <cfRule type="cellIs" dxfId="3556" priority="12224" operator="lessThan">
      <formula>0</formula>
    </cfRule>
  </conditionalFormatting>
  <conditionalFormatting sqref="F136:G1048576 G86:G135">
    <cfRule type="cellIs" dxfId="3555" priority="7859" operator="lessThan">
      <formula>0</formula>
    </cfRule>
  </conditionalFormatting>
  <conditionalFormatting sqref="F136:G1048576 G86:G135">
    <cfRule type="cellIs" dxfId="3554" priority="7858" operator="lessThan">
      <formula>0</formula>
    </cfRule>
  </conditionalFormatting>
  <conditionalFormatting sqref="F136:G1048576 G86:G135">
    <cfRule type="cellIs" dxfId="3553" priority="7856" operator="lessThan">
      <formula>0</formula>
    </cfRule>
    <cfRule type="cellIs" dxfId="3552" priority="7857" operator="lessThan">
      <formula>0</formula>
    </cfRule>
  </conditionalFormatting>
  <conditionalFormatting sqref="F136:G1048576 G86:G135">
    <cfRule type="cellIs" dxfId="3551" priority="7855" operator="lessThan">
      <formula>0</formula>
    </cfRule>
  </conditionalFormatting>
  <conditionalFormatting sqref="F136:G1048576 G86:G135">
    <cfRule type="cellIs" dxfId="3550" priority="7854" operator="lessThan">
      <formula>0</formula>
    </cfRule>
  </conditionalFormatting>
  <conditionalFormatting sqref="F136:G1048576 G86:G135">
    <cfRule type="cellIs" dxfId="3549" priority="7853" operator="lessThan">
      <formula>0</formula>
    </cfRule>
  </conditionalFormatting>
  <conditionalFormatting sqref="F136:G1048576 G86:G135">
    <cfRule type="cellIs" dxfId="3548" priority="7852" operator="lessThan">
      <formula>0</formula>
    </cfRule>
  </conditionalFormatting>
  <conditionalFormatting sqref="F136:G1048576 G86:G135">
    <cfRule type="cellIs" dxfId="3547" priority="7851" operator="lessThan">
      <formula>0</formula>
    </cfRule>
  </conditionalFormatting>
  <conditionalFormatting sqref="F136:G1048576 G86:G135">
    <cfRule type="cellIs" dxfId="3546" priority="7850" operator="lessThan">
      <formula>0</formula>
    </cfRule>
  </conditionalFormatting>
  <conditionalFormatting sqref="F136:G1048576 G86:G135">
    <cfRule type="cellIs" dxfId="3545" priority="7849" operator="lessThan">
      <formula>0</formula>
    </cfRule>
  </conditionalFormatting>
  <conditionalFormatting sqref="F136:G1048576 G86:G135">
    <cfRule type="cellIs" dxfId="3544" priority="7848" operator="lessThan">
      <formula>0</formula>
    </cfRule>
  </conditionalFormatting>
  <conditionalFormatting sqref="F136:G1048576 G86:G135">
    <cfRule type="cellIs" dxfId="3543" priority="7847" operator="lessThan">
      <formula>0</formula>
    </cfRule>
  </conditionalFormatting>
  <conditionalFormatting sqref="F136:G1048576 G86:G135">
    <cfRule type="cellIs" dxfId="3542" priority="7846" operator="lessThan">
      <formula>0</formula>
    </cfRule>
  </conditionalFormatting>
  <conditionalFormatting sqref="F136:G1048576 G86:G135">
    <cfRule type="cellIs" dxfId="3541" priority="7845" operator="lessThan">
      <formula>0</formula>
    </cfRule>
  </conditionalFormatting>
  <conditionalFormatting sqref="F136:G1048576 G86:G135">
    <cfRule type="cellIs" dxfId="3540" priority="7844" operator="lessThan">
      <formula>0</formula>
    </cfRule>
  </conditionalFormatting>
  <conditionalFormatting sqref="F136:G1048576 G86:G135">
    <cfRule type="cellIs" dxfId="3539" priority="7843" operator="lessThan">
      <formula>0</formula>
    </cfRule>
  </conditionalFormatting>
  <conditionalFormatting sqref="F136:G1048576 G86:G135">
    <cfRule type="cellIs" dxfId="3538" priority="7842" operator="lessThan">
      <formula>0</formula>
    </cfRule>
  </conditionalFormatting>
  <conditionalFormatting sqref="F136:G1048576 G86:G135">
    <cfRule type="cellIs" dxfId="3537" priority="7841" operator="lessThan">
      <formula>0</formula>
    </cfRule>
  </conditionalFormatting>
  <conditionalFormatting sqref="F136:G1048576 G86:G135">
    <cfRule type="cellIs" dxfId="3536" priority="7840" operator="lessThan">
      <formula>0</formula>
    </cfRule>
  </conditionalFormatting>
  <conditionalFormatting sqref="F136:G1048576 G86:G135">
    <cfRule type="cellIs" dxfId="3535" priority="7839" operator="lessThan">
      <formula>0</formula>
    </cfRule>
  </conditionalFormatting>
  <conditionalFormatting sqref="F136:G1048576 G86:G135">
    <cfRule type="cellIs" dxfId="3534" priority="7838" operator="lessThan">
      <formula>0</formula>
    </cfRule>
  </conditionalFormatting>
  <conditionalFormatting sqref="F136:G1048576 G86:G135">
    <cfRule type="cellIs" dxfId="3533" priority="7837" operator="lessThan">
      <formula>0</formula>
    </cfRule>
  </conditionalFormatting>
  <conditionalFormatting sqref="F136:G1048576 G86:G135">
    <cfRule type="cellIs" dxfId="3532" priority="7836" operator="lessThan">
      <formula>0</formula>
    </cfRule>
  </conditionalFormatting>
  <conditionalFormatting sqref="F136:G1048576 G86:G135">
    <cfRule type="cellIs" dxfId="3531" priority="7835" operator="lessThan">
      <formula>0</formula>
    </cfRule>
  </conditionalFormatting>
  <conditionalFormatting sqref="F136:G1048576 G86:G135">
    <cfRule type="cellIs" dxfId="3530" priority="7834" operator="lessThan">
      <formula>0</formula>
    </cfRule>
  </conditionalFormatting>
  <conditionalFormatting sqref="F136:G1048576 G86:G135">
    <cfRule type="cellIs" dxfId="3529" priority="7833" operator="lessThan">
      <formula>0</formula>
    </cfRule>
  </conditionalFormatting>
  <conditionalFormatting sqref="F136:G1048576 G86:G135">
    <cfRule type="cellIs" dxfId="3528" priority="7832" operator="lessThan">
      <formula>0</formula>
    </cfRule>
  </conditionalFormatting>
  <conditionalFormatting sqref="F136:G1048576 G86:G135">
    <cfRule type="cellIs" dxfId="3527" priority="7831" operator="lessThan">
      <formula>0</formula>
    </cfRule>
  </conditionalFormatting>
  <conditionalFormatting sqref="F136:G1048576 G86:G135">
    <cfRule type="cellIs" dxfId="3526" priority="7830" operator="lessThan">
      <formula>0</formula>
    </cfRule>
  </conditionalFormatting>
  <conditionalFormatting sqref="F136:G1048576 G86:G135">
    <cfRule type="cellIs" dxfId="3525" priority="7829" operator="lessThan">
      <formula>0</formula>
    </cfRule>
  </conditionalFormatting>
  <conditionalFormatting sqref="F136:G1048576 G86:G135">
    <cfRule type="cellIs" dxfId="3524" priority="7828" operator="lessThan">
      <formula>0</formula>
    </cfRule>
  </conditionalFormatting>
  <conditionalFormatting sqref="F136:G1048576 G86:G135">
    <cfRule type="cellIs" dxfId="3523" priority="7827" operator="lessThan">
      <formula>0</formula>
    </cfRule>
  </conditionalFormatting>
  <conditionalFormatting sqref="F136:G1048576 G86:G135">
    <cfRule type="cellIs" dxfId="3522" priority="7826" operator="lessThan">
      <formula>0</formula>
    </cfRule>
  </conditionalFormatting>
  <conditionalFormatting sqref="F136:G1048576 G86:G135">
    <cfRule type="cellIs" dxfId="3521" priority="7825" operator="lessThan">
      <formula>0</formula>
    </cfRule>
  </conditionalFormatting>
  <conditionalFormatting sqref="F136:G1048576 G86:G135">
    <cfRule type="cellIs" dxfId="3520" priority="7824" operator="lessThan">
      <formula>0</formula>
    </cfRule>
  </conditionalFormatting>
  <conditionalFormatting sqref="F136:G1048576 G86:G135">
    <cfRule type="cellIs" dxfId="3519" priority="7823" operator="lessThan">
      <formula>0</formula>
    </cfRule>
  </conditionalFormatting>
  <conditionalFormatting sqref="F136:G1048576 G86:G135">
    <cfRule type="cellIs" dxfId="3518" priority="7822" operator="lessThan">
      <formula>0</formula>
    </cfRule>
  </conditionalFormatting>
  <conditionalFormatting sqref="F136:G1048576 G86:G135">
    <cfRule type="cellIs" dxfId="3517" priority="7821" operator="lessThan">
      <formula>0</formula>
    </cfRule>
  </conditionalFormatting>
  <conditionalFormatting sqref="F136:G1048576 G86:G135">
    <cfRule type="cellIs" dxfId="3516" priority="7820" operator="lessThan">
      <formula>0</formula>
    </cfRule>
  </conditionalFormatting>
  <conditionalFormatting sqref="F136:G1048576 G86:G135">
    <cfRule type="cellIs" dxfId="3515" priority="7819" operator="lessThan">
      <formula>0</formula>
    </cfRule>
  </conditionalFormatting>
  <conditionalFormatting sqref="F136:G1048576 G86:G135">
    <cfRule type="cellIs" dxfId="3514" priority="7818" operator="lessThan">
      <formula>0</formula>
    </cfRule>
  </conditionalFormatting>
  <conditionalFormatting sqref="F136:G1048576 G86:G135">
    <cfRule type="cellIs" dxfId="3513" priority="7817" operator="lessThan">
      <formula>0</formula>
    </cfRule>
  </conditionalFormatting>
  <conditionalFormatting sqref="F136:G1048576 G86:G135">
    <cfRule type="cellIs" dxfId="3512" priority="7816" operator="lessThan">
      <formula>0</formula>
    </cfRule>
  </conditionalFormatting>
  <conditionalFormatting sqref="F136:G1048576 G86:G135">
    <cfRule type="cellIs" dxfId="3511" priority="7815" operator="lessThan">
      <formula>0</formula>
    </cfRule>
  </conditionalFormatting>
  <conditionalFormatting sqref="F136:G1048576 G86:G135">
    <cfRule type="cellIs" dxfId="3510" priority="7814" operator="lessThan">
      <formula>0</formula>
    </cfRule>
  </conditionalFormatting>
  <conditionalFormatting sqref="F136:G1048576 G86:G135">
    <cfRule type="cellIs" dxfId="3509" priority="7813" operator="lessThan">
      <formula>0</formula>
    </cfRule>
  </conditionalFormatting>
  <conditionalFormatting sqref="F136:G1048576 G86:G135">
    <cfRule type="cellIs" dxfId="3508" priority="7812" operator="lessThan">
      <formula>0</formula>
    </cfRule>
  </conditionalFormatting>
  <conditionalFormatting sqref="F136:G1048576 G86:G135">
    <cfRule type="cellIs" dxfId="3507" priority="7811" operator="lessThan">
      <formula>0</formula>
    </cfRule>
  </conditionalFormatting>
  <conditionalFormatting sqref="F136:G1048576 G86:G135">
    <cfRule type="cellIs" dxfId="3506" priority="7810" operator="lessThan">
      <formula>0</formula>
    </cfRule>
  </conditionalFormatting>
  <conditionalFormatting sqref="F136:G1048576 G86:G135">
    <cfRule type="cellIs" dxfId="3505" priority="7809" operator="lessThan">
      <formula>0</formula>
    </cfRule>
  </conditionalFormatting>
  <conditionalFormatting sqref="F136:G1048576 G86:G135">
    <cfRule type="cellIs" dxfId="3504" priority="7808" operator="lessThan">
      <formula>0</formula>
    </cfRule>
  </conditionalFormatting>
  <conditionalFormatting sqref="F136:G1048576 G86:G135">
    <cfRule type="cellIs" dxfId="3503" priority="7807" operator="lessThan">
      <formula>0</formula>
    </cfRule>
  </conditionalFormatting>
  <conditionalFormatting sqref="F136:G1048576 G86:G135">
    <cfRule type="cellIs" dxfId="3502" priority="7806" operator="lessThan">
      <formula>0</formula>
    </cfRule>
  </conditionalFormatting>
  <conditionalFormatting sqref="F136:G1048576 G86:G135">
    <cfRule type="cellIs" dxfId="3501" priority="7805" operator="lessThan">
      <formula>0</formula>
    </cfRule>
  </conditionalFormatting>
  <conditionalFormatting sqref="F136:G1048576 G86:G135">
    <cfRule type="cellIs" dxfId="3500" priority="7804" operator="lessThan">
      <formula>0</formula>
    </cfRule>
  </conditionalFormatting>
  <conditionalFormatting sqref="F136:G1048576 G86:G135">
    <cfRule type="cellIs" dxfId="3499" priority="7803" operator="lessThan">
      <formula>0</formula>
    </cfRule>
  </conditionalFormatting>
  <conditionalFormatting sqref="F136:G1048576 G86:G135">
    <cfRule type="cellIs" dxfId="3498" priority="7802" operator="lessThan">
      <formula>0</formula>
    </cfRule>
  </conditionalFormatting>
  <conditionalFormatting sqref="F136:G1048576 G86:G135">
    <cfRule type="cellIs" dxfId="3497" priority="7801" operator="lessThan">
      <formula>0</formula>
    </cfRule>
  </conditionalFormatting>
  <conditionalFormatting sqref="F136:G1048576 G86:G135">
    <cfRule type="cellIs" dxfId="3496" priority="7800" operator="lessThan">
      <formula>0</formula>
    </cfRule>
  </conditionalFormatting>
  <conditionalFormatting sqref="F136:G1048576 G86:G135">
    <cfRule type="cellIs" dxfId="3495" priority="7799" operator="lessThan">
      <formula>0</formula>
    </cfRule>
  </conditionalFormatting>
  <conditionalFormatting sqref="F136:G1048576 G86:G135">
    <cfRule type="cellIs" dxfId="3494" priority="7798" operator="lessThan">
      <formula>0</formula>
    </cfRule>
  </conditionalFormatting>
  <conditionalFormatting sqref="F136:G1048576 G86:G135">
    <cfRule type="cellIs" dxfId="3493" priority="7797" operator="lessThan">
      <formula>0</formula>
    </cfRule>
  </conditionalFormatting>
  <conditionalFormatting sqref="F136:G1048576 G86:G135">
    <cfRule type="cellIs" dxfId="3492" priority="7796" operator="lessThan">
      <formula>0</formula>
    </cfRule>
  </conditionalFormatting>
  <conditionalFormatting sqref="F136:G1048576 G86:G135">
    <cfRule type="cellIs" dxfId="3491" priority="7795" operator="lessThan">
      <formula>0</formula>
    </cfRule>
  </conditionalFormatting>
  <conditionalFormatting sqref="F136:G1048576 G86:G135">
    <cfRule type="cellIs" dxfId="3490" priority="7794" operator="lessThan">
      <formula>0</formula>
    </cfRule>
  </conditionalFormatting>
  <conditionalFormatting sqref="F136:G1048576 G86:G135">
    <cfRule type="cellIs" dxfId="3489" priority="7793" operator="lessThan">
      <formula>0</formula>
    </cfRule>
  </conditionalFormatting>
  <conditionalFormatting sqref="F136:G1048576 G86:G135">
    <cfRule type="cellIs" dxfId="3488" priority="7792" operator="lessThan">
      <formula>0</formula>
    </cfRule>
  </conditionalFormatting>
  <conditionalFormatting sqref="F136:G1048576 G86:G135">
    <cfRule type="cellIs" dxfId="3487" priority="7791" operator="lessThan">
      <formula>0</formula>
    </cfRule>
  </conditionalFormatting>
  <conditionalFormatting sqref="F136:G1048576 G86:G135">
    <cfRule type="cellIs" dxfId="3486" priority="7790" operator="lessThan">
      <formula>0</formula>
    </cfRule>
  </conditionalFormatting>
  <conditionalFormatting sqref="F136:G1048576 G86:G135">
    <cfRule type="cellIs" dxfId="3485" priority="7789" operator="lessThan">
      <formula>0</formula>
    </cfRule>
  </conditionalFormatting>
  <conditionalFormatting sqref="F136:G1048576 G86:G135">
    <cfRule type="cellIs" dxfId="3484" priority="7788" operator="lessThan">
      <formula>0</formula>
    </cfRule>
  </conditionalFormatting>
  <conditionalFormatting sqref="F136:G1048576 G86:G135">
    <cfRule type="cellIs" dxfId="3483" priority="7787" operator="lessThan">
      <formula>0</formula>
    </cfRule>
  </conditionalFormatting>
  <conditionalFormatting sqref="F136:G1048576 G86:G135">
    <cfRule type="cellIs" dxfId="3482" priority="7786" operator="lessThan">
      <formula>0</formula>
    </cfRule>
  </conditionalFormatting>
  <conditionalFormatting sqref="F136:G1048576 G86:G135">
    <cfRule type="cellIs" dxfId="3481" priority="7785" operator="lessThan">
      <formula>0</formula>
    </cfRule>
  </conditionalFormatting>
  <conditionalFormatting sqref="F136:G1048576 G86:G135">
    <cfRule type="cellIs" dxfId="3480" priority="7784" operator="lessThan">
      <formula>0</formula>
    </cfRule>
  </conditionalFormatting>
  <conditionalFormatting sqref="F136:G1048576 G86:G135">
    <cfRule type="cellIs" dxfId="3479" priority="7783" operator="lessThan">
      <formula>0</formula>
    </cfRule>
  </conditionalFormatting>
  <conditionalFormatting sqref="F136:G1048576 G86:G135">
    <cfRule type="cellIs" dxfId="3478" priority="7782" operator="lessThan">
      <formula>0</formula>
    </cfRule>
  </conditionalFormatting>
  <conditionalFormatting sqref="F136:G1048576 G86:G135">
    <cfRule type="cellIs" dxfId="3477" priority="7781" operator="lessThan">
      <formula>0</formula>
    </cfRule>
  </conditionalFormatting>
  <conditionalFormatting sqref="F136:G1048576 G86:G135">
    <cfRule type="cellIs" dxfId="3476" priority="7780" operator="lessThan">
      <formula>0</formula>
    </cfRule>
  </conditionalFormatting>
  <conditionalFormatting sqref="F136:G1048576 G86:G135">
    <cfRule type="cellIs" dxfId="3475" priority="7779" operator="lessThan">
      <formula>0</formula>
    </cfRule>
  </conditionalFormatting>
  <conditionalFormatting sqref="F136:G1048576 G86:G135">
    <cfRule type="cellIs" dxfId="3474" priority="7778" operator="lessThan">
      <formula>0</formula>
    </cfRule>
  </conditionalFormatting>
  <conditionalFormatting sqref="F136:G1048576 G86:G135">
    <cfRule type="cellIs" dxfId="3473" priority="7777" operator="lessThan">
      <formula>0</formula>
    </cfRule>
  </conditionalFormatting>
  <conditionalFormatting sqref="F136:G1048576 G86:G135">
    <cfRule type="cellIs" dxfId="3472" priority="7776" operator="lessThan">
      <formula>0</formula>
    </cfRule>
  </conditionalFormatting>
  <conditionalFormatting sqref="F136:G1048576 G86:G135">
    <cfRule type="cellIs" dxfId="3471" priority="7775" operator="lessThan">
      <formula>0</formula>
    </cfRule>
  </conditionalFormatting>
  <conditionalFormatting sqref="F136:G1048576 G86:G135">
    <cfRule type="cellIs" dxfId="3470" priority="7774" operator="lessThan">
      <formula>0</formula>
    </cfRule>
  </conditionalFormatting>
  <conditionalFormatting sqref="F136:G1048576 G86:G135">
    <cfRule type="cellIs" dxfId="3469" priority="7773" operator="lessThan">
      <formula>0</formula>
    </cfRule>
  </conditionalFormatting>
  <conditionalFormatting sqref="F136:G1048576 G86:G135">
    <cfRule type="cellIs" dxfId="3468" priority="7772" operator="lessThan">
      <formula>0</formula>
    </cfRule>
  </conditionalFormatting>
  <conditionalFormatting sqref="F136:G1048576 G86:G135">
    <cfRule type="cellIs" dxfId="3467" priority="7771" operator="lessThan">
      <formula>0</formula>
    </cfRule>
  </conditionalFormatting>
  <conditionalFormatting sqref="F136:G1048576 G86:G135">
    <cfRule type="cellIs" dxfId="3466" priority="7770" operator="lessThan">
      <formula>0</formula>
    </cfRule>
  </conditionalFormatting>
  <conditionalFormatting sqref="F136:G1048576 G86:G135">
    <cfRule type="cellIs" dxfId="3465" priority="7769" operator="lessThan">
      <formula>0</formula>
    </cfRule>
  </conditionalFormatting>
  <conditionalFormatting sqref="F136:G1048576 G86:G135">
    <cfRule type="cellIs" dxfId="3464" priority="7768" operator="lessThan">
      <formula>0</formula>
    </cfRule>
  </conditionalFormatting>
  <conditionalFormatting sqref="F136:G1048576 G86:G135">
    <cfRule type="cellIs" dxfId="3463" priority="7767" operator="lessThan">
      <formula>0</formula>
    </cfRule>
  </conditionalFormatting>
  <conditionalFormatting sqref="F136:G1048576 G86:G135">
    <cfRule type="cellIs" dxfId="3462" priority="7766" operator="lessThan">
      <formula>0</formula>
    </cfRule>
  </conditionalFormatting>
  <conditionalFormatting sqref="F136:G1048576 G86:G135">
    <cfRule type="cellIs" dxfId="3461" priority="7765" operator="lessThan">
      <formula>0</formula>
    </cfRule>
  </conditionalFormatting>
  <conditionalFormatting sqref="F136:G1048576 G86:G135">
    <cfRule type="cellIs" dxfId="3460" priority="7764" operator="lessThan">
      <formula>0</formula>
    </cfRule>
  </conditionalFormatting>
  <conditionalFormatting sqref="F136:G1048576 G86:G135">
    <cfRule type="cellIs" dxfId="3459" priority="7763" operator="lessThan">
      <formula>0</formula>
    </cfRule>
  </conditionalFormatting>
  <conditionalFormatting sqref="F136:G1048576 G86:G135">
    <cfRule type="cellIs" dxfId="3458" priority="7762" operator="lessThan">
      <formula>0</formula>
    </cfRule>
  </conditionalFormatting>
  <conditionalFormatting sqref="F136:G1048576 G86:G135">
    <cfRule type="cellIs" dxfId="3457" priority="7761" operator="lessThan">
      <formula>0</formula>
    </cfRule>
  </conditionalFormatting>
  <conditionalFormatting sqref="F136:G1048576 G86:G135">
    <cfRule type="cellIs" dxfId="3456" priority="7760" operator="lessThan">
      <formula>0</formula>
    </cfRule>
  </conditionalFormatting>
  <conditionalFormatting sqref="F136:G1048576 G86:G135">
    <cfRule type="cellIs" dxfId="3455" priority="7759" operator="lessThan">
      <formula>0</formula>
    </cfRule>
  </conditionalFormatting>
  <conditionalFormatting sqref="F136:G1048576 G86:G135">
    <cfRule type="cellIs" dxfId="3454" priority="7758" operator="lessThan">
      <formula>0</formula>
    </cfRule>
  </conditionalFormatting>
  <conditionalFormatting sqref="F136:G1048576 G86:G135">
    <cfRule type="cellIs" dxfId="3453" priority="7757" operator="lessThan">
      <formula>0</formula>
    </cfRule>
  </conditionalFormatting>
  <conditionalFormatting sqref="F136:G1048576 G86:G135">
    <cfRule type="cellIs" dxfId="3452" priority="7756" operator="lessThan">
      <formula>0</formula>
    </cfRule>
  </conditionalFormatting>
  <conditionalFormatting sqref="F136:G1048576 G86:G135">
    <cfRule type="cellIs" dxfId="3451" priority="7755" operator="lessThan">
      <formula>0</formula>
    </cfRule>
  </conditionalFormatting>
  <conditionalFormatting sqref="F136:G1048576 G86:G135">
    <cfRule type="cellIs" dxfId="3450" priority="7754" operator="lessThan">
      <formula>0</formula>
    </cfRule>
  </conditionalFormatting>
  <conditionalFormatting sqref="F136:G1048576 G86:G135">
    <cfRule type="cellIs" dxfId="3449" priority="7753" operator="lessThan">
      <formula>0</formula>
    </cfRule>
  </conditionalFormatting>
  <conditionalFormatting sqref="F136:G1048576 G86:G135">
    <cfRule type="cellIs" dxfId="3448" priority="7752" operator="lessThan">
      <formula>0</formula>
    </cfRule>
  </conditionalFormatting>
  <conditionalFormatting sqref="F136:G1048576 G86:G135">
    <cfRule type="cellIs" dxfId="3447" priority="7751" operator="lessThan">
      <formula>0</formula>
    </cfRule>
  </conditionalFormatting>
  <conditionalFormatting sqref="F136:G1048576 G86:G135">
    <cfRule type="cellIs" dxfId="3446" priority="7750" operator="lessThan">
      <formula>0</formula>
    </cfRule>
  </conditionalFormatting>
  <conditionalFormatting sqref="F136:G1048576 G86:G135">
    <cfRule type="cellIs" dxfId="3445" priority="7749" operator="lessThan">
      <formula>0</formula>
    </cfRule>
  </conditionalFormatting>
  <conditionalFormatting sqref="F136:G1048576 G86:G135">
    <cfRule type="cellIs" dxfId="3444" priority="7748" operator="lessThan">
      <formula>0</formula>
    </cfRule>
  </conditionalFormatting>
  <conditionalFormatting sqref="F136:G1048576 G86:G135">
    <cfRule type="cellIs" dxfId="3443" priority="7747" operator="lessThan">
      <formula>0</formula>
    </cfRule>
  </conditionalFormatting>
  <conditionalFormatting sqref="F136:G1048576 G86:G135">
    <cfRule type="cellIs" dxfId="3442" priority="7746" operator="lessThan">
      <formula>0</formula>
    </cfRule>
  </conditionalFormatting>
  <conditionalFormatting sqref="F136:G1048576 G86:G135">
    <cfRule type="cellIs" dxfId="3441" priority="7745" operator="lessThan">
      <formula>0</formula>
    </cfRule>
  </conditionalFormatting>
  <conditionalFormatting sqref="F136:G1048576 G86:G135">
    <cfRule type="cellIs" dxfId="3440" priority="7744" operator="lessThan">
      <formula>0</formula>
    </cfRule>
  </conditionalFormatting>
  <conditionalFormatting sqref="F136:G1048576 G86:G135">
    <cfRule type="cellIs" dxfId="3439" priority="7743" operator="lessThan">
      <formula>0</formula>
    </cfRule>
  </conditionalFormatting>
  <conditionalFormatting sqref="F136:G1048576 G86:G135">
    <cfRule type="cellIs" dxfId="3438" priority="7742" operator="lessThan">
      <formula>0</formula>
    </cfRule>
  </conditionalFormatting>
  <conditionalFormatting sqref="F136:G1048576 G86:G135">
    <cfRule type="cellIs" dxfId="3437" priority="7741" operator="lessThan">
      <formula>0</formula>
    </cfRule>
  </conditionalFormatting>
  <conditionalFormatting sqref="F136:G1048576 G86:G135">
    <cfRule type="cellIs" dxfId="3436" priority="7740" operator="lessThan">
      <formula>0</formula>
    </cfRule>
  </conditionalFormatting>
  <conditionalFormatting sqref="F136:G1048576 G86:G135">
    <cfRule type="cellIs" dxfId="3435" priority="7739" operator="lessThan">
      <formula>0</formula>
    </cfRule>
  </conditionalFormatting>
  <conditionalFormatting sqref="F136:G1048576 G86:G135">
    <cfRule type="cellIs" dxfId="3434" priority="7738" operator="lessThan">
      <formula>0</formula>
    </cfRule>
  </conditionalFormatting>
  <conditionalFormatting sqref="F136:G1048576 G86:G135">
    <cfRule type="cellIs" dxfId="3433" priority="7737" operator="lessThan">
      <formula>0</formula>
    </cfRule>
  </conditionalFormatting>
  <conditionalFormatting sqref="F136:G1048576 G86:G135">
    <cfRule type="cellIs" dxfId="3432" priority="7736" operator="lessThan">
      <formula>0</formula>
    </cfRule>
  </conditionalFormatting>
  <conditionalFormatting sqref="F136:G1048576 G86:G135">
    <cfRule type="cellIs" dxfId="3431" priority="7735" operator="lessThan">
      <formula>0</formula>
    </cfRule>
  </conditionalFormatting>
  <conditionalFormatting sqref="F136:G1048576 G86:G135">
    <cfRule type="cellIs" dxfId="3430" priority="7734" operator="lessThan">
      <formula>0</formula>
    </cfRule>
  </conditionalFormatting>
  <conditionalFormatting sqref="F136:G1048576 G86:G135">
    <cfRule type="cellIs" dxfId="3429" priority="7733" operator="lessThan">
      <formula>0</formula>
    </cfRule>
  </conditionalFormatting>
  <conditionalFormatting sqref="F136:G1048576 G86:G135">
    <cfRule type="cellIs" dxfId="3428" priority="7732" operator="lessThan">
      <formula>0</formula>
    </cfRule>
  </conditionalFormatting>
  <conditionalFormatting sqref="F136:G1048576 G86:G135">
    <cfRule type="cellIs" dxfId="3427" priority="7731" operator="lessThan">
      <formula>0</formula>
    </cfRule>
  </conditionalFormatting>
  <conditionalFormatting sqref="F136:G1048576 G86:G135">
    <cfRule type="cellIs" dxfId="3426" priority="7730" operator="lessThan">
      <formula>0</formula>
    </cfRule>
  </conditionalFormatting>
  <conditionalFormatting sqref="F136:G1048576 G86:G135">
    <cfRule type="cellIs" dxfId="3425" priority="7729" operator="lessThan">
      <formula>0</formula>
    </cfRule>
  </conditionalFormatting>
  <conditionalFormatting sqref="F136:G1048576 G86:G135">
    <cfRule type="cellIs" dxfId="3424" priority="7728" operator="lessThan">
      <formula>0</formula>
    </cfRule>
  </conditionalFormatting>
  <conditionalFormatting sqref="F136:G1048576 G86:G135">
    <cfRule type="cellIs" dxfId="3423" priority="7727" operator="lessThan">
      <formula>0</formula>
    </cfRule>
  </conditionalFormatting>
  <conditionalFormatting sqref="F136:G1048576 G86:G135">
    <cfRule type="cellIs" dxfId="3422" priority="7726" operator="lessThan">
      <formula>0</formula>
    </cfRule>
  </conditionalFormatting>
  <conditionalFormatting sqref="F136:G1048576 G86:G135">
    <cfRule type="cellIs" dxfId="3421" priority="7725" operator="lessThan">
      <formula>0</formula>
    </cfRule>
  </conditionalFormatting>
  <conditionalFormatting sqref="F136:G1048576 G86:G135">
    <cfRule type="cellIs" dxfId="3420" priority="7724" operator="lessThan">
      <formula>0</formula>
    </cfRule>
  </conditionalFormatting>
  <conditionalFormatting sqref="F136:G1048576 G86:G135">
    <cfRule type="cellIs" dxfId="3419" priority="7723" operator="lessThan">
      <formula>0</formula>
    </cfRule>
  </conditionalFormatting>
  <conditionalFormatting sqref="F136:G1048576 G86:G135">
    <cfRule type="cellIs" dxfId="3418" priority="7722" operator="lessThan">
      <formula>0</formula>
    </cfRule>
  </conditionalFormatting>
  <conditionalFormatting sqref="F136:G1048576 G86:G135">
    <cfRule type="cellIs" dxfId="3417" priority="7721" operator="lessThan">
      <formula>0</formula>
    </cfRule>
  </conditionalFormatting>
  <conditionalFormatting sqref="F136:G1048576 G86:G135">
    <cfRule type="cellIs" dxfId="3416" priority="7720" operator="lessThan">
      <formula>0</formula>
    </cfRule>
  </conditionalFormatting>
  <conditionalFormatting sqref="F136:G1048576 G86:G135">
    <cfRule type="cellIs" dxfId="3415" priority="7719" operator="lessThan">
      <formula>0</formula>
    </cfRule>
  </conditionalFormatting>
  <conditionalFormatting sqref="F136:G1048576 G86:G135">
    <cfRule type="cellIs" dxfId="3414" priority="7718" operator="lessThan">
      <formula>0</formula>
    </cfRule>
  </conditionalFormatting>
  <conditionalFormatting sqref="F136:G1048576 G86:G135">
    <cfRule type="cellIs" dxfId="3413" priority="7717" operator="lessThan">
      <formula>0</formula>
    </cfRule>
  </conditionalFormatting>
  <conditionalFormatting sqref="F136:G1048576 G86:G135">
    <cfRule type="cellIs" dxfId="3412" priority="7716" operator="lessThan">
      <formula>0</formula>
    </cfRule>
  </conditionalFormatting>
  <conditionalFormatting sqref="F136:G1048576 G86:G135">
    <cfRule type="cellIs" dxfId="3411" priority="7715" operator="lessThan">
      <formula>0</formula>
    </cfRule>
  </conditionalFormatting>
  <conditionalFormatting sqref="F136:G1048576 G86:G135">
    <cfRule type="cellIs" dxfId="3410" priority="7714" operator="lessThan">
      <formula>0</formula>
    </cfRule>
  </conditionalFormatting>
  <conditionalFormatting sqref="F136:G1048576 G86:G135">
    <cfRule type="cellIs" dxfId="3409" priority="7713" operator="lessThan">
      <formula>0</formula>
    </cfRule>
  </conditionalFormatting>
  <conditionalFormatting sqref="F136:G1048576 G86:G135">
    <cfRule type="cellIs" dxfId="3408" priority="7712" operator="lessThan">
      <formula>0</formula>
    </cfRule>
  </conditionalFormatting>
  <conditionalFormatting sqref="F136:G1048576 G86:G135">
    <cfRule type="cellIs" dxfId="3407" priority="7711" operator="lessThan">
      <formula>0</formula>
    </cfRule>
  </conditionalFormatting>
  <conditionalFormatting sqref="F136:G1048576 G86:G135">
    <cfRule type="cellIs" dxfId="3406" priority="7710" operator="lessThan">
      <formula>0</formula>
    </cfRule>
  </conditionalFormatting>
  <conditionalFormatting sqref="F136:G1048576 G86:G135">
    <cfRule type="cellIs" dxfId="3405" priority="7709" operator="lessThan">
      <formula>0</formula>
    </cfRule>
  </conditionalFormatting>
  <conditionalFormatting sqref="F136:G1048576 G86:G135">
    <cfRule type="cellIs" dxfId="3404" priority="7708" operator="lessThan">
      <formula>0</formula>
    </cfRule>
  </conditionalFormatting>
  <conditionalFormatting sqref="F136:G1048576 G86:G135">
    <cfRule type="cellIs" dxfId="3403" priority="7707" operator="lessThan">
      <formula>0</formula>
    </cfRule>
  </conditionalFormatting>
  <conditionalFormatting sqref="F136:G1048576 G86:G135">
    <cfRule type="cellIs" dxfId="3402" priority="7706" operator="lessThan">
      <formula>0</formula>
    </cfRule>
  </conditionalFormatting>
  <conditionalFormatting sqref="F136:G1048576 G86:G135">
    <cfRule type="cellIs" dxfId="3401" priority="7705" operator="lessThan">
      <formula>0</formula>
    </cfRule>
  </conditionalFormatting>
  <conditionalFormatting sqref="F136:G1048576 G86:G135">
    <cfRule type="cellIs" dxfId="3400" priority="7704" operator="lessThan">
      <formula>0</formula>
    </cfRule>
  </conditionalFormatting>
  <conditionalFormatting sqref="F136:G1048576 G86:G135">
    <cfRule type="cellIs" dxfId="3399" priority="7703" operator="lessThan">
      <formula>0</formula>
    </cfRule>
  </conditionalFormatting>
  <conditionalFormatting sqref="F136:G1048576 G86:G135">
    <cfRule type="cellIs" dxfId="3398" priority="7702" operator="lessThan">
      <formula>0</formula>
    </cfRule>
  </conditionalFormatting>
  <conditionalFormatting sqref="F136:G1048576 G86:G135">
    <cfRule type="cellIs" dxfId="3397" priority="7701" operator="lessThan">
      <formula>0</formula>
    </cfRule>
  </conditionalFormatting>
  <conditionalFormatting sqref="F136:G1048576 G86:G135">
    <cfRule type="cellIs" dxfId="3396" priority="7700" operator="lessThan">
      <formula>0</formula>
    </cfRule>
  </conditionalFormatting>
  <conditionalFormatting sqref="F136:G1048576 G86:G135">
    <cfRule type="cellIs" dxfId="3395" priority="7699" operator="lessThan">
      <formula>0</formula>
    </cfRule>
  </conditionalFormatting>
  <conditionalFormatting sqref="F136:G1048576 G86:G135">
    <cfRule type="cellIs" dxfId="3394" priority="7698" operator="lessThan">
      <formula>0</formula>
    </cfRule>
  </conditionalFormatting>
  <conditionalFormatting sqref="F136:G1048576 G86:G135">
    <cfRule type="cellIs" dxfId="3393" priority="7697" operator="lessThan">
      <formula>0</formula>
    </cfRule>
  </conditionalFormatting>
  <conditionalFormatting sqref="F136:G1048576 G86:G135">
    <cfRule type="cellIs" dxfId="3392" priority="7696" operator="lessThan">
      <formula>0</formula>
    </cfRule>
  </conditionalFormatting>
  <conditionalFormatting sqref="F136:G1048576 G86:G135">
    <cfRule type="cellIs" dxfId="3391" priority="7695" operator="lessThan">
      <formula>0</formula>
    </cfRule>
  </conditionalFormatting>
  <conditionalFormatting sqref="F136:G1048576 G86:G135">
    <cfRule type="cellIs" dxfId="3390" priority="7694" operator="lessThan">
      <formula>0</formula>
    </cfRule>
  </conditionalFormatting>
  <conditionalFormatting sqref="F136:G1048576 G86:G135">
    <cfRule type="cellIs" dxfId="3389" priority="7693" operator="lessThan">
      <formula>0</formula>
    </cfRule>
  </conditionalFormatting>
  <conditionalFormatting sqref="F136:G1048576 G86:G135">
    <cfRule type="cellIs" dxfId="3388" priority="7692" operator="lessThan">
      <formula>0</formula>
    </cfRule>
  </conditionalFormatting>
  <conditionalFormatting sqref="F136:G1048576 G86:G135">
    <cfRule type="cellIs" dxfId="3387" priority="7691" operator="lessThan">
      <formula>0</formula>
    </cfRule>
  </conditionalFormatting>
  <conditionalFormatting sqref="F136:G1048576 G86:G135">
    <cfRule type="cellIs" dxfId="3386" priority="7690" operator="lessThan">
      <formula>0</formula>
    </cfRule>
  </conditionalFormatting>
  <conditionalFormatting sqref="F136:G1048576 G86:G135">
    <cfRule type="cellIs" dxfId="3385" priority="7689" operator="lessThan">
      <formula>0</formula>
    </cfRule>
  </conditionalFormatting>
  <conditionalFormatting sqref="F136:G1048576 G86:G135">
    <cfRule type="cellIs" dxfId="3384" priority="7688" operator="lessThan">
      <formula>0</formula>
    </cfRule>
  </conditionalFormatting>
  <conditionalFormatting sqref="F136:G1048576 G86:G135">
    <cfRule type="cellIs" dxfId="3383" priority="7687" operator="lessThan">
      <formula>0</formula>
    </cfRule>
  </conditionalFormatting>
  <conditionalFormatting sqref="F136:G1048576 G86:G135">
    <cfRule type="cellIs" dxfId="3382" priority="7686" operator="lessThan">
      <formula>0</formula>
    </cfRule>
  </conditionalFormatting>
  <conditionalFormatting sqref="F136:G1048576 G86:G135">
    <cfRule type="cellIs" dxfId="3381" priority="7685" operator="lessThan">
      <formula>0</formula>
    </cfRule>
  </conditionalFormatting>
  <conditionalFormatting sqref="F136:G1048576 G86:G135">
    <cfRule type="cellIs" dxfId="3380" priority="7684" operator="lessThan">
      <formula>0</formula>
    </cfRule>
  </conditionalFormatting>
  <conditionalFormatting sqref="F136:G1048576 G86:G135">
    <cfRule type="cellIs" dxfId="3379" priority="7683" operator="lessThan">
      <formula>0</formula>
    </cfRule>
  </conditionalFormatting>
  <conditionalFormatting sqref="F136:G1048576 G86:G135">
    <cfRule type="cellIs" dxfId="3378" priority="7682" operator="lessThan">
      <formula>0</formula>
    </cfRule>
  </conditionalFormatting>
  <conditionalFormatting sqref="F136:G1048576 G86:G135">
    <cfRule type="cellIs" dxfId="3377" priority="7681" operator="lessThan">
      <formula>0</formula>
    </cfRule>
  </conditionalFormatting>
  <conditionalFormatting sqref="F136:G1048576 G86:G135">
    <cfRule type="cellIs" dxfId="3376" priority="7680" operator="lessThan">
      <formula>0</formula>
    </cfRule>
  </conditionalFormatting>
  <conditionalFormatting sqref="F136:G1048576 G86:G135">
    <cfRule type="cellIs" dxfId="3375" priority="7679" operator="lessThan">
      <formula>0</formula>
    </cfRule>
  </conditionalFormatting>
  <conditionalFormatting sqref="F136:G1048576 G86:G135">
    <cfRule type="cellIs" dxfId="3374" priority="7678" operator="lessThan">
      <formula>0</formula>
    </cfRule>
  </conditionalFormatting>
  <conditionalFormatting sqref="F136:G1048576 G86:G135">
    <cfRule type="cellIs" dxfId="3373" priority="7677" operator="lessThan">
      <formula>0</formula>
    </cfRule>
  </conditionalFormatting>
  <conditionalFormatting sqref="F136:G1048576 G86:G135">
    <cfRule type="cellIs" dxfId="3372" priority="7676" operator="lessThan">
      <formula>0</formula>
    </cfRule>
  </conditionalFormatting>
  <conditionalFormatting sqref="F136:G1048576 G86:G135">
    <cfRule type="cellIs" dxfId="3371" priority="7675" operator="lessThan">
      <formula>0</formula>
    </cfRule>
  </conditionalFormatting>
  <conditionalFormatting sqref="F136:G1048576 G86:G135">
    <cfRule type="cellIs" dxfId="3370" priority="7674" operator="lessThan">
      <formula>0</formula>
    </cfRule>
  </conditionalFormatting>
  <conditionalFormatting sqref="F136:G1048576 G86:G135">
    <cfRule type="cellIs" dxfId="3369" priority="7673" operator="lessThan">
      <formula>0</formula>
    </cfRule>
  </conditionalFormatting>
  <conditionalFormatting sqref="F136:G1048576 G86:G135">
    <cfRule type="cellIs" dxfId="3368" priority="7672" operator="lessThan">
      <formula>0</formula>
    </cfRule>
  </conditionalFormatting>
  <conditionalFormatting sqref="F136:G1048576 G86:G135">
    <cfRule type="cellIs" dxfId="3367" priority="7671" operator="lessThan">
      <formula>0</formula>
    </cfRule>
  </conditionalFormatting>
  <conditionalFormatting sqref="F136:G1048576 G86:G135">
    <cfRule type="cellIs" dxfId="3366" priority="7670" operator="lessThan">
      <formula>0</formula>
    </cfRule>
  </conditionalFormatting>
  <conditionalFormatting sqref="F136:G1048576 G86:G135">
    <cfRule type="cellIs" dxfId="3365" priority="7669" operator="lessThan">
      <formula>0</formula>
    </cfRule>
  </conditionalFormatting>
  <conditionalFormatting sqref="F136:G1048576 G86:G135">
    <cfRule type="cellIs" dxfId="3364" priority="7668" operator="lessThan">
      <formula>0</formula>
    </cfRule>
  </conditionalFormatting>
  <conditionalFormatting sqref="F136:G1048576 G86:G135">
    <cfRule type="cellIs" dxfId="3363" priority="7667" operator="lessThan">
      <formula>0</formula>
    </cfRule>
  </conditionalFormatting>
  <conditionalFormatting sqref="F136:G1048576 G86:G135">
    <cfRule type="cellIs" dxfId="3362" priority="7666" operator="lessThan">
      <formula>0</formula>
    </cfRule>
  </conditionalFormatting>
  <conditionalFormatting sqref="F136:G1048576 G86:G135">
    <cfRule type="cellIs" dxfId="3361" priority="7665" operator="lessThan">
      <formula>0</formula>
    </cfRule>
  </conditionalFormatting>
  <conditionalFormatting sqref="F136:G1048576 G86:G135">
    <cfRule type="cellIs" dxfId="3360" priority="7664" operator="lessThan">
      <formula>0</formula>
    </cfRule>
  </conditionalFormatting>
  <conditionalFormatting sqref="F136:G1048576 G86:G135">
    <cfRule type="cellIs" dxfId="3359" priority="7663" operator="lessThan">
      <formula>0</formula>
    </cfRule>
  </conditionalFormatting>
  <conditionalFormatting sqref="F136:G1048576 G86:G135">
    <cfRule type="cellIs" dxfId="3358" priority="7662" operator="lessThan">
      <formula>0</formula>
    </cfRule>
  </conditionalFormatting>
  <conditionalFormatting sqref="F136:G1048576 G86:G135">
    <cfRule type="cellIs" dxfId="3357" priority="7661" operator="lessThan">
      <formula>0</formula>
    </cfRule>
  </conditionalFormatting>
  <conditionalFormatting sqref="F136:G1048576 G86:G135">
    <cfRule type="cellIs" dxfId="3356" priority="7660" operator="lessThan">
      <formula>0</formula>
    </cfRule>
  </conditionalFormatting>
  <conditionalFormatting sqref="F136:G1048576 G86:G135">
    <cfRule type="cellIs" dxfId="3355" priority="7659" operator="lessThan">
      <formula>0</formula>
    </cfRule>
  </conditionalFormatting>
  <conditionalFormatting sqref="F136:G1048576 G86:G135">
    <cfRule type="cellIs" dxfId="3354" priority="7658" operator="lessThan">
      <formula>0</formula>
    </cfRule>
  </conditionalFormatting>
  <conditionalFormatting sqref="F136:G1048576 G86:G135">
    <cfRule type="cellIs" dxfId="3353" priority="7657" operator="lessThan">
      <formula>0</formula>
    </cfRule>
  </conditionalFormatting>
  <conditionalFormatting sqref="F136:G1048576 G86:G135">
    <cfRule type="cellIs" dxfId="3352" priority="7656" operator="lessThan">
      <formula>0</formula>
    </cfRule>
  </conditionalFormatting>
  <conditionalFormatting sqref="F136:G1048576 G86:G135">
    <cfRule type="cellIs" dxfId="3351" priority="7655" operator="lessThan">
      <formula>0</formula>
    </cfRule>
  </conditionalFormatting>
  <conditionalFormatting sqref="F136:G1048576 G86:G135">
    <cfRule type="cellIs" dxfId="3350" priority="7654" operator="lessThan">
      <formula>0</formula>
    </cfRule>
  </conditionalFormatting>
  <conditionalFormatting sqref="F136:G1048576 G86:G135">
    <cfRule type="cellIs" dxfId="3349" priority="7653" operator="lessThan">
      <formula>0</formula>
    </cfRule>
  </conditionalFormatting>
  <conditionalFormatting sqref="F136:G1048576 G86:G135">
    <cfRule type="cellIs" dxfId="3348" priority="7652" operator="lessThan">
      <formula>0</formula>
    </cfRule>
  </conditionalFormatting>
  <conditionalFormatting sqref="F136:G1048576 G86:G135">
    <cfRule type="cellIs" dxfId="3347" priority="7651" operator="lessThan">
      <formula>0</formula>
    </cfRule>
  </conditionalFormatting>
  <conditionalFormatting sqref="F136:G1048576 G86:G135">
    <cfRule type="cellIs" dxfId="3346" priority="7650" operator="lessThan">
      <formula>0</formula>
    </cfRule>
  </conditionalFormatting>
  <conditionalFormatting sqref="F136:G1048576 G86:G135">
    <cfRule type="cellIs" dxfId="3345" priority="7649" operator="lessThan">
      <formula>0</formula>
    </cfRule>
  </conditionalFormatting>
  <conditionalFormatting sqref="F136:G1048576 G86:G135">
    <cfRule type="cellIs" dxfId="3344" priority="7648" operator="lessThan">
      <formula>0</formula>
    </cfRule>
  </conditionalFormatting>
  <conditionalFormatting sqref="F136:G1048576 G86:G135">
    <cfRule type="cellIs" dxfId="3343" priority="7647" operator="lessThan">
      <formula>0</formula>
    </cfRule>
  </conditionalFormatting>
  <conditionalFormatting sqref="F136:G1048576 G86:G135">
    <cfRule type="cellIs" dxfId="3342" priority="7646" operator="lessThan">
      <formula>0</formula>
    </cfRule>
  </conditionalFormatting>
  <conditionalFormatting sqref="F136:G1048576 G86:G135">
    <cfRule type="cellIs" dxfId="3341" priority="7645" operator="lessThan">
      <formula>0</formula>
    </cfRule>
  </conditionalFormatting>
  <conditionalFormatting sqref="F136:G1048576 G86:G135">
    <cfRule type="cellIs" dxfId="3340" priority="7644" operator="lessThan">
      <formula>0</formula>
    </cfRule>
  </conditionalFormatting>
  <conditionalFormatting sqref="F136:G1048576 G86:G135">
    <cfRule type="cellIs" dxfId="3339" priority="7643" operator="lessThan">
      <formula>0</formula>
    </cfRule>
  </conditionalFormatting>
  <conditionalFormatting sqref="F136:G1048576 G86:G135">
    <cfRule type="cellIs" dxfId="3338" priority="7642" operator="lessThan">
      <formula>0</formula>
    </cfRule>
  </conditionalFormatting>
  <conditionalFormatting sqref="F136:G1048576 G86:G135">
    <cfRule type="cellIs" dxfId="3337" priority="7641" operator="lessThan">
      <formula>0</formula>
    </cfRule>
  </conditionalFormatting>
  <conditionalFormatting sqref="F136:G1048576 G86:G135">
    <cfRule type="cellIs" dxfId="3336" priority="7640" operator="lessThan">
      <formula>0</formula>
    </cfRule>
  </conditionalFormatting>
  <conditionalFormatting sqref="F136:G1048576 G86:G135">
    <cfRule type="cellIs" dxfId="3335" priority="7639" operator="lessThan">
      <formula>0</formula>
    </cfRule>
  </conditionalFormatting>
  <conditionalFormatting sqref="F136:G1048576 G86:G135">
    <cfRule type="cellIs" dxfId="3334" priority="7638" operator="lessThan">
      <formula>0</formula>
    </cfRule>
  </conditionalFormatting>
  <conditionalFormatting sqref="F136:G1048576 G86:G135">
    <cfRule type="cellIs" dxfId="3333" priority="7637" operator="lessThan">
      <formula>0</formula>
    </cfRule>
  </conditionalFormatting>
  <conditionalFormatting sqref="F136:G1048576 G86:G135">
    <cfRule type="cellIs" dxfId="3332" priority="7636" operator="lessThan">
      <formula>0</formula>
    </cfRule>
  </conditionalFormatting>
  <conditionalFormatting sqref="F136:G1048576 G86:G135">
    <cfRule type="cellIs" dxfId="3331" priority="7635" operator="lessThan">
      <formula>0</formula>
    </cfRule>
  </conditionalFormatting>
  <conditionalFormatting sqref="F136:G1048576 G86:G135">
    <cfRule type="cellIs" dxfId="3330" priority="7634" operator="lessThan">
      <formula>0</formula>
    </cfRule>
  </conditionalFormatting>
  <conditionalFormatting sqref="F136:G1048576 G86:G135">
    <cfRule type="cellIs" dxfId="3329" priority="7633" operator="lessThan">
      <formula>0</formula>
    </cfRule>
  </conditionalFormatting>
  <conditionalFormatting sqref="F136:G1048576 G86:G135">
    <cfRule type="cellIs" dxfId="3328" priority="7632" operator="lessThan">
      <formula>0</formula>
    </cfRule>
  </conditionalFormatting>
  <conditionalFormatting sqref="F136:G1048576 G86:G135">
    <cfRule type="cellIs" dxfId="3327" priority="7631" operator="lessThan">
      <formula>0</formula>
    </cfRule>
  </conditionalFormatting>
  <conditionalFormatting sqref="F136:G1048576 G86:G135">
    <cfRule type="cellIs" dxfId="3326" priority="7630" operator="lessThan">
      <formula>0</formula>
    </cfRule>
  </conditionalFormatting>
  <conditionalFormatting sqref="F136:G1048576 G86:G135">
    <cfRule type="cellIs" dxfId="3325" priority="7629" operator="lessThan">
      <formula>0</formula>
    </cfRule>
  </conditionalFormatting>
  <conditionalFormatting sqref="F136:G1048576 G86:G135">
    <cfRule type="cellIs" dxfId="3324" priority="7628" operator="lessThan">
      <formula>0</formula>
    </cfRule>
  </conditionalFormatting>
  <conditionalFormatting sqref="F136:G1048576 G86:G135">
    <cfRule type="cellIs" dxfId="3323" priority="7627" operator="lessThan">
      <formula>0</formula>
    </cfRule>
  </conditionalFormatting>
  <conditionalFormatting sqref="F136:G1048576 G86:G135">
    <cfRule type="cellIs" dxfId="3322" priority="7626" operator="lessThan">
      <formula>0</formula>
    </cfRule>
  </conditionalFormatting>
  <conditionalFormatting sqref="F136:G1048576 G86:G135">
    <cfRule type="cellIs" dxfId="3321" priority="7625" operator="lessThan">
      <formula>0</formula>
    </cfRule>
  </conditionalFormatting>
  <conditionalFormatting sqref="F136:G1048576 G86:G135">
    <cfRule type="cellIs" dxfId="3320" priority="7624" operator="lessThan">
      <formula>0</formula>
    </cfRule>
  </conditionalFormatting>
  <conditionalFormatting sqref="F136:G1048576 G86:G135">
    <cfRule type="cellIs" dxfId="3319" priority="7623" operator="lessThan">
      <formula>0</formula>
    </cfRule>
  </conditionalFormatting>
  <conditionalFormatting sqref="F136:G1048576 G86:G135">
    <cfRule type="cellIs" dxfId="3318" priority="7622" operator="lessThan">
      <formula>0</formula>
    </cfRule>
  </conditionalFormatting>
  <conditionalFormatting sqref="F136:G1048576 G86:G135">
    <cfRule type="cellIs" dxfId="3317" priority="7621" operator="lessThan">
      <formula>0</formula>
    </cfRule>
  </conditionalFormatting>
  <conditionalFormatting sqref="F136:G1048576 G86:G135">
    <cfRule type="cellIs" dxfId="3316" priority="7620" operator="lessThan">
      <formula>0</formula>
    </cfRule>
  </conditionalFormatting>
  <conditionalFormatting sqref="F136:G1048576 G86:G135">
    <cfRule type="cellIs" dxfId="3315" priority="7619" operator="lessThan">
      <formula>0</formula>
    </cfRule>
  </conditionalFormatting>
  <conditionalFormatting sqref="F136:G1048576 G86:G135">
    <cfRule type="cellIs" dxfId="3314" priority="7618" operator="lessThan">
      <formula>0</formula>
    </cfRule>
  </conditionalFormatting>
  <conditionalFormatting sqref="F136:G1048576 G86:G135">
    <cfRule type="cellIs" dxfId="3313" priority="7617" operator="lessThan">
      <formula>0</formula>
    </cfRule>
  </conditionalFormatting>
  <conditionalFormatting sqref="F136:G1048576 G86:G135">
    <cfRule type="cellIs" dxfId="3312" priority="7616" operator="lessThan">
      <formula>0</formula>
    </cfRule>
  </conditionalFormatting>
  <conditionalFormatting sqref="F136:G1048576 G86:G135">
    <cfRule type="cellIs" dxfId="3311" priority="7615" operator="lessThan">
      <formula>0</formula>
    </cfRule>
  </conditionalFormatting>
  <conditionalFormatting sqref="F136:G1048576 G86:G135">
    <cfRule type="cellIs" dxfId="3310" priority="7614" operator="lessThan">
      <formula>0</formula>
    </cfRule>
  </conditionalFormatting>
  <conditionalFormatting sqref="F136:G1048576 G86:G135">
    <cfRule type="cellIs" dxfId="3309" priority="7613" operator="lessThan">
      <formula>0</formula>
    </cfRule>
  </conditionalFormatting>
  <conditionalFormatting sqref="F136:G1048576 G86:G135">
    <cfRule type="cellIs" dxfId="3308" priority="7612" operator="lessThan">
      <formula>0</formula>
    </cfRule>
  </conditionalFormatting>
  <conditionalFormatting sqref="F136:G1048576 G86:G135">
    <cfRule type="cellIs" dxfId="3307" priority="7611" operator="lessThan">
      <formula>0</formula>
    </cfRule>
  </conditionalFormatting>
  <conditionalFormatting sqref="F136:G1048576 G86:G135">
    <cfRule type="cellIs" dxfId="3306" priority="7610" operator="lessThan">
      <formula>0</formula>
    </cfRule>
  </conditionalFormatting>
  <conditionalFormatting sqref="F136:G1048576 G86:G135">
    <cfRule type="cellIs" dxfId="3305" priority="7609" operator="lessThan">
      <formula>0</formula>
    </cfRule>
  </conditionalFormatting>
  <conditionalFormatting sqref="F136:G1048576 G86:G135">
    <cfRule type="cellIs" dxfId="3304" priority="7608" operator="lessThan">
      <formula>0</formula>
    </cfRule>
  </conditionalFormatting>
  <conditionalFormatting sqref="F136:G1048576 G86:G135">
    <cfRule type="cellIs" dxfId="3303" priority="7607" operator="lessThan">
      <formula>0</formula>
    </cfRule>
  </conditionalFormatting>
  <conditionalFormatting sqref="F136:G1048576 G86:G135">
    <cfRule type="cellIs" dxfId="3302" priority="7606" operator="lessThan">
      <formula>0</formula>
    </cfRule>
  </conditionalFormatting>
  <conditionalFormatting sqref="F136:G1048576 G86:G135">
    <cfRule type="cellIs" dxfId="3301" priority="7605" operator="lessThan">
      <formula>0</formula>
    </cfRule>
  </conditionalFormatting>
  <conditionalFormatting sqref="F136:G1048576 G86:G135">
    <cfRule type="cellIs" dxfId="3300" priority="7604" operator="lessThan">
      <formula>0</formula>
    </cfRule>
  </conditionalFormatting>
  <conditionalFormatting sqref="F136:G1048576 G61:G135">
    <cfRule type="cellIs" dxfId="3299" priority="7603" operator="lessThan">
      <formula>0</formula>
    </cfRule>
  </conditionalFormatting>
  <conditionalFormatting sqref="F136:G1048576 G61:G135">
    <cfRule type="cellIs" dxfId="3298" priority="7602" operator="lessThan">
      <formula>0</formula>
    </cfRule>
  </conditionalFormatting>
  <conditionalFormatting sqref="F136:G1048576 G61:G135">
    <cfRule type="cellIs" dxfId="3297" priority="7601" operator="lessThan">
      <formula>0</formula>
    </cfRule>
  </conditionalFormatting>
  <conditionalFormatting sqref="F136:G1048576 G61:G135">
    <cfRule type="cellIs" dxfId="3296" priority="7600" operator="lessThan">
      <formula>0</formula>
    </cfRule>
  </conditionalFormatting>
  <conditionalFormatting sqref="F136:G1048576 G61:G135">
    <cfRule type="cellIs" dxfId="3295" priority="7599" operator="lessThan">
      <formula>0</formula>
    </cfRule>
  </conditionalFormatting>
  <conditionalFormatting sqref="F136:G1048576 G61:G135">
    <cfRule type="cellIs" dxfId="3294" priority="7598" operator="lessThan">
      <formula>0</formula>
    </cfRule>
  </conditionalFormatting>
  <conditionalFormatting sqref="F136:G1048576 G61:G135">
    <cfRule type="cellIs" dxfId="3293" priority="7597" operator="lessThan">
      <formula>0</formula>
    </cfRule>
  </conditionalFormatting>
  <conditionalFormatting sqref="F136:G1048576 G61:G135">
    <cfRule type="cellIs" dxfId="3292" priority="7596" operator="lessThan">
      <formula>0</formula>
    </cfRule>
  </conditionalFormatting>
  <conditionalFormatting sqref="F136:G1048576 G61:G135">
    <cfRule type="cellIs" dxfId="3291" priority="7595" operator="lessThan">
      <formula>0</formula>
    </cfRule>
  </conditionalFormatting>
  <conditionalFormatting sqref="F136:G1048576 G61:G135">
    <cfRule type="cellIs" dxfId="3290" priority="7594" operator="lessThan">
      <formula>0</formula>
    </cfRule>
  </conditionalFormatting>
  <conditionalFormatting sqref="F136:G1048576 G61:G135">
    <cfRule type="cellIs" dxfId="3289" priority="7593" operator="lessThan">
      <formula>0</formula>
    </cfRule>
  </conditionalFormatting>
  <conditionalFormatting sqref="F136:G1048576 G61:G135">
    <cfRule type="cellIs" dxfId="3288" priority="7592" operator="lessThan">
      <formula>0</formula>
    </cfRule>
  </conditionalFormatting>
  <conditionalFormatting sqref="F136:G1048576 G61:G135">
    <cfRule type="cellIs" dxfId="3287" priority="7591" operator="lessThan">
      <formula>0</formula>
    </cfRule>
  </conditionalFormatting>
  <conditionalFormatting sqref="F136:G1048576 G61:G135">
    <cfRule type="cellIs" dxfId="3286" priority="7590" operator="lessThan">
      <formula>0</formula>
    </cfRule>
  </conditionalFormatting>
  <conditionalFormatting sqref="F136:G1048576 G61:G135">
    <cfRule type="cellIs" dxfId="3285" priority="7589" operator="lessThan">
      <formula>0</formula>
    </cfRule>
  </conditionalFormatting>
  <conditionalFormatting sqref="F136:G1048576 G61:G135">
    <cfRule type="cellIs" dxfId="3284" priority="7588" operator="lessThan">
      <formula>0</formula>
    </cfRule>
  </conditionalFormatting>
  <conditionalFormatting sqref="F136:G1048576 G61:G135">
    <cfRule type="cellIs" dxfId="3283" priority="7587" operator="lessThan">
      <formula>0</formula>
    </cfRule>
  </conditionalFormatting>
  <conditionalFormatting sqref="F136:G1048576 G61:G135">
    <cfRule type="cellIs" dxfId="3282" priority="7586" operator="lessThan">
      <formula>0</formula>
    </cfRule>
  </conditionalFormatting>
  <conditionalFormatting sqref="F136:G1048576 G61:G135">
    <cfRule type="cellIs" dxfId="3281" priority="7585" operator="lessThan">
      <formula>0</formula>
    </cfRule>
  </conditionalFormatting>
  <conditionalFormatting sqref="F136:G1048576 G61:G135">
    <cfRule type="cellIs" dxfId="3280" priority="7584" operator="lessThan">
      <formula>0</formula>
    </cfRule>
  </conditionalFormatting>
  <conditionalFormatting sqref="F136:G1048576 G61:G135">
    <cfRule type="cellIs" dxfId="3279" priority="7583" operator="lessThan">
      <formula>0</formula>
    </cfRule>
  </conditionalFormatting>
  <conditionalFormatting sqref="F136:G1048576 G61:G135">
    <cfRule type="cellIs" dxfId="3278" priority="7582" operator="lessThan">
      <formula>0</formula>
    </cfRule>
  </conditionalFormatting>
  <conditionalFormatting sqref="F136:G1048576 G61:G135">
    <cfRule type="cellIs" dxfId="3277" priority="7581" operator="lessThan">
      <formula>0</formula>
    </cfRule>
  </conditionalFormatting>
  <conditionalFormatting sqref="F136:G1048576 G61:G135">
    <cfRule type="cellIs" dxfId="3276" priority="7580" operator="lessThan">
      <formula>0</formula>
    </cfRule>
  </conditionalFormatting>
  <conditionalFormatting sqref="F136:G1048576 G61:G135">
    <cfRule type="cellIs" dxfId="3275" priority="7579" operator="lessThan">
      <formula>0</formula>
    </cfRule>
  </conditionalFormatting>
  <conditionalFormatting sqref="F136:G1048576 G61:G135">
    <cfRule type="cellIs" dxfId="3274" priority="7578" operator="lessThan">
      <formula>0</formula>
    </cfRule>
  </conditionalFormatting>
  <conditionalFormatting sqref="F136:G1048576 G61:G135">
    <cfRule type="cellIs" dxfId="3273" priority="7577" operator="lessThan">
      <formula>0</formula>
    </cfRule>
  </conditionalFormatting>
  <conditionalFormatting sqref="F136:G1048576 G61:G135">
    <cfRule type="cellIs" dxfId="3272" priority="7576" operator="lessThan">
      <formula>0</formula>
    </cfRule>
  </conditionalFormatting>
  <conditionalFormatting sqref="F136:G1048576 G61:G135">
    <cfRule type="cellIs" dxfId="3271" priority="7575" operator="lessThan">
      <formula>0</formula>
    </cfRule>
  </conditionalFormatting>
  <conditionalFormatting sqref="F136:G1048576 G61:G135">
    <cfRule type="cellIs" dxfId="3270" priority="7574" operator="lessThan">
      <formula>0</formula>
    </cfRule>
  </conditionalFormatting>
  <conditionalFormatting sqref="F136:G1048576 G61:G135">
    <cfRule type="cellIs" dxfId="3269" priority="7573" operator="lessThan">
      <formula>0</formula>
    </cfRule>
  </conditionalFormatting>
  <conditionalFormatting sqref="F136:G1048576 G61:G135">
    <cfRule type="cellIs" dxfId="3268" priority="7572" operator="lessThan">
      <formula>0</formula>
    </cfRule>
  </conditionalFormatting>
  <conditionalFormatting sqref="F136:G1048576 G61:G135">
    <cfRule type="cellIs" dxfId="3267" priority="7571" operator="lessThan">
      <formula>0</formula>
    </cfRule>
  </conditionalFormatting>
  <conditionalFormatting sqref="F136:G1048576 G61:G135">
    <cfRule type="cellIs" dxfId="3266" priority="7570" operator="lessThan">
      <formula>0</formula>
    </cfRule>
  </conditionalFormatting>
  <conditionalFormatting sqref="F136:G1048576 G61:G135">
    <cfRule type="cellIs" dxfId="3265" priority="7569" operator="lessThan">
      <formula>0</formula>
    </cfRule>
  </conditionalFormatting>
  <conditionalFormatting sqref="F136:G1048576 G61:G135">
    <cfRule type="cellIs" dxfId="3264" priority="7568" operator="lessThan">
      <formula>0</formula>
    </cfRule>
  </conditionalFormatting>
  <conditionalFormatting sqref="F136:G1048576 G61:G135">
    <cfRule type="cellIs" dxfId="3263" priority="7567" operator="lessThan">
      <formula>0</formula>
    </cfRule>
  </conditionalFormatting>
  <conditionalFormatting sqref="F136:G1048576 G61:G135">
    <cfRule type="cellIs" dxfId="3262" priority="7566" operator="lessThan">
      <formula>0</formula>
    </cfRule>
  </conditionalFormatting>
  <conditionalFormatting sqref="F136:G1048576 G61:G135">
    <cfRule type="cellIs" dxfId="3261" priority="7565" operator="lessThan">
      <formula>0</formula>
    </cfRule>
  </conditionalFormatting>
  <conditionalFormatting sqref="F136:G1048576 G61:G135">
    <cfRule type="cellIs" dxfId="3260" priority="7564" operator="lessThan">
      <formula>0</formula>
    </cfRule>
  </conditionalFormatting>
  <conditionalFormatting sqref="F136:G1048576 G61:G135">
    <cfRule type="cellIs" dxfId="3259" priority="7563" operator="lessThan">
      <formula>0</formula>
    </cfRule>
  </conditionalFormatting>
  <conditionalFormatting sqref="F136:G1048576 G61:G135">
    <cfRule type="cellIs" dxfId="3258" priority="7562" operator="lessThan">
      <formula>0</formula>
    </cfRule>
  </conditionalFormatting>
  <conditionalFormatting sqref="F136:G1048576 G61:G135">
    <cfRule type="cellIs" dxfId="3257" priority="7561" operator="lessThan">
      <formula>0</formula>
    </cfRule>
  </conditionalFormatting>
  <conditionalFormatting sqref="F136:G1048576 G61:G135">
    <cfRule type="cellIs" dxfId="3256" priority="7560" operator="lessThan">
      <formula>0</formula>
    </cfRule>
  </conditionalFormatting>
  <conditionalFormatting sqref="F136:G1048576 G61:G135">
    <cfRule type="cellIs" dxfId="3255" priority="7559" operator="lessThan">
      <formula>0</formula>
    </cfRule>
  </conditionalFormatting>
  <conditionalFormatting sqref="F136:G1048576 G61:G135">
    <cfRule type="cellIs" dxfId="3254" priority="7558" operator="lessThan">
      <formula>0</formula>
    </cfRule>
  </conditionalFormatting>
  <conditionalFormatting sqref="F136:G1048576 G61:G135">
    <cfRule type="cellIs" dxfId="3253" priority="7557" operator="lessThan">
      <formula>0</formula>
    </cfRule>
  </conditionalFormatting>
  <conditionalFormatting sqref="F136:G1048576 G61:G135">
    <cfRule type="cellIs" dxfId="3252" priority="7556" operator="lessThan">
      <formula>0</formula>
    </cfRule>
  </conditionalFormatting>
  <conditionalFormatting sqref="F136:G1048576 G61:G135">
    <cfRule type="cellIs" dxfId="3251" priority="7555" operator="lessThan">
      <formula>0</formula>
    </cfRule>
  </conditionalFormatting>
  <conditionalFormatting sqref="F136:G1048576 G61:G135">
    <cfRule type="cellIs" dxfId="3250" priority="7554" operator="lessThan">
      <formula>0</formula>
    </cfRule>
  </conditionalFormatting>
  <conditionalFormatting sqref="F136:G1048576 G61:G135">
    <cfRule type="cellIs" dxfId="3249" priority="7553" operator="lessThan">
      <formula>0</formula>
    </cfRule>
  </conditionalFormatting>
  <conditionalFormatting sqref="F136:G1048576 G61:G135">
    <cfRule type="cellIs" dxfId="3248" priority="7552" operator="lessThan">
      <formula>0</formula>
    </cfRule>
  </conditionalFormatting>
  <conditionalFormatting sqref="F136:G1048576 G61:G135">
    <cfRule type="cellIs" dxfId="3247" priority="7551" operator="lessThan">
      <formula>0</formula>
    </cfRule>
  </conditionalFormatting>
  <conditionalFormatting sqref="F136:G1048576 G61:G135">
    <cfRule type="cellIs" dxfId="3246" priority="7550" operator="lessThan">
      <formula>0</formula>
    </cfRule>
  </conditionalFormatting>
  <conditionalFormatting sqref="F136:G1048576 G61:G135">
    <cfRule type="cellIs" dxfId="3245" priority="7549" operator="lessThan">
      <formula>0</formula>
    </cfRule>
  </conditionalFormatting>
  <conditionalFormatting sqref="F136:G1048576 G61:G135">
    <cfRule type="cellIs" dxfId="3244" priority="7548" operator="lessThan">
      <formula>0</formula>
    </cfRule>
  </conditionalFormatting>
  <conditionalFormatting sqref="F136:G1048576 G61:G135">
    <cfRule type="cellIs" dxfId="3243" priority="7547" operator="lessThan">
      <formula>0</formula>
    </cfRule>
  </conditionalFormatting>
  <conditionalFormatting sqref="F136:G1048576 G61:G135">
    <cfRule type="cellIs" dxfId="3242" priority="7546" operator="lessThan">
      <formula>0</formula>
    </cfRule>
  </conditionalFormatting>
  <conditionalFormatting sqref="F136:G1048576 G61:G135">
    <cfRule type="cellIs" dxfId="3241" priority="7545" operator="lessThan">
      <formula>0</formula>
    </cfRule>
  </conditionalFormatting>
  <conditionalFormatting sqref="F136:G1048576 G61:G135">
    <cfRule type="cellIs" dxfId="3240" priority="7544" operator="lessThan">
      <formula>0</formula>
    </cfRule>
  </conditionalFormatting>
  <conditionalFormatting sqref="F136:G1048576 G61:G135">
    <cfRule type="cellIs" dxfId="3239" priority="7543" operator="lessThan">
      <formula>0</formula>
    </cfRule>
  </conditionalFormatting>
  <conditionalFormatting sqref="F136:G1048576 G61:G135">
    <cfRule type="cellIs" dxfId="3238" priority="7542" operator="lessThan">
      <formula>0</formula>
    </cfRule>
  </conditionalFormatting>
  <conditionalFormatting sqref="F136:G1048576 G61:G135">
    <cfRule type="cellIs" dxfId="3237" priority="7541" operator="lessThan">
      <formula>0</formula>
    </cfRule>
  </conditionalFormatting>
  <conditionalFormatting sqref="F136:G1048576 G61:G135">
    <cfRule type="cellIs" dxfId="3236" priority="7540" operator="lessThan">
      <formula>0</formula>
    </cfRule>
  </conditionalFormatting>
  <conditionalFormatting sqref="F136:G1048576 G61:G135">
    <cfRule type="cellIs" dxfId="3235" priority="7539" operator="lessThan">
      <formula>0</formula>
    </cfRule>
  </conditionalFormatting>
  <conditionalFormatting sqref="F136:G1048576 G61:G135">
    <cfRule type="cellIs" dxfId="3234" priority="7538" operator="lessThan">
      <formula>0</formula>
    </cfRule>
  </conditionalFormatting>
  <conditionalFormatting sqref="F136:G1048576 G61:G135">
    <cfRule type="cellIs" dxfId="3233" priority="7537" operator="lessThan">
      <formula>0</formula>
    </cfRule>
  </conditionalFormatting>
  <conditionalFormatting sqref="F136:G1048576 G61:G135">
    <cfRule type="cellIs" dxfId="3232" priority="7536" operator="lessThan">
      <formula>0</formula>
    </cfRule>
  </conditionalFormatting>
  <conditionalFormatting sqref="F136:G1048576 G61:G135">
    <cfRule type="cellIs" dxfId="3231" priority="7535" operator="lessThan">
      <formula>0</formula>
    </cfRule>
  </conditionalFormatting>
  <conditionalFormatting sqref="F136:G1048576 G61:G135">
    <cfRule type="cellIs" dxfId="3230" priority="7534" operator="lessThan">
      <formula>0</formula>
    </cfRule>
  </conditionalFormatting>
  <conditionalFormatting sqref="F136:G1048576 G61:G135">
    <cfRule type="cellIs" dxfId="3229" priority="7533" operator="lessThan">
      <formula>0</formula>
    </cfRule>
  </conditionalFormatting>
  <conditionalFormatting sqref="F136:G1048576 G61:G135">
    <cfRule type="cellIs" dxfId="3228" priority="7532" operator="lessThan">
      <formula>0</formula>
    </cfRule>
  </conditionalFormatting>
  <conditionalFormatting sqref="F136:G1048576 G61:G135">
    <cfRule type="cellIs" dxfId="3227" priority="7531" operator="lessThan">
      <formula>0</formula>
    </cfRule>
  </conditionalFormatting>
  <conditionalFormatting sqref="F136:G1048576 G61:G135">
    <cfRule type="cellIs" dxfId="3226" priority="7530" operator="lessThan">
      <formula>0</formula>
    </cfRule>
  </conditionalFormatting>
  <conditionalFormatting sqref="F136:G1048576 G61:G135">
    <cfRule type="cellIs" dxfId="3225" priority="7529" operator="lessThan">
      <formula>0</formula>
    </cfRule>
  </conditionalFormatting>
  <conditionalFormatting sqref="F136:G1048576 G61:G135">
    <cfRule type="cellIs" dxfId="3224" priority="7528" operator="lessThan">
      <formula>0</formula>
    </cfRule>
  </conditionalFormatting>
  <conditionalFormatting sqref="F136:G1048576 G61:G135">
    <cfRule type="cellIs" dxfId="3223" priority="7527" operator="lessThan">
      <formula>0</formula>
    </cfRule>
  </conditionalFormatting>
  <conditionalFormatting sqref="F136:G1048576 G61:G135">
    <cfRule type="cellIs" dxfId="3222" priority="7526" operator="lessThan">
      <formula>0</formula>
    </cfRule>
  </conditionalFormatting>
  <conditionalFormatting sqref="F136:G1048576 G61:G135">
    <cfRule type="cellIs" dxfId="3221" priority="7525" operator="lessThan">
      <formula>0</formula>
    </cfRule>
  </conditionalFormatting>
  <conditionalFormatting sqref="F136:G1048576 G61:G135">
    <cfRule type="cellIs" dxfId="3220" priority="7524" operator="lessThan">
      <formula>0</formula>
    </cfRule>
  </conditionalFormatting>
  <conditionalFormatting sqref="F136:G1048576 G61:G135">
    <cfRule type="cellIs" dxfId="3219" priority="7523" operator="lessThan">
      <formula>0</formula>
    </cfRule>
  </conditionalFormatting>
  <conditionalFormatting sqref="F136:G1048576 G61:G135">
    <cfRule type="cellIs" dxfId="3218" priority="7522" operator="lessThan">
      <formula>0</formula>
    </cfRule>
  </conditionalFormatting>
  <conditionalFormatting sqref="F136:G1048576 G61:G135">
    <cfRule type="cellIs" dxfId="3217" priority="7521" operator="lessThan">
      <formula>0</formula>
    </cfRule>
  </conditionalFormatting>
  <conditionalFormatting sqref="F136:G1048576 G61:G135">
    <cfRule type="cellIs" dxfId="3216" priority="7520" operator="lessThan">
      <formula>0</formula>
    </cfRule>
  </conditionalFormatting>
  <conditionalFormatting sqref="F136:G1048576 G61:G135">
    <cfRule type="cellIs" dxfId="3215" priority="7519" operator="lessThan">
      <formula>0</formula>
    </cfRule>
  </conditionalFormatting>
  <conditionalFormatting sqref="F136:G1048576 G61:G135">
    <cfRule type="cellIs" dxfId="3214" priority="7518" operator="lessThan">
      <formula>0</formula>
    </cfRule>
  </conditionalFormatting>
  <conditionalFormatting sqref="F136:G1048576 G61:G135">
    <cfRule type="cellIs" dxfId="3213" priority="7517" operator="lessThan">
      <formula>0</formula>
    </cfRule>
  </conditionalFormatting>
  <conditionalFormatting sqref="F136:G1048576 G61:G135">
    <cfRule type="cellIs" dxfId="3212" priority="7516" operator="lessThan">
      <formula>0</formula>
    </cfRule>
  </conditionalFormatting>
  <conditionalFormatting sqref="F136:G1048576 G61:G135">
    <cfRule type="cellIs" dxfId="3211" priority="7515" operator="lessThan">
      <formula>0</formula>
    </cfRule>
  </conditionalFormatting>
  <conditionalFormatting sqref="F136:G1048576 G61:G135">
    <cfRule type="cellIs" dxfId="3210" priority="7514" operator="lessThan">
      <formula>0</formula>
    </cfRule>
  </conditionalFormatting>
  <conditionalFormatting sqref="F136:G1048576 G61:G135">
    <cfRule type="cellIs" dxfId="3209" priority="7513" operator="lessThan">
      <formula>0</formula>
    </cfRule>
  </conditionalFormatting>
  <conditionalFormatting sqref="F136:G1048576 G61:G135">
    <cfRule type="cellIs" dxfId="3208" priority="7512" operator="lessThan">
      <formula>0</formula>
    </cfRule>
  </conditionalFormatting>
  <conditionalFormatting sqref="F136:G1048576 G61:G135">
    <cfRule type="cellIs" dxfId="3207" priority="7511" operator="lessThan">
      <formula>0</formula>
    </cfRule>
  </conditionalFormatting>
  <conditionalFormatting sqref="F136:G1048576 G61:G135">
    <cfRule type="cellIs" dxfId="3206" priority="7510" operator="lessThan">
      <formula>0</formula>
    </cfRule>
  </conditionalFormatting>
  <conditionalFormatting sqref="F136:G1048576 G61:G135">
    <cfRule type="cellIs" dxfId="3205" priority="7509" operator="lessThan">
      <formula>0</formula>
    </cfRule>
  </conditionalFormatting>
  <conditionalFormatting sqref="F136:G1048576 G61:G135">
    <cfRule type="cellIs" dxfId="3204" priority="7508" operator="lessThan">
      <formula>0</formula>
    </cfRule>
  </conditionalFormatting>
  <conditionalFormatting sqref="F136:G1048576 G61:G135">
    <cfRule type="cellIs" dxfId="3203" priority="7507" operator="lessThan">
      <formula>0</formula>
    </cfRule>
  </conditionalFormatting>
  <conditionalFormatting sqref="F136:G1048576 G61:G135">
    <cfRule type="cellIs" dxfId="3202" priority="7506" operator="lessThan">
      <formula>0</formula>
    </cfRule>
  </conditionalFormatting>
  <conditionalFormatting sqref="F136:G1048576 G61:G135">
    <cfRule type="cellIs" dxfId="3201" priority="7505" operator="lessThan">
      <formula>0</formula>
    </cfRule>
  </conditionalFormatting>
  <conditionalFormatting sqref="F136:G1048576 G61:G135">
    <cfRule type="cellIs" dxfId="3200" priority="7504" operator="lessThan">
      <formula>0</formula>
    </cfRule>
  </conditionalFormatting>
  <conditionalFormatting sqref="F136:G1048576 G61:G135">
    <cfRule type="cellIs" dxfId="3199" priority="7503" operator="lessThan">
      <formula>0</formula>
    </cfRule>
  </conditionalFormatting>
  <conditionalFormatting sqref="F136:G1048576 G61:G135">
    <cfRule type="cellIs" dxfId="3198" priority="7502" operator="lessThan">
      <formula>0</formula>
    </cfRule>
  </conditionalFormatting>
  <conditionalFormatting sqref="F136:G1048576 G61:G135">
    <cfRule type="cellIs" dxfId="3197" priority="7501" operator="lessThan">
      <formula>0</formula>
    </cfRule>
  </conditionalFormatting>
  <conditionalFormatting sqref="F136:G1048576 G61:G135">
    <cfRule type="cellIs" dxfId="3196" priority="7500" operator="lessThan">
      <formula>0</formula>
    </cfRule>
  </conditionalFormatting>
  <conditionalFormatting sqref="F136:G1048576 G61:G135">
    <cfRule type="cellIs" dxfId="3195" priority="7499" operator="lessThan">
      <formula>0</formula>
    </cfRule>
  </conditionalFormatting>
  <conditionalFormatting sqref="F136:G1048576 G61:G135">
    <cfRule type="cellIs" dxfId="3194" priority="7498" operator="lessThan">
      <formula>0</formula>
    </cfRule>
  </conditionalFormatting>
  <conditionalFormatting sqref="F136:G1048576 G61:G135">
    <cfRule type="cellIs" dxfId="3193" priority="7497" operator="lessThan">
      <formula>0</formula>
    </cfRule>
  </conditionalFormatting>
  <conditionalFormatting sqref="F136:G1048576 G61:G135">
    <cfRule type="cellIs" dxfId="3192" priority="7496" operator="lessThan">
      <formula>0</formula>
    </cfRule>
  </conditionalFormatting>
  <conditionalFormatting sqref="F136:G1048576 G61:G135">
    <cfRule type="cellIs" dxfId="3191" priority="7495" operator="lessThan">
      <formula>0</formula>
    </cfRule>
  </conditionalFormatting>
  <conditionalFormatting sqref="F136:G1048576 G61:G135">
    <cfRule type="cellIs" dxfId="3190" priority="7494" operator="lessThan">
      <formula>0</formula>
    </cfRule>
  </conditionalFormatting>
  <conditionalFormatting sqref="F136:G1048576 G61:G135">
    <cfRule type="cellIs" dxfId="3189" priority="7493" operator="lessThan">
      <formula>0</formula>
    </cfRule>
  </conditionalFormatting>
  <conditionalFormatting sqref="F136:G1048576 G61:G135">
    <cfRule type="cellIs" dxfId="3188" priority="7492" operator="lessThan">
      <formula>0</formula>
    </cfRule>
  </conditionalFormatting>
  <conditionalFormatting sqref="F136:G1048576 G61:G135">
    <cfRule type="cellIs" dxfId="3187" priority="7491" operator="lessThan">
      <formula>0</formula>
    </cfRule>
  </conditionalFormatting>
  <conditionalFormatting sqref="F136:G1048576 G61:G135">
    <cfRule type="cellIs" dxfId="3186" priority="7490" operator="lessThan">
      <formula>0</formula>
    </cfRule>
  </conditionalFormatting>
  <conditionalFormatting sqref="F136:G1048576 G61:G135">
    <cfRule type="cellIs" dxfId="3185" priority="7489" operator="lessThan">
      <formula>0</formula>
    </cfRule>
  </conditionalFormatting>
  <conditionalFormatting sqref="F136:G1048576 G61:G135">
    <cfRule type="cellIs" dxfId="3184" priority="7488" operator="lessThan">
      <formula>0</formula>
    </cfRule>
  </conditionalFormatting>
  <conditionalFormatting sqref="F136:G1048576 G61:G135">
    <cfRule type="cellIs" dxfId="3183" priority="7487" operator="lessThan">
      <formula>0</formula>
    </cfRule>
  </conditionalFormatting>
  <conditionalFormatting sqref="F136:G1048576 G61:G135">
    <cfRule type="cellIs" dxfId="3182" priority="7486" operator="lessThan">
      <formula>0</formula>
    </cfRule>
  </conditionalFormatting>
  <conditionalFormatting sqref="F136:G1048576 G61:G135">
    <cfRule type="cellIs" dxfId="3181" priority="7485" operator="lessThan">
      <formula>0</formula>
    </cfRule>
  </conditionalFormatting>
  <conditionalFormatting sqref="F136:G1048576 G61:G135">
    <cfRule type="cellIs" dxfId="3180" priority="7484" operator="lessThan">
      <formula>0</formula>
    </cfRule>
  </conditionalFormatting>
  <conditionalFormatting sqref="F136:G1048576 G61:G135">
    <cfRule type="cellIs" dxfId="3179" priority="7483" operator="lessThan">
      <formula>0</formula>
    </cfRule>
  </conditionalFormatting>
  <conditionalFormatting sqref="F136:G1048576 G61:G135">
    <cfRule type="cellIs" dxfId="3178" priority="7482" operator="lessThan">
      <formula>0</formula>
    </cfRule>
  </conditionalFormatting>
  <conditionalFormatting sqref="F136:G1048576 G61:G135">
    <cfRule type="cellIs" dxfId="3177" priority="7481" operator="lessThan">
      <formula>0</formula>
    </cfRule>
  </conditionalFormatting>
  <conditionalFormatting sqref="F136:G1048576 G61:G135">
    <cfRule type="cellIs" dxfId="3176" priority="7480" operator="lessThan">
      <formula>0</formula>
    </cfRule>
  </conditionalFormatting>
  <conditionalFormatting sqref="F136:G1048576 G61:G135">
    <cfRule type="cellIs" dxfId="3175" priority="7479" operator="lessThan">
      <formula>0</formula>
    </cfRule>
  </conditionalFormatting>
  <conditionalFormatting sqref="F136:G1048576 G61:G135">
    <cfRule type="cellIs" dxfId="3174" priority="7478" operator="lessThan">
      <formula>0</formula>
    </cfRule>
  </conditionalFormatting>
  <conditionalFormatting sqref="F136:G1048576 G61:G135">
    <cfRule type="cellIs" dxfId="3173" priority="7477" operator="lessThan">
      <formula>0</formula>
    </cfRule>
  </conditionalFormatting>
  <conditionalFormatting sqref="F136:G1048576 G61:G135">
    <cfRule type="cellIs" dxfId="3172" priority="7476" operator="lessThan">
      <formula>0</formula>
    </cfRule>
  </conditionalFormatting>
  <conditionalFormatting sqref="F136:G1048576 G61:G135">
    <cfRule type="cellIs" dxfId="3171" priority="7475" operator="lessThan">
      <formula>0</formula>
    </cfRule>
  </conditionalFormatting>
  <conditionalFormatting sqref="F136:G1048576 G61:G135">
    <cfRule type="cellIs" dxfId="3170" priority="7474" operator="lessThan">
      <formula>0</formula>
    </cfRule>
  </conditionalFormatting>
  <conditionalFormatting sqref="F136:G1048576 G61:G135">
    <cfRule type="cellIs" dxfId="3169" priority="7473" operator="lessThan">
      <formula>0</formula>
    </cfRule>
  </conditionalFormatting>
  <conditionalFormatting sqref="F136:G1048576 G61:G135">
    <cfRule type="cellIs" dxfId="3168" priority="7472" operator="lessThan">
      <formula>0</formula>
    </cfRule>
  </conditionalFormatting>
  <conditionalFormatting sqref="F136:G1048576 G61:G135">
    <cfRule type="cellIs" dxfId="3167" priority="7471" operator="lessThan">
      <formula>0</formula>
    </cfRule>
  </conditionalFormatting>
  <conditionalFormatting sqref="F136:G1048576 G61:G135">
    <cfRule type="cellIs" dxfId="3166" priority="7470" operator="lessThan">
      <formula>0</formula>
    </cfRule>
  </conditionalFormatting>
  <conditionalFormatting sqref="F136:G1048576 G61:G135">
    <cfRule type="cellIs" dxfId="3165" priority="7469" operator="lessThan">
      <formula>0</formula>
    </cfRule>
  </conditionalFormatting>
  <conditionalFormatting sqref="F136:G1048576 G61:G135">
    <cfRule type="cellIs" dxfId="3164" priority="7468" operator="lessThan">
      <formula>0</formula>
    </cfRule>
  </conditionalFormatting>
  <conditionalFormatting sqref="F136:G1048576 G61:G135">
    <cfRule type="cellIs" dxfId="3163" priority="7467" operator="lessThan">
      <formula>0</formula>
    </cfRule>
  </conditionalFormatting>
  <conditionalFormatting sqref="F136:G1048576 G61:G135">
    <cfRule type="cellIs" dxfId="3162" priority="7466" operator="lessThan">
      <formula>0</formula>
    </cfRule>
  </conditionalFormatting>
  <conditionalFormatting sqref="F136:G1048576 G61:G135">
    <cfRule type="cellIs" dxfId="3161" priority="7465" operator="lessThan">
      <formula>0</formula>
    </cfRule>
  </conditionalFormatting>
  <conditionalFormatting sqref="F136:G1048576 G61:G135">
    <cfRule type="cellIs" dxfId="3160" priority="7464" operator="lessThan">
      <formula>0</formula>
    </cfRule>
  </conditionalFormatting>
  <conditionalFormatting sqref="F136:G1048576 G61:G135">
    <cfRule type="cellIs" dxfId="3159" priority="7463" operator="lessThan">
      <formula>0</formula>
    </cfRule>
  </conditionalFormatting>
  <conditionalFormatting sqref="F136:G1048576 G61:G135">
    <cfRule type="cellIs" dxfId="3158" priority="7462" operator="lessThan">
      <formula>0</formula>
    </cfRule>
  </conditionalFormatting>
  <conditionalFormatting sqref="F136:G1048576 G61:G135">
    <cfRule type="cellIs" dxfId="3157" priority="7461" operator="lessThan">
      <formula>0</formula>
    </cfRule>
  </conditionalFormatting>
  <conditionalFormatting sqref="F136:G1048576 G61:G135">
    <cfRule type="cellIs" dxfId="3156" priority="7460" operator="lessThan">
      <formula>0</formula>
    </cfRule>
  </conditionalFormatting>
  <conditionalFormatting sqref="F136:G1048576 G61:G135">
    <cfRule type="cellIs" dxfId="3155" priority="7459" operator="lessThan">
      <formula>0</formula>
    </cfRule>
  </conditionalFormatting>
  <conditionalFormatting sqref="F136:G1048576 G61:G135">
    <cfRule type="cellIs" dxfId="3154" priority="7458" operator="lessThan">
      <formula>0</formula>
    </cfRule>
  </conditionalFormatting>
  <conditionalFormatting sqref="F136:G1048576 G61:G135">
    <cfRule type="cellIs" dxfId="3153" priority="7457" operator="lessThan">
      <formula>0</formula>
    </cfRule>
  </conditionalFormatting>
  <conditionalFormatting sqref="F136:G1048576 G61:G135">
    <cfRule type="cellIs" dxfId="3152" priority="7456" operator="lessThan">
      <formula>0</formula>
    </cfRule>
  </conditionalFormatting>
  <conditionalFormatting sqref="F136:G1048576 G61:G135">
    <cfRule type="cellIs" dxfId="3151" priority="7455" operator="lessThan">
      <formula>0</formula>
    </cfRule>
  </conditionalFormatting>
  <conditionalFormatting sqref="F136:G1048576 G61:G135">
    <cfRule type="cellIs" dxfId="3150" priority="7454" operator="lessThan">
      <formula>0</formula>
    </cfRule>
  </conditionalFormatting>
  <conditionalFormatting sqref="F136:G1048576 G61:G135">
    <cfRule type="cellIs" dxfId="3149" priority="7453" operator="lessThan">
      <formula>0</formula>
    </cfRule>
  </conditionalFormatting>
  <conditionalFormatting sqref="F136:G1048576 G61:G135">
    <cfRule type="cellIs" dxfId="3148" priority="7452" operator="lessThan">
      <formula>0</formula>
    </cfRule>
  </conditionalFormatting>
  <conditionalFormatting sqref="F136:G1048576 G61:G135">
    <cfRule type="cellIs" dxfId="3147" priority="7451" operator="lessThan">
      <formula>0</formula>
    </cfRule>
  </conditionalFormatting>
  <conditionalFormatting sqref="F136:G1048576 G61:G135">
    <cfRule type="cellIs" dxfId="3146" priority="7450" operator="lessThan">
      <formula>0</formula>
    </cfRule>
  </conditionalFormatting>
  <conditionalFormatting sqref="F136:G1048576 G61:G135">
    <cfRule type="cellIs" dxfId="3145" priority="7449" operator="lessThan">
      <formula>0</formula>
    </cfRule>
  </conditionalFormatting>
  <conditionalFormatting sqref="F136:G1048576 G61:G135">
    <cfRule type="cellIs" dxfId="3144" priority="7448" operator="lessThan">
      <formula>0</formula>
    </cfRule>
  </conditionalFormatting>
  <conditionalFormatting sqref="F136:G1048576 G61:G135">
    <cfRule type="cellIs" dxfId="3143" priority="7447" operator="lessThan">
      <formula>0</formula>
    </cfRule>
  </conditionalFormatting>
  <conditionalFormatting sqref="F136:G1048576 G61:G135">
    <cfRule type="cellIs" dxfId="3142" priority="7446" operator="lessThan">
      <formula>0</formula>
    </cfRule>
  </conditionalFormatting>
  <conditionalFormatting sqref="F136:G1048576 G61:G135">
    <cfRule type="cellIs" dxfId="3141" priority="7445" operator="lessThan">
      <formula>0</formula>
    </cfRule>
  </conditionalFormatting>
  <conditionalFormatting sqref="F136:G1048576 G61:G135">
    <cfRule type="cellIs" dxfId="3140" priority="7444" operator="lessThan">
      <formula>0</formula>
    </cfRule>
  </conditionalFormatting>
  <conditionalFormatting sqref="F136:G1048576 G61:G135">
    <cfRule type="cellIs" dxfId="3139" priority="7443" operator="lessThan">
      <formula>0</formula>
    </cfRule>
  </conditionalFormatting>
  <conditionalFormatting sqref="G42">
    <cfRule type="cellIs" dxfId="3138" priority="6740" operator="lessThan">
      <formula>0</formula>
    </cfRule>
  </conditionalFormatting>
  <conditionalFormatting sqref="G42">
    <cfRule type="cellIs" dxfId="3137" priority="6739" operator="lessThan">
      <formula>0</formula>
    </cfRule>
  </conditionalFormatting>
  <conditionalFormatting sqref="G42">
    <cfRule type="cellIs" dxfId="3136" priority="6738" operator="lessThan">
      <formula>0</formula>
    </cfRule>
  </conditionalFormatting>
  <conditionalFormatting sqref="G42">
    <cfRule type="cellIs" dxfId="3135" priority="6737" operator="lessThan">
      <formula>0</formula>
    </cfRule>
  </conditionalFormatting>
  <conditionalFormatting sqref="G42">
    <cfRule type="cellIs" dxfId="3134" priority="6736" operator="lessThan">
      <formula>0</formula>
    </cfRule>
  </conditionalFormatting>
  <conditionalFormatting sqref="G42">
    <cfRule type="cellIs" dxfId="3133" priority="6735" operator="lessThan">
      <formula>0</formula>
    </cfRule>
  </conditionalFormatting>
  <conditionalFormatting sqref="G42">
    <cfRule type="cellIs" dxfId="3132" priority="6734" operator="lessThan">
      <formula>0</formula>
    </cfRule>
  </conditionalFormatting>
  <conditionalFormatting sqref="G42">
    <cfRule type="cellIs" dxfId="3131" priority="6733" operator="lessThan">
      <formula>0</formula>
    </cfRule>
  </conditionalFormatting>
  <conditionalFormatting sqref="G42">
    <cfRule type="cellIs" dxfId="3130" priority="6732" operator="lessThan">
      <formula>0</formula>
    </cfRule>
  </conditionalFormatting>
  <conditionalFormatting sqref="G42">
    <cfRule type="cellIs" dxfId="3129" priority="6731" operator="lessThan">
      <formula>0</formula>
    </cfRule>
  </conditionalFormatting>
  <conditionalFormatting sqref="G42">
    <cfRule type="cellIs" dxfId="3128" priority="6730" operator="lessThan">
      <formula>0</formula>
    </cfRule>
  </conditionalFormatting>
  <conditionalFormatting sqref="G42">
    <cfRule type="cellIs" dxfId="3127" priority="6729" operator="lessThan">
      <formula>0</formula>
    </cfRule>
  </conditionalFormatting>
  <conditionalFormatting sqref="G42">
    <cfRule type="cellIs" dxfId="3126" priority="6728" operator="lessThan">
      <formula>0</formula>
    </cfRule>
  </conditionalFormatting>
  <conditionalFormatting sqref="G42">
    <cfRule type="cellIs" dxfId="3125" priority="6727" operator="lessThan">
      <formula>0</formula>
    </cfRule>
  </conditionalFormatting>
  <conditionalFormatting sqref="G42">
    <cfRule type="cellIs" dxfId="3124" priority="6726" operator="lessThan">
      <formula>0</formula>
    </cfRule>
  </conditionalFormatting>
  <conditionalFormatting sqref="G42">
    <cfRule type="cellIs" dxfId="3123" priority="6725" operator="lessThan">
      <formula>0</formula>
    </cfRule>
  </conditionalFormatting>
  <conditionalFormatting sqref="G42">
    <cfRule type="cellIs" dxfId="3122" priority="6724" operator="lessThan">
      <formula>0</formula>
    </cfRule>
  </conditionalFormatting>
  <conditionalFormatting sqref="G42">
    <cfRule type="cellIs" dxfId="3121" priority="6723" operator="lessThan">
      <formula>0</formula>
    </cfRule>
  </conditionalFormatting>
  <conditionalFormatting sqref="G42">
    <cfRule type="cellIs" dxfId="3120" priority="6722" operator="lessThan">
      <formula>0</formula>
    </cfRule>
  </conditionalFormatting>
  <conditionalFormatting pivot="1" sqref="F13:F56">
    <cfRule type="cellIs" dxfId="3119" priority="5667" operator="lessThan">
      <formula>0</formula>
    </cfRule>
  </conditionalFormatting>
  <conditionalFormatting sqref="H86:H1048576">
    <cfRule type="cellIs" dxfId="3118" priority="5463" operator="lessThan">
      <formula>0</formula>
    </cfRule>
  </conditionalFormatting>
  <conditionalFormatting sqref="H86:H1048576">
    <cfRule type="cellIs" dxfId="3117" priority="5462" operator="lessThan">
      <formula>0</formula>
    </cfRule>
  </conditionalFormatting>
  <conditionalFormatting sqref="H86:H1048576">
    <cfRule type="cellIs" dxfId="3116" priority="5461" operator="lessThan">
      <formula>0</formula>
    </cfRule>
  </conditionalFormatting>
  <conditionalFormatting sqref="H86:H1048576">
    <cfRule type="cellIs" dxfId="3115" priority="5460" operator="lessThan">
      <formula>0</formula>
    </cfRule>
  </conditionalFormatting>
  <conditionalFormatting sqref="H86:H1048576">
    <cfRule type="cellIs" dxfId="3114" priority="5459" operator="lessThan">
      <formula>0</formula>
    </cfRule>
  </conditionalFormatting>
  <conditionalFormatting sqref="H86:H1048576">
    <cfRule type="cellIs" dxfId="3113" priority="5458" operator="lessThan">
      <formula>0</formula>
    </cfRule>
  </conditionalFormatting>
  <conditionalFormatting sqref="H86:H1048576">
    <cfRule type="cellIs" dxfId="3112" priority="5457" operator="lessThan">
      <formula>0</formula>
    </cfRule>
  </conditionalFormatting>
  <conditionalFormatting sqref="H86:H1048576">
    <cfRule type="cellIs" dxfId="3111" priority="5456" operator="lessThan">
      <formula>0</formula>
    </cfRule>
  </conditionalFormatting>
  <conditionalFormatting sqref="H86:H1048576">
    <cfRule type="cellIs" dxfId="3110" priority="5455" operator="lessThan">
      <formula>0</formula>
    </cfRule>
  </conditionalFormatting>
  <conditionalFormatting sqref="H86:H1048576">
    <cfRule type="cellIs" dxfId="3109" priority="5454" operator="lessThan">
      <formula>0</formula>
    </cfRule>
  </conditionalFormatting>
  <conditionalFormatting sqref="H86:H1048576">
    <cfRule type="cellIs" dxfId="3108" priority="5453" operator="lessThan">
      <formula>0</formula>
    </cfRule>
  </conditionalFormatting>
  <conditionalFormatting sqref="H86:H1048576">
    <cfRule type="cellIs" dxfId="3107" priority="5452" operator="lessThan">
      <formula>0</formula>
    </cfRule>
  </conditionalFormatting>
  <conditionalFormatting sqref="H86:H1048576">
    <cfRule type="cellIs" dxfId="3106" priority="5451" operator="lessThan">
      <formula>0</formula>
    </cfRule>
  </conditionalFormatting>
  <conditionalFormatting sqref="H86:H1048576">
    <cfRule type="cellIs" dxfId="3105" priority="5450" operator="lessThan">
      <formula>0</formula>
    </cfRule>
  </conditionalFormatting>
  <conditionalFormatting sqref="H86:H1048576">
    <cfRule type="cellIs" dxfId="3104" priority="5449" operator="lessThan">
      <formula>0</formula>
    </cfRule>
  </conditionalFormatting>
  <conditionalFormatting sqref="H86:H1048576">
    <cfRule type="cellIs" dxfId="3103" priority="5448" operator="lessThan">
      <formula>0</formula>
    </cfRule>
  </conditionalFormatting>
  <conditionalFormatting sqref="H86:H1048576">
    <cfRule type="cellIs" dxfId="3102" priority="5447" operator="lessThan">
      <formula>0</formula>
    </cfRule>
  </conditionalFormatting>
  <conditionalFormatting sqref="H86:H1048576">
    <cfRule type="cellIs" dxfId="3101" priority="5446" operator="lessThan">
      <formula>0</formula>
    </cfRule>
  </conditionalFormatting>
  <conditionalFormatting sqref="H86:H1048576">
    <cfRule type="cellIs" dxfId="3100" priority="5445" operator="lessThan">
      <formula>0</formula>
    </cfRule>
  </conditionalFormatting>
  <conditionalFormatting sqref="H86:H1048576">
    <cfRule type="cellIs" dxfId="3099" priority="5444" operator="lessThan">
      <formula>0</formula>
    </cfRule>
  </conditionalFormatting>
  <conditionalFormatting sqref="H86:H1048576">
    <cfRule type="cellIs" dxfId="3098" priority="5443" operator="lessThan">
      <formula>0</formula>
    </cfRule>
  </conditionalFormatting>
  <conditionalFormatting sqref="H86:H1048576">
    <cfRule type="cellIs" dxfId="3097" priority="5442" operator="lessThan">
      <formula>0</formula>
    </cfRule>
  </conditionalFormatting>
  <conditionalFormatting sqref="H86:H1048576">
    <cfRule type="cellIs" dxfId="3096" priority="5441" operator="lessThan">
      <formula>0</formula>
    </cfRule>
  </conditionalFormatting>
  <conditionalFormatting sqref="H86:H1048576">
    <cfRule type="cellIs" dxfId="3095" priority="5440" operator="lessThan">
      <formula>0</formula>
    </cfRule>
  </conditionalFormatting>
  <conditionalFormatting sqref="H86:H1048576">
    <cfRule type="cellIs" dxfId="3094" priority="5439" operator="lessThan">
      <formula>0</formula>
    </cfRule>
  </conditionalFormatting>
  <conditionalFormatting sqref="H86:H1048576">
    <cfRule type="cellIs" dxfId="3093" priority="5438" operator="lessThan">
      <formula>0</formula>
    </cfRule>
  </conditionalFormatting>
  <conditionalFormatting sqref="H86:H1048576">
    <cfRule type="cellIs" dxfId="3092" priority="5437" operator="lessThan">
      <formula>0</formula>
    </cfRule>
  </conditionalFormatting>
  <conditionalFormatting sqref="H86:H1048576">
    <cfRule type="cellIs" dxfId="3091" priority="5436" operator="lessThan">
      <formula>0</formula>
    </cfRule>
  </conditionalFormatting>
  <conditionalFormatting sqref="H86:H1048576">
    <cfRule type="cellIs" dxfId="3090" priority="5435" operator="lessThan">
      <formula>0</formula>
    </cfRule>
  </conditionalFormatting>
  <conditionalFormatting sqref="H86:H1048576">
    <cfRule type="cellIs" dxfId="3089" priority="5434" operator="lessThan">
      <formula>0</formula>
    </cfRule>
  </conditionalFormatting>
  <conditionalFormatting sqref="H86:H1048576">
    <cfRule type="cellIs" dxfId="3088" priority="5433" operator="lessThan">
      <formula>0</formula>
    </cfRule>
  </conditionalFormatting>
  <conditionalFormatting sqref="H86:H1048576">
    <cfRule type="cellIs" dxfId="3087" priority="5432" operator="lessThan">
      <formula>0</formula>
    </cfRule>
  </conditionalFormatting>
  <conditionalFormatting sqref="H86:H1048576">
    <cfRule type="cellIs" dxfId="3086" priority="5431" operator="lessThan">
      <formula>0</formula>
    </cfRule>
  </conditionalFormatting>
  <conditionalFormatting sqref="H86:H1048576">
    <cfRule type="cellIs" dxfId="3085" priority="5430" operator="lessThan">
      <formula>0</formula>
    </cfRule>
  </conditionalFormatting>
  <conditionalFormatting sqref="H86:H1048576">
    <cfRule type="cellIs" dxfId="3084" priority="5429" operator="lessThan">
      <formula>0</formula>
    </cfRule>
  </conditionalFormatting>
  <conditionalFormatting sqref="H86:H1048576">
    <cfRule type="cellIs" dxfId="3083" priority="5428" operator="lessThan">
      <formula>0</formula>
    </cfRule>
  </conditionalFormatting>
  <conditionalFormatting sqref="H86:H1048576">
    <cfRule type="cellIs" dxfId="3082" priority="5427" operator="lessThan">
      <formula>0</formula>
    </cfRule>
  </conditionalFormatting>
  <conditionalFormatting sqref="H86:H1048576">
    <cfRule type="cellIs" dxfId="3081" priority="5426" operator="lessThan">
      <formula>0</formula>
    </cfRule>
  </conditionalFormatting>
  <conditionalFormatting sqref="H86:H1048576">
    <cfRule type="cellIs" dxfId="3080" priority="5425" operator="lessThan">
      <formula>0</formula>
    </cfRule>
  </conditionalFormatting>
  <conditionalFormatting sqref="H86:H1048576">
    <cfRule type="cellIs" dxfId="3079" priority="5424" operator="lessThan">
      <formula>0</formula>
    </cfRule>
  </conditionalFormatting>
  <conditionalFormatting sqref="H86:H1048576">
    <cfRule type="cellIs" dxfId="3078" priority="5423" operator="lessThan">
      <formula>0</formula>
    </cfRule>
  </conditionalFormatting>
  <conditionalFormatting sqref="H86:H1048576">
    <cfRule type="cellIs" dxfId="3077" priority="5422" operator="lessThan">
      <formula>0</formula>
    </cfRule>
  </conditionalFormatting>
  <conditionalFormatting sqref="H86:H1048576">
    <cfRule type="cellIs" dxfId="3076" priority="5421" operator="lessThan">
      <formula>0</formula>
    </cfRule>
  </conditionalFormatting>
  <conditionalFormatting sqref="H86:H1048576">
    <cfRule type="cellIs" dxfId="3075" priority="5420" operator="lessThan">
      <formula>0</formula>
    </cfRule>
  </conditionalFormatting>
  <conditionalFormatting sqref="H86:H1048576">
    <cfRule type="cellIs" dxfId="3074" priority="5419" operator="lessThan">
      <formula>0</formula>
    </cfRule>
  </conditionalFormatting>
  <conditionalFormatting sqref="H86:H1048576">
    <cfRule type="cellIs" dxfId="3073" priority="5418" operator="lessThan">
      <formula>0</formula>
    </cfRule>
  </conditionalFormatting>
  <conditionalFormatting sqref="H86:H1048576">
    <cfRule type="cellIs" dxfId="3072" priority="5417" operator="lessThan">
      <formula>0</formula>
    </cfRule>
  </conditionalFormatting>
  <conditionalFormatting sqref="H86:H1048576">
    <cfRule type="cellIs" dxfId="3071" priority="5416" operator="lessThan">
      <formula>0</formula>
    </cfRule>
  </conditionalFormatting>
  <conditionalFormatting sqref="H86:H1048576">
    <cfRule type="cellIs" dxfId="3070" priority="5415" operator="lessThan">
      <formula>0</formula>
    </cfRule>
  </conditionalFormatting>
  <conditionalFormatting sqref="H86:H1048576">
    <cfRule type="cellIs" dxfId="3069" priority="5414" operator="lessThan">
      <formula>0</formula>
    </cfRule>
  </conditionalFormatting>
  <conditionalFormatting sqref="H86:H1048576">
    <cfRule type="cellIs" dxfId="3068" priority="5413" operator="lessThan">
      <formula>0</formula>
    </cfRule>
  </conditionalFormatting>
  <conditionalFormatting sqref="H86:H1048576">
    <cfRule type="cellIs" dxfId="3067" priority="5412" operator="lessThan">
      <formula>0</formula>
    </cfRule>
  </conditionalFormatting>
  <conditionalFormatting sqref="H86:H1048576">
    <cfRule type="cellIs" dxfId="3066" priority="5411" operator="lessThan">
      <formula>0</formula>
    </cfRule>
  </conditionalFormatting>
  <conditionalFormatting sqref="H86:H1048576">
    <cfRule type="cellIs" dxfId="3065" priority="5410" operator="lessThan">
      <formula>0</formula>
    </cfRule>
  </conditionalFormatting>
  <conditionalFormatting sqref="H86:H1048576">
    <cfRule type="cellIs" dxfId="3064" priority="5409" operator="lessThan">
      <formula>0</formula>
    </cfRule>
  </conditionalFormatting>
  <conditionalFormatting sqref="H86:H1048576">
    <cfRule type="cellIs" dxfId="3063" priority="5408" operator="lessThan">
      <formula>0</formula>
    </cfRule>
  </conditionalFormatting>
  <conditionalFormatting sqref="H86:H1048576">
    <cfRule type="cellIs" dxfId="3062" priority="5407" operator="lessThan">
      <formula>0</formula>
    </cfRule>
  </conditionalFormatting>
  <conditionalFormatting sqref="H86:H1048576">
    <cfRule type="cellIs" dxfId="3061" priority="5406" operator="lessThan">
      <formula>0</formula>
    </cfRule>
  </conditionalFormatting>
  <conditionalFormatting sqref="H86:H1048576">
    <cfRule type="cellIs" dxfId="3060" priority="5405" operator="lessThan">
      <formula>0</formula>
    </cfRule>
  </conditionalFormatting>
  <conditionalFormatting sqref="H86:H1048576">
    <cfRule type="cellIs" dxfId="3059" priority="5404" operator="lessThan">
      <formula>0</formula>
    </cfRule>
  </conditionalFormatting>
  <conditionalFormatting sqref="H86:H1048576">
    <cfRule type="cellIs" dxfId="3058" priority="5403" operator="lessThan">
      <formula>0</formula>
    </cfRule>
  </conditionalFormatting>
  <conditionalFormatting sqref="H86:H1048576">
    <cfRule type="cellIs" dxfId="3057" priority="5402" operator="lessThan">
      <formula>0</formula>
    </cfRule>
  </conditionalFormatting>
  <conditionalFormatting sqref="H86:H1048576">
    <cfRule type="cellIs" dxfId="3056" priority="5401" operator="lessThan">
      <formula>0</formula>
    </cfRule>
  </conditionalFormatting>
  <conditionalFormatting sqref="H86:H1048576">
    <cfRule type="cellIs" dxfId="3055" priority="5400" operator="lessThan">
      <formula>0</formula>
    </cfRule>
  </conditionalFormatting>
  <conditionalFormatting sqref="H86:H1048576">
    <cfRule type="cellIs" dxfId="3054" priority="5399" operator="lessThan">
      <formula>0</formula>
    </cfRule>
  </conditionalFormatting>
  <conditionalFormatting sqref="H86:H1048576">
    <cfRule type="cellIs" dxfId="3053" priority="5398" operator="lessThan">
      <formula>0</formula>
    </cfRule>
  </conditionalFormatting>
  <conditionalFormatting sqref="H86:H1048576">
    <cfRule type="cellIs" dxfId="3052" priority="5397" operator="lessThan">
      <formula>0</formula>
    </cfRule>
  </conditionalFormatting>
  <conditionalFormatting sqref="H86:H1048576">
    <cfRule type="cellIs" dxfId="3051" priority="5396" operator="lessThan">
      <formula>0</formula>
    </cfRule>
  </conditionalFormatting>
  <conditionalFormatting sqref="H86:H1048576">
    <cfRule type="cellIs" dxfId="3050" priority="5395" operator="lessThan">
      <formula>0</formula>
    </cfRule>
  </conditionalFormatting>
  <conditionalFormatting sqref="H86:H1048576">
    <cfRule type="cellIs" dxfId="3049" priority="5394" operator="lessThan">
      <formula>0</formula>
    </cfRule>
  </conditionalFormatting>
  <conditionalFormatting sqref="H86:H1048576">
    <cfRule type="cellIs" dxfId="3048" priority="5393" operator="lessThan">
      <formula>0</formula>
    </cfRule>
  </conditionalFormatting>
  <conditionalFormatting sqref="H86:H1048576">
    <cfRule type="cellIs" dxfId="3047" priority="5392" operator="lessThan">
      <formula>0</formula>
    </cfRule>
  </conditionalFormatting>
  <conditionalFormatting sqref="H86:H1048576">
    <cfRule type="cellIs" dxfId="3046" priority="5391" operator="lessThan">
      <formula>0</formula>
    </cfRule>
  </conditionalFormatting>
  <conditionalFormatting sqref="H86:H1048576">
    <cfRule type="cellIs" dxfId="3045" priority="5390" operator="lessThan">
      <formula>0</formula>
    </cfRule>
  </conditionalFormatting>
  <conditionalFormatting sqref="H86:H1048576">
    <cfRule type="cellIs" dxfId="3044" priority="5389" operator="lessThan">
      <formula>0</formula>
    </cfRule>
  </conditionalFormatting>
  <conditionalFormatting sqref="H86:H1048576">
    <cfRule type="cellIs" dxfId="3043" priority="5388" operator="lessThan">
      <formula>0</formula>
    </cfRule>
  </conditionalFormatting>
  <conditionalFormatting sqref="H86:H1048576">
    <cfRule type="cellIs" dxfId="3042" priority="5387" operator="lessThan">
      <formula>0</formula>
    </cfRule>
  </conditionalFormatting>
  <conditionalFormatting sqref="H86:H1048576">
    <cfRule type="cellIs" dxfId="3041" priority="5386" operator="lessThan">
      <formula>0</formula>
    </cfRule>
  </conditionalFormatting>
  <conditionalFormatting sqref="H86:H1048576">
    <cfRule type="cellIs" dxfId="3040" priority="5385" operator="lessThan">
      <formula>0</formula>
    </cfRule>
  </conditionalFormatting>
  <conditionalFormatting sqref="H86:H1048576">
    <cfRule type="cellIs" dxfId="3039" priority="5384" operator="lessThan">
      <formula>0</formula>
    </cfRule>
  </conditionalFormatting>
  <conditionalFormatting sqref="H86:H1048576">
    <cfRule type="cellIs" dxfId="3038" priority="5383" operator="lessThan">
      <formula>0</formula>
    </cfRule>
  </conditionalFormatting>
  <conditionalFormatting sqref="H86:H1048576">
    <cfRule type="cellIs" dxfId="3037" priority="5382" operator="lessThan">
      <formula>0</formula>
    </cfRule>
  </conditionalFormatting>
  <conditionalFormatting sqref="H86:H1048576">
    <cfRule type="cellIs" dxfId="3036" priority="5381" operator="lessThan">
      <formula>0</formula>
    </cfRule>
  </conditionalFormatting>
  <conditionalFormatting sqref="H86:H1048576">
    <cfRule type="cellIs" dxfId="3035" priority="5380" operator="lessThan">
      <formula>0</formula>
    </cfRule>
  </conditionalFormatting>
  <conditionalFormatting sqref="H86:H1048576">
    <cfRule type="cellIs" dxfId="3034" priority="5379" operator="lessThan">
      <formula>0</formula>
    </cfRule>
  </conditionalFormatting>
  <conditionalFormatting sqref="H86:H1048576">
    <cfRule type="cellIs" dxfId="3033" priority="5378" operator="lessThan">
      <formula>0</formula>
    </cfRule>
  </conditionalFormatting>
  <conditionalFormatting sqref="H86:H1048576">
    <cfRule type="cellIs" dxfId="3032" priority="5377" operator="lessThan">
      <formula>0</formula>
    </cfRule>
  </conditionalFormatting>
  <conditionalFormatting sqref="H86:H1048576">
    <cfRule type="cellIs" dxfId="3031" priority="5376" operator="lessThan">
      <formula>0</formula>
    </cfRule>
  </conditionalFormatting>
  <conditionalFormatting sqref="H86:H1048576">
    <cfRule type="cellIs" dxfId="3030" priority="5375" operator="lessThan">
      <formula>0</formula>
    </cfRule>
  </conditionalFormatting>
  <conditionalFormatting sqref="H86:H1048576">
    <cfRule type="cellIs" dxfId="3029" priority="5374" operator="lessThan">
      <formula>0</formula>
    </cfRule>
  </conditionalFormatting>
  <conditionalFormatting sqref="H86:H1048576">
    <cfRule type="cellIs" dxfId="3028" priority="5373" operator="lessThan">
      <formula>0</formula>
    </cfRule>
  </conditionalFormatting>
  <conditionalFormatting sqref="H86:H1048576">
    <cfRule type="cellIs" dxfId="3027" priority="5372" operator="lessThan">
      <formula>0</formula>
    </cfRule>
  </conditionalFormatting>
  <conditionalFormatting sqref="H86:H1048576">
    <cfRule type="cellIs" dxfId="3026" priority="5371" operator="lessThan">
      <formula>0</formula>
    </cfRule>
  </conditionalFormatting>
  <conditionalFormatting sqref="H86:H1048576">
    <cfRule type="cellIs" dxfId="3025" priority="5370" operator="lessThan">
      <formula>0</formula>
    </cfRule>
  </conditionalFormatting>
  <conditionalFormatting sqref="H86:H1048576">
    <cfRule type="cellIs" dxfId="3024" priority="5369" operator="lessThan">
      <formula>0</formula>
    </cfRule>
  </conditionalFormatting>
  <conditionalFormatting sqref="H86:H1048576">
    <cfRule type="cellIs" dxfId="3023" priority="5368" operator="lessThan">
      <formula>0</formula>
    </cfRule>
  </conditionalFormatting>
  <conditionalFormatting sqref="H86:H1048576">
    <cfRule type="cellIs" dxfId="3022" priority="5367" operator="lessThan">
      <formula>0</formula>
    </cfRule>
  </conditionalFormatting>
  <conditionalFormatting sqref="H86:H1048576">
    <cfRule type="cellIs" dxfId="3021" priority="5366" operator="lessThan">
      <formula>0</formula>
    </cfRule>
  </conditionalFormatting>
  <conditionalFormatting sqref="H86:H1048576">
    <cfRule type="cellIs" dxfId="3020" priority="5365" operator="lessThan">
      <formula>0</formula>
    </cfRule>
  </conditionalFormatting>
  <conditionalFormatting sqref="H86:H1048576">
    <cfRule type="cellIs" dxfId="3019" priority="5364" operator="lessThan">
      <formula>0</formula>
    </cfRule>
  </conditionalFormatting>
  <conditionalFormatting sqref="H86:H1048576">
    <cfRule type="cellIs" dxfId="3018" priority="5363" operator="lessThan">
      <formula>0</formula>
    </cfRule>
  </conditionalFormatting>
  <conditionalFormatting sqref="H86:H1048576">
    <cfRule type="cellIs" dxfId="3017" priority="5362" operator="lessThan">
      <formula>0</formula>
    </cfRule>
  </conditionalFormatting>
  <conditionalFormatting sqref="H86:H1048576">
    <cfRule type="cellIs" dxfId="3016" priority="5361" operator="lessThan">
      <formula>0</formula>
    </cfRule>
  </conditionalFormatting>
  <conditionalFormatting sqref="H86:H1048576">
    <cfRule type="cellIs" dxfId="3015" priority="5360" operator="lessThan">
      <formula>0</formula>
    </cfRule>
  </conditionalFormatting>
  <conditionalFormatting sqref="H86:H1048576">
    <cfRule type="cellIs" dxfId="3014" priority="5359" operator="lessThan">
      <formula>0</formula>
    </cfRule>
  </conditionalFormatting>
  <conditionalFormatting sqref="H86:H1048576">
    <cfRule type="cellIs" dxfId="3013" priority="5358" operator="lessThan">
      <formula>0</formula>
    </cfRule>
  </conditionalFormatting>
  <conditionalFormatting sqref="H86:H1048576">
    <cfRule type="cellIs" dxfId="3012" priority="5357" operator="lessThan">
      <formula>0</formula>
    </cfRule>
  </conditionalFormatting>
  <conditionalFormatting sqref="H86:H1048576">
    <cfRule type="cellIs" dxfId="3011" priority="5356" operator="lessThan">
      <formula>0</formula>
    </cfRule>
  </conditionalFormatting>
  <conditionalFormatting sqref="H86:H1048576">
    <cfRule type="cellIs" dxfId="3010" priority="5355" operator="lessThan">
      <formula>0</formula>
    </cfRule>
  </conditionalFormatting>
  <conditionalFormatting sqref="H86:H1048576">
    <cfRule type="cellIs" dxfId="3009" priority="5354" operator="lessThan">
      <formula>0</formula>
    </cfRule>
  </conditionalFormatting>
  <conditionalFormatting sqref="H86:H1048576">
    <cfRule type="cellIs" dxfId="3008" priority="5353" operator="lessThan">
      <formula>0</formula>
    </cfRule>
  </conditionalFormatting>
  <conditionalFormatting sqref="H86:H1048576">
    <cfRule type="cellIs" dxfId="3007" priority="5352" operator="lessThan">
      <formula>0</formula>
    </cfRule>
  </conditionalFormatting>
  <conditionalFormatting sqref="H86:H1048576">
    <cfRule type="cellIs" dxfId="3006" priority="5351" operator="lessThan">
      <formula>0</formula>
    </cfRule>
  </conditionalFormatting>
  <conditionalFormatting sqref="H86:H1048576">
    <cfRule type="cellIs" dxfId="3005" priority="5350" operator="lessThan">
      <formula>0</formula>
    </cfRule>
  </conditionalFormatting>
  <conditionalFormatting sqref="H86:H1048576">
    <cfRule type="cellIs" dxfId="3004" priority="5349" operator="lessThan">
      <formula>0</formula>
    </cfRule>
  </conditionalFormatting>
  <conditionalFormatting sqref="H86:H1048576">
    <cfRule type="cellIs" dxfId="3003" priority="5348" operator="lessThan">
      <formula>0</formula>
    </cfRule>
  </conditionalFormatting>
  <conditionalFormatting sqref="H86:H1048576">
    <cfRule type="cellIs" dxfId="3002" priority="5347" operator="lessThan">
      <formula>0</formula>
    </cfRule>
  </conditionalFormatting>
  <conditionalFormatting sqref="H86:H1048576">
    <cfRule type="cellIs" dxfId="3001" priority="5346" operator="lessThan">
      <formula>0</formula>
    </cfRule>
  </conditionalFormatting>
  <conditionalFormatting sqref="H86:H1048576">
    <cfRule type="cellIs" dxfId="3000" priority="5345" operator="lessThan">
      <formula>0</formula>
    </cfRule>
  </conditionalFormatting>
  <conditionalFormatting sqref="H86:H1048576">
    <cfRule type="cellIs" dxfId="2999" priority="5344" operator="lessThan">
      <formula>0</formula>
    </cfRule>
  </conditionalFormatting>
  <conditionalFormatting sqref="H86:H1048576">
    <cfRule type="cellIs" dxfId="2998" priority="5343" operator="lessThan">
      <formula>0</formula>
    </cfRule>
  </conditionalFormatting>
  <conditionalFormatting sqref="H86:H1048576">
    <cfRule type="cellIs" dxfId="2997" priority="5342" operator="lessThan">
      <formula>0</formula>
    </cfRule>
  </conditionalFormatting>
  <conditionalFormatting sqref="H86:H1048576">
    <cfRule type="cellIs" dxfId="2996" priority="5341" operator="lessThan">
      <formula>0</formula>
    </cfRule>
  </conditionalFormatting>
  <conditionalFormatting sqref="H86:H1048576">
    <cfRule type="cellIs" dxfId="2995" priority="5340" operator="lessThan">
      <formula>0</formula>
    </cfRule>
  </conditionalFormatting>
  <conditionalFormatting sqref="H86:H1048576">
    <cfRule type="cellIs" dxfId="2994" priority="5339" operator="lessThan">
      <formula>0</formula>
    </cfRule>
  </conditionalFormatting>
  <conditionalFormatting sqref="H86:H1048576">
    <cfRule type="cellIs" dxfId="2993" priority="5338" operator="lessThan">
      <formula>0</formula>
    </cfRule>
  </conditionalFormatting>
  <conditionalFormatting sqref="H86:H1048576">
    <cfRule type="cellIs" dxfId="2992" priority="5337" operator="lessThan">
      <formula>0</formula>
    </cfRule>
  </conditionalFormatting>
  <conditionalFormatting sqref="H86:H1048576">
    <cfRule type="cellIs" dxfId="2991" priority="5336" operator="lessThan">
      <formula>0</formula>
    </cfRule>
  </conditionalFormatting>
  <conditionalFormatting sqref="H86:H1048576">
    <cfRule type="cellIs" dxfId="2990" priority="5335" operator="lessThan">
      <formula>0</formula>
    </cfRule>
  </conditionalFormatting>
  <conditionalFormatting sqref="H86:H1048576">
    <cfRule type="cellIs" dxfId="2989" priority="5334" operator="lessThan">
      <formula>0</formula>
    </cfRule>
  </conditionalFormatting>
  <conditionalFormatting sqref="H86:H1048576">
    <cfRule type="cellIs" dxfId="2988" priority="5333" operator="lessThan">
      <formula>0</formula>
    </cfRule>
  </conditionalFormatting>
  <conditionalFormatting sqref="H86:H1048576">
    <cfRule type="cellIs" dxfId="2987" priority="5332" operator="lessThan">
      <formula>0</formula>
    </cfRule>
  </conditionalFormatting>
  <conditionalFormatting sqref="H86:H1048576">
    <cfRule type="cellIs" dxfId="2986" priority="5331" operator="lessThan">
      <formula>0</formula>
    </cfRule>
  </conditionalFormatting>
  <conditionalFormatting sqref="H86:H1048576">
    <cfRule type="cellIs" dxfId="2985" priority="5330" operator="lessThan">
      <formula>0</formula>
    </cfRule>
  </conditionalFormatting>
  <conditionalFormatting sqref="H86:H1048576">
    <cfRule type="cellIs" dxfId="2984" priority="5329" operator="lessThan">
      <formula>0</formula>
    </cfRule>
  </conditionalFormatting>
  <conditionalFormatting sqref="H86:H1048576">
    <cfRule type="cellIs" dxfId="2983" priority="5328" operator="lessThan">
      <formula>0</formula>
    </cfRule>
  </conditionalFormatting>
  <conditionalFormatting sqref="H86:H1048576">
    <cfRule type="cellIs" dxfId="2982" priority="5327" operator="lessThan">
      <formula>0</formula>
    </cfRule>
  </conditionalFormatting>
  <conditionalFormatting sqref="H86:H1048576">
    <cfRule type="cellIs" dxfId="2981" priority="5326" operator="lessThan">
      <formula>0</formula>
    </cfRule>
  </conditionalFormatting>
  <conditionalFormatting sqref="H86:H1048576">
    <cfRule type="cellIs" dxfId="2980" priority="5325" operator="lessThan">
      <formula>0</formula>
    </cfRule>
  </conditionalFormatting>
  <conditionalFormatting sqref="H86:H1048576">
    <cfRule type="cellIs" dxfId="2979" priority="5324" operator="lessThan">
      <formula>0</formula>
    </cfRule>
  </conditionalFormatting>
  <conditionalFormatting sqref="H86:H1048576">
    <cfRule type="cellIs" dxfId="2978" priority="5323" operator="lessThan">
      <formula>0</formula>
    </cfRule>
  </conditionalFormatting>
  <conditionalFormatting sqref="H86:H1048576">
    <cfRule type="cellIs" dxfId="2977" priority="5322" operator="lessThan">
      <formula>0</formula>
    </cfRule>
  </conditionalFormatting>
  <conditionalFormatting sqref="H86:H1048576">
    <cfRule type="cellIs" dxfId="2976" priority="5321" operator="lessThan">
      <formula>0</formula>
    </cfRule>
  </conditionalFormatting>
  <conditionalFormatting sqref="H86:H1048576">
    <cfRule type="cellIs" dxfId="2975" priority="5320" operator="lessThan">
      <formula>0</formula>
    </cfRule>
  </conditionalFormatting>
  <conditionalFormatting sqref="H86:H1048576">
    <cfRule type="cellIs" dxfId="2974" priority="5319" operator="lessThan">
      <formula>0</formula>
    </cfRule>
  </conditionalFormatting>
  <conditionalFormatting sqref="H86:H1048576">
    <cfRule type="cellIs" dxfId="2973" priority="5318" operator="lessThan">
      <formula>0</formula>
    </cfRule>
  </conditionalFormatting>
  <conditionalFormatting sqref="H86:H1048576">
    <cfRule type="cellIs" dxfId="2972" priority="5317" operator="lessThan">
      <formula>0</formula>
    </cfRule>
  </conditionalFormatting>
  <conditionalFormatting sqref="H86:H1048576">
    <cfRule type="cellIs" dxfId="2971" priority="5316" operator="lessThan">
      <formula>0</formula>
    </cfRule>
  </conditionalFormatting>
  <conditionalFormatting sqref="H86:H1048576">
    <cfRule type="cellIs" dxfId="2970" priority="5315" operator="lessThan">
      <formula>0</formula>
    </cfRule>
  </conditionalFormatting>
  <conditionalFormatting sqref="H86:H1048576">
    <cfRule type="cellIs" dxfId="2969" priority="5314" operator="lessThan">
      <formula>0</formula>
    </cfRule>
  </conditionalFormatting>
  <conditionalFormatting sqref="H86:H1048576">
    <cfRule type="cellIs" dxfId="2968" priority="5313" operator="lessThan">
      <formula>0</formula>
    </cfRule>
  </conditionalFormatting>
  <conditionalFormatting sqref="H86:H1048576">
    <cfRule type="cellIs" dxfId="2967" priority="5312" operator="lessThan">
      <formula>0</formula>
    </cfRule>
  </conditionalFormatting>
  <conditionalFormatting sqref="H86:H1048576">
    <cfRule type="cellIs" dxfId="2966" priority="5311" operator="lessThan">
      <formula>0</formula>
    </cfRule>
  </conditionalFormatting>
  <conditionalFormatting sqref="H86:H1048576">
    <cfRule type="cellIs" dxfId="2965" priority="5310" operator="lessThan">
      <formula>0</formula>
    </cfRule>
  </conditionalFormatting>
  <conditionalFormatting sqref="H86:H1048576">
    <cfRule type="cellIs" dxfId="2964" priority="5309" operator="lessThan">
      <formula>0</formula>
    </cfRule>
  </conditionalFormatting>
  <conditionalFormatting sqref="H86:H1048576">
    <cfRule type="cellIs" dxfId="2963" priority="5308" operator="lessThan">
      <formula>0</formula>
    </cfRule>
  </conditionalFormatting>
  <conditionalFormatting sqref="H86:H1048576">
    <cfRule type="cellIs" dxfId="2962" priority="5307" operator="lessThan">
      <formula>0</formula>
    </cfRule>
  </conditionalFormatting>
  <conditionalFormatting sqref="H86:H1048576">
    <cfRule type="cellIs" dxfId="2961" priority="5306" operator="lessThan">
      <formula>0</formula>
    </cfRule>
  </conditionalFormatting>
  <conditionalFormatting sqref="H86:H1048576">
    <cfRule type="cellIs" dxfId="2960" priority="5305" operator="lessThan">
      <formula>0</formula>
    </cfRule>
  </conditionalFormatting>
  <conditionalFormatting sqref="H86:H1048576">
    <cfRule type="cellIs" dxfId="2959" priority="5304" operator="lessThan">
      <formula>0</formula>
    </cfRule>
  </conditionalFormatting>
  <conditionalFormatting sqref="H86:H1048576">
    <cfRule type="cellIs" dxfId="2958" priority="5303" operator="lessThan">
      <formula>0</formula>
    </cfRule>
  </conditionalFormatting>
  <conditionalFormatting sqref="H86:H1048576">
    <cfRule type="cellIs" dxfId="2957" priority="5302" operator="lessThan">
      <formula>0</formula>
    </cfRule>
  </conditionalFormatting>
  <conditionalFormatting sqref="H86:H1048576">
    <cfRule type="cellIs" dxfId="2956" priority="5301" operator="lessThan">
      <formula>0</formula>
    </cfRule>
  </conditionalFormatting>
  <conditionalFormatting sqref="H86:H1048576">
    <cfRule type="cellIs" dxfId="2955" priority="5300" operator="lessThan">
      <formula>0</formula>
    </cfRule>
  </conditionalFormatting>
  <conditionalFormatting sqref="H86:H1048576">
    <cfRule type="cellIs" dxfId="2954" priority="5299" operator="lessThan">
      <formula>0</formula>
    </cfRule>
  </conditionalFormatting>
  <conditionalFormatting sqref="H86:H1048576">
    <cfRule type="cellIs" dxfId="2953" priority="5298" operator="lessThan">
      <formula>0</formula>
    </cfRule>
  </conditionalFormatting>
  <conditionalFormatting sqref="H86:H1048576">
    <cfRule type="cellIs" dxfId="2952" priority="5297" operator="lessThan">
      <formula>0</formula>
    </cfRule>
  </conditionalFormatting>
  <conditionalFormatting sqref="H86:H1048576">
    <cfRule type="cellIs" dxfId="2951" priority="5296" operator="lessThan">
      <formula>0</formula>
    </cfRule>
  </conditionalFormatting>
  <conditionalFormatting sqref="H86:H1048576">
    <cfRule type="cellIs" dxfId="2950" priority="5295" operator="lessThan">
      <formula>0</formula>
    </cfRule>
  </conditionalFormatting>
  <conditionalFormatting sqref="H86:H1048576">
    <cfRule type="cellIs" dxfId="2949" priority="5294" operator="lessThan">
      <formula>0</formula>
    </cfRule>
  </conditionalFormatting>
  <conditionalFormatting sqref="H86:H1048576">
    <cfRule type="cellIs" dxfId="2948" priority="5293" operator="lessThan">
      <formula>0</formula>
    </cfRule>
  </conditionalFormatting>
  <conditionalFormatting sqref="H86:H1048576">
    <cfRule type="cellIs" dxfId="2947" priority="5292" operator="lessThan">
      <formula>0</formula>
    </cfRule>
  </conditionalFormatting>
  <conditionalFormatting sqref="H86:H1048576">
    <cfRule type="cellIs" dxfId="2946" priority="5291" operator="lessThan">
      <formula>0</formula>
    </cfRule>
  </conditionalFormatting>
  <conditionalFormatting sqref="H86:H1048576">
    <cfRule type="cellIs" dxfId="2945" priority="5290" operator="lessThan">
      <formula>0</formula>
    </cfRule>
  </conditionalFormatting>
  <conditionalFormatting sqref="H86:H1048576">
    <cfRule type="cellIs" dxfId="2944" priority="5289" operator="lessThan">
      <formula>0</formula>
    </cfRule>
  </conditionalFormatting>
  <conditionalFormatting sqref="H86:H1048576">
    <cfRule type="cellIs" dxfId="2943" priority="5288" operator="lessThan">
      <formula>0</formula>
    </cfRule>
  </conditionalFormatting>
  <conditionalFormatting sqref="H86:H1048576">
    <cfRule type="cellIs" dxfId="2942" priority="5287" operator="lessThan">
      <formula>0</formula>
    </cfRule>
  </conditionalFormatting>
  <conditionalFormatting sqref="H86:H1048576">
    <cfRule type="cellIs" dxfId="2941" priority="5286" operator="lessThan">
      <formula>0</formula>
    </cfRule>
  </conditionalFormatting>
  <conditionalFormatting sqref="H86:H1048576">
    <cfRule type="cellIs" dxfId="2940" priority="5285" operator="lessThan">
      <formula>0</formula>
    </cfRule>
  </conditionalFormatting>
  <conditionalFormatting sqref="H86:H1048576">
    <cfRule type="cellIs" dxfId="2939" priority="5284" operator="lessThan">
      <formula>0</formula>
    </cfRule>
  </conditionalFormatting>
  <conditionalFormatting sqref="H86:H1048576">
    <cfRule type="cellIs" dxfId="2938" priority="5283" operator="lessThan">
      <formula>0</formula>
    </cfRule>
  </conditionalFormatting>
  <conditionalFormatting sqref="H86:H1048576">
    <cfRule type="cellIs" dxfId="2937" priority="5282" operator="lessThan">
      <formula>0</formula>
    </cfRule>
  </conditionalFormatting>
  <conditionalFormatting sqref="H86:H1048576">
    <cfRule type="cellIs" dxfId="2936" priority="5281" operator="lessThan">
      <formula>0</formula>
    </cfRule>
  </conditionalFormatting>
  <conditionalFormatting sqref="H86:H1048576">
    <cfRule type="cellIs" dxfId="2935" priority="5280" operator="lessThan">
      <formula>0</formula>
    </cfRule>
  </conditionalFormatting>
  <conditionalFormatting sqref="H86:H1048576">
    <cfRule type="cellIs" dxfId="2934" priority="5279" operator="lessThan">
      <formula>0</formula>
    </cfRule>
  </conditionalFormatting>
  <conditionalFormatting sqref="H86:H1048576">
    <cfRule type="cellIs" dxfId="2933" priority="5278" operator="lessThan">
      <formula>0</formula>
    </cfRule>
  </conditionalFormatting>
  <conditionalFormatting sqref="H86:H1048576">
    <cfRule type="cellIs" dxfId="2932" priority="5277" operator="lessThan">
      <formula>0</formula>
    </cfRule>
  </conditionalFormatting>
  <conditionalFormatting sqref="H86:H1048576">
    <cfRule type="cellIs" dxfId="2931" priority="5276" operator="lessThan">
      <formula>0</formula>
    </cfRule>
  </conditionalFormatting>
  <conditionalFormatting sqref="H86:H1048576">
    <cfRule type="cellIs" dxfId="2930" priority="5275" operator="lessThan">
      <formula>0</formula>
    </cfRule>
  </conditionalFormatting>
  <conditionalFormatting sqref="H86:H1048576">
    <cfRule type="cellIs" dxfId="2929" priority="5274" operator="lessThan">
      <formula>0</formula>
    </cfRule>
  </conditionalFormatting>
  <conditionalFormatting sqref="H86:H1048576">
    <cfRule type="cellIs" dxfId="2928" priority="5273" operator="lessThan">
      <formula>0</formula>
    </cfRule>
  </conditionalFormatting>
  <conditionalFormatting sqref="H86:H1048576">
    <cfRule type="cellIs" dxfId="2927" priority="5272" operator="lessThan">
      <formula>0</formula>
    </cfRule>
  </conditionalFormatting>
  <conditionalFormatting sqref="H86:H1048576">
    <cfRule type="cellIs" dxfId="2926" priority="5271" operator="lessThan">
      <formula>0</formula>
    </cfRule>
  </conditionalFormatting>
  <conditionalFormatting sqref="H86:H1048576">
    <cfRule type="cellIs" dxfId="2925" priority="5270" operator="lessThan">
      <formula>0</formula>
    </cfRule>
  </conditionalFormatting>
  <conditionalFormatting sqref="H86:H1048576">
    <cfRule type="cellIs" dxfId="2924" priority="5269" operator="lessThan">
      <formula>0</formula>
    </cfRule>
  </conditionalFormatting>
  <conditionalFormatting sqref="H86:H1048576">
    <cfRule type="cellIs" dxfId="2923" priority="5268" operator="lessThan">
      <formula>0</formula>
    </cfRule>
  </conditionalFormatting>
  <conditionalFormatting sqref="H86:H1048576">
    <cfRule type="cellIs" dxfId="2922" priority="5267" operator="lessThan">
      <formula>0</formula>
    </cfRule>
  </conditionalFormatting>
  <conditionalFormatting sqref="H86:H1048576">
    <cfRule type="cellIs" dxfId="2921" priority="5266" operator="lessThan">
      <formula>0</formula>
    </cfRule>
  </conditionalFormatting>
  <conditionalFormatting sqref="H86:H1048576">
    <cfRule type="cellIs" dxfId="2920" priority="5265" operator="lessThan">
      <formula>0</formula>
    </cfRule>
  </conditionalFormatting>
  <conditionalFormatting sqref="H86:H1048576">
    <cfRule type="cellIs" dxfId="2919" priority="5264" operator="lessThan">
      <formula>0</formula>
    </cfRule>
  </conditionalFormatting>
  <conditionalFormatting sqref="H86:H1048576">
    <cfRule type="cellIs" dxfId="2918" priority="5263" operator="lessThan">
      <formula>0</formula>
    </cfRule>
  </conditionalFormatting>
  <conditionalFormatting sqref="H86:H1048576">
    <cfRule type="cellIs" dxfId="2917" priority="5262" operator="lessThan">
      <formula>0</formula>
    </cfRule>
  </conditionalFormatting>
  <conditionalFormatting sqref="H86:H1048576">
    <cfRule type="cellIs" dxfId="2916" priority="5261" operator="lessThan">
      <formula>0</formula>
    </cfRule>
  </conditionalFormatting>
  <conditionalFormatting sqref="H86:H1048576">
    <cfRule type="cellIs" dxfId="2915" priority="5260" operator="lessThan">
      <formula>0</formula>
    </cfRule>
  </conditionalFormatting>
  <conditionalFormatting sqref="H86:H1048576">
    <cfRule type="cellIs" dxfId="2914" priority="5259" operator="lessThan">
      <formula>0</formula>
    </cfRule>
  </conditionalFormatting>
  <conditionalFormatting sqref="H86:H1048576">
    <cfRule type="cellIs" dxfId="2913" priority="5258" operator="lessThan">
      <formula>0</formula>
    </cfRule>
  </conditionalFormatting>
  <conditionalFormatting sqref="H86:H1048576">
    <cfRule type="cellIs" dxfId="2912" priority="5257" operator="lessThan">
      <formula>0</formula>
    </cfRule>
  </conditionalFormatting>
  <conditionalFormatting sqref="H86:H1048576">
    <cfRule type="cellIs" dxfId="2911" priority="5256" operator="lessThan">
      <formula>0</formula>
    </cfRule>
  </conditionalFormatting>
  <conditionalFormatting sqref="H86:H1048576">
    <cfRule type="cellIs" dxfId="2910" priority="5255" operator="lessThan">
      <formula>0</formula>
    </cfRule>
  </conditionalFormatting>
  <conditionalFormatting sqref="H86:H1048576">
    <cfRule type="cellIs" dxfId="2909" priority="5254" operator="lessThan">
      <formula>0</formula>
    </cfRule>
  </conditionalFormatting>
  <conditionalFormatting sqref="H86:H1048576">
    <cfRule type="cellIs" dxfId="2908" priority="5253" operator="lessThan">
      <formula>0</formula>
    </cfRule>
  </conditionalFormatting>
  <conditionalFormatting sqref="H86:H1048576">
    <cfRule type="cellIs" dxfId="2907" priority="5252" operator="lessThan">
      <formula>0</formula>
    </cfRule>
  </conditionalFormatting>
  <conditionalFormatting sqref="H86:H1048576">
    <cfRule type="cellIs" dxfId="2906" priority="5251" operator="lessThan">
      <formula>0</formula>
    </cfRule>
  </conditionalFormatting>
  <conditionalFormatting sqref="H86:H1048576">
    <cfRule type="cellIs" dxfId="2905" priority="5250" operator="lessThan">
      <formula>0</formula>
    </cfRule>
  </conditionalFormatting>
  <conditionalFormatting sqref="H86:H1048576">
    <cfRule type="cellIs" dxfId="2904" priority="5249" operator="lessThan">
      <formula>0</formula>
    </cfRule>
  </conditionalFormatting>
  <conditionalFormatting sqref="H86:H1048576">
    <cfRule type="cellIs" dxfId="2903" priority="5248" operator="lessThan">
      <formula>0</formula>
    </cfRule>
  </conditionalFormatting>
  <conditionalFormatting sqref="H86:H1048576">
    <cfRule type="cellIs" dxfId="2902" priority="5247" operator="lessThan">
      <formula>0</formula>
    </cfRule>
  </conditionalFormatting>
  <conditionalFormatting sqref="H86:H1048576">
    <cfRule type="cellIs" dxfId="2901" priority="5246" operator="lessThan">
      <formula>0</formula>
    </cfRule>
  </conditionalFormatting>
  <conditionalFormatting sqref="H86:H1048576">
    <cfRule type="cellIs" dxfId="2900" priority="5245" operator="lessThan">
      <formula>0</formula>
    </cfRule>
  </conditionalFormatting>
  <conditionalFormatting sqref="H86:H1048576">
    <cfRule type="cellIs" dxfId="2899" priority="5244" operator="lessThan">
      <formula>0</formula>
    </cfRule>
  </conditionalFormatting>
  <conditionalFormatting sqref="H86:H1048576">
    <cfRule type="cellIs" dxfId="2898" priority="5243" operator="lessThan">
      <formula>0</formula>
    </cfRule>
  </conditionalFormatting>
  <conditionalFormatting sqref="H86:H1048576">
    <cfRule type="cellIs" dxfId="2897" priority="5242" operator="lessThan">
      <formula>0</formula>
    </cfRule>
  </conditionalFormatting>
  <conditionalFormatting sqref="H86:H1048576">
    <cfRule type="cellIs" dxfId="2896" priority="5241" operator="lessThan">
      <formula>0</formula>
    </cfRule>
  </conditionalFormatting>
  <conditionalFormatting sqref="H86:H1048576">
    <cfRule type="cellIs" dxfId="2895" priority="5240" operator="lessThan">
      <formula>0</formula>
    </cfRule>
  </conditionalFormatting>
  <conditionalFormatting sqref="H86:H1048576">
    <cfRule type="cellIs" dxfId="2894" priority="5239" operator="lessThan">
      <formula>0</formula>
    </cfRule>
  </conditionalFormatting>
  <conditionalFormatting sqref="H86:H1048576">
    <cfRule type="cellIs" dxfId="2893" priority="5238" operator="lessThan">
      <formula>0</formula>
    </cfRule>
  </conditionalFormatting>
  <conditionalFormatting sqref="H86:H1048576">
    <cfRule type="cellIs" dxfId="2892" priority="5237" operator="lessThan">
      <formula>0</formula>
    </cfRule>
  </conditionalFormatting>
  <conditionalFormatting sqref="H86:H1048576">
    <cfRule type="cellIs" dxfId="2891" priority="5236" operator="lessThan">
      <formula>0</formula>
    </cfRule>
  </conditionalFormatting>
  <conditionalFormatting sqref="H86:H1048576">
    <cfRule type="cellIs" dxfId="2890" priority="5235" operator="lessThan">
      <formula>0</formula>
    </cfRule>
  </conditionalFormatting>
  <conditionalFormatting sqref="H86:H1048576">
    <cfRule type="cellIs" dxfId="2889" priority="5234" operator="lessThan">
      <formula>0</formula>
    </cfRule>
  </conditionalFormatting>
  <conditionalFormatting sqref="H86:H1048576">
    <cfRule type="cellIs" dxfId="2888" priority="5233" operator="lessThan">
      <formula>0</formula>
    </cfRule>
  </conditionalFormatting>
  <conditionalFormatting sqref="H86:H1048576">
    <cfRule type="cellIs" dxfId="2887" priority="5232" operator="lessThan">
      <formula>0</formula>
    </cfRule>
  </conditionalFormatting>
  <conditionalFormatting sqref="H86:H1048576">
    <cfRule type="cellIs" dxfId="2886" priority="5231" operator="lessThan">
      <formula>0</formula>
    </cfRule>
  </conditionalFormatting>
  <conditionalFormatting sqref="H86:H1048576">
    <cfRule type="cellIs" dxfId="2885" priority="5230" operator="lessThan">
      <formula>0</formula>
    </cfRule>
  </conditionalFormatting>
  <conditionalFormatting sqref="H86:H1048576">
    <cfRule type="cellIs" dxfId="2884" priority="5229" operator="lessThan">
      <formula>0</formula>
    </cfRule>
  </conditionalFormatting>
  <conditionalFormatting sqref="H86:H1048576">
    <cfRule type="cellIs" dxfId="2883" priority="5228" operator="lessThan">
      <formula>0</formula>
    </cfRule>
  </conditionalFormatting>
  <conditionalFormatting sqref="H86:H1048576">
    <cfRule type="cellIs" dxfId="2882" priority="5227" operator="lessThan">
      <formula>0</formula>
    </cfRule>
  </conditionalFormatting>
  <conditionalFormatting sqref="H86:H1048576">
    <cfRule type="cellIs" dxfId="2881" priority="5226" operator="lessThan">
      <formula>0</formula>
    </cfRule>
  </conditionalFormatting>
  <conditionalFormatting sqref="H86:H1048576">
    <cfRule type="cellIs" dxfId="2880" priority="5225" operator="lessThan">
      <formula>0</formula>
    </cfRule>
  </conditionalFormatting>
  <conditionalFormatting sqref="H86:H1048576">
    <cfRule type="cellIs" dxfId="2879" priority="5224" operator="lessThan">
      <formula>0</formula>
    </cfRule>
  </conditionalFormatting>
  <conditionalFormatting sqref="H86:H1048576">
    <cfRule type="cellIs" dxfId="2878" priority="5223" operator="lessThan">
      <formula>0</formula>
    </cfRule>
  </conditionalFormatting>
  <conditionalFormatting sqref="H86:H1048576">
    <cfRule type="cellIs" dxfId="2877" priority="5222" operator="lessThan">
      <formula>0</formula>
    </cfRule>
  </conditionalFormatting>
  <conditionalFormatting sqref="H86:H1048576">
    <cfRule type="cellIs" dxfId="2876" priority="5221" operator="lessThan">
      <formula>0</formula>
    </cfRule>
  </conditionalFormatting>
  <conditionalFormatting sqref="H86:H1048576">
    <cfRule type="cellIs" dxfId="2875" priority="5220" operator="lessThan">
      <formula>0</formula>
    </cfRule>
  </conditionalFormatting>
  <conditionalFormatting sqref="H86:H1048576">
    <cfRule type="cellIs" dxfId="2874" priority="5219" operator="lessThan">
      <formula>0</formula>
    </cfRule>
  </conditionalFormatting>
  <conditionalFormatting sqref="H86:H1048576">
    <cfRule type="cellIs" dxfId="2873" priority="5218" operator="lessThan">
      <formula>0</formula>
    </cfRule>
  </conditionalFormatting>
  <conditionalFormatting sqref="H86:H1048576">
    <cfRule type="cellIs" dxfId="2872" priority="5217" operator="lessThan">
      <formula>0</formula>
    </cfRule>
  </conditionalFormatting>
  <conditionalFormatting sqref="H86:H1048576">
    <cfRule type="cellIs" dxfId="2871" priority="5216" operator="lessThan">
      <formula>0</formula>
    </cfRule>
  </conditionalFormatting>
  <conditionalFormatting sqref="H86:H1048576">
    <cfRule type="cellIs" dxfId="2870" priority="5215" operator="lessThan">
      <formula>0</formula>
    </cfRule>
  </conditionalFormatting>
  <conditionalFormatting sqref="H86:H1048576">
    <cfRule type="cellIs" dxfId="2869" priority="5214" operator="lessThan">
      <formula>0</formula>
    </cfRule>
  </conditionalFormatting>
  <conditionalFormatting sqref="H86:H1048576">
    <cfRule type="cellIs" dxfId="2868" priority="5213" operator="lessThan">
      <formula>0</formula>
    </cfRule>
  </conditionalFormatting>
  <conditionalFormatting sqref="H86:H1048576">
    <cfRule type="cellIs" dxfId="2867" priority="5212" operator="lessThan">
      <formula>0</formula>
    </cfRule>
  </conditionalFormatting>
  <conditionalFormatting sqref="H86:H1048576">
    <cfRule type="cellIs" dxfId="2866" priority="5211" operator="lessThan">
      <formula>0</formula>
    </cfRule>
  </conditionalFormatting>
  <conditionalFormatting sqref="H10:H1048576">
    <cfRule type="cellIs" dxfId="2865" priority="5210" operator="lessThan">
      <formula>0</formula>
    </cfRule>
  </conditionalFormatting>
  <conditionalFormatting sqref="H10:H1048576">
    <cfRule type="cellIs" dxfId="2864" priority="5209" operator="lessThan">
      <formula>0</formula>
    </cfRule>
  </conditionalFormatting>
  <conditionalFormatting sqref="H10:H1048576">
    <cfRule type="cellIs" dxfId="2863" priority="5208" operator="lessThan">
      <formula>0</formula>
    </cfRule>
  </conditionalFormatting>
  <conditionalFormatting sqref="H10:H1048576">
    <cfRule type="cellIs" dxfId="2862" priority="5207" operator="lessThan">
      <formula>0</formula>
    </cfRule>
  </conditionalFormatting>
  <conditionalFormatting sqref="H10:H1048576">
    <cfRule type="cellIs" dxfId="2861" priority="5206" operator="lessThan">
      <formula>0</formula>
    </cfRule>
  </conditionalFormatting>
  <conditionalFormatting sqref="H10:H1048576">
    <cfRule type="cellIs" dxfId="2860" priority="5205" operator="lessThan">
      <formula>0</formula>
    </cfRule>
  </conditionalFormatting>
  <conditionalFormatting sqref="H10:H1048576">
    <cfRule type="cellIs" dxfId="2859" priority="5204" operator="lessThan">
      <formula>0</formula>
    </cfRule>
  </conditionalFormatting>
  <conditionalFormatting sqref="H10:H1048576">
    <cfRule type="cellIs" dxfId="2858" priority="5203" operator="lessThan">
      <formula>0</formula>
    </cfRule>
  </conditionalFormatting>
  <conditionalFormatting sqref="H10:H1048576">
    <cfRule type="cellIs" dxfId="2857" priority="5202" operator="lessThan">
      <formula>0</formula>
    </cfRule>
  </conditionalFormatting>
  <conditionalFormatting sqref="H10:H1048576">
    <cfRule type="cellIs" dxfId="2856" priority="5201" operator="lessThan">
      <formula>0</formula>
    </cfRule>
  </conditionalFormatting>
  <conditionalFormatting sqref="H10:H1048576">
    <cfRule type="cellIs" dxfId="2855" priority="5200" operator="lessThan">
      <formula>0</formula>
    </cfRule>
  </conditionalFormatting>
  <conditionalFormatting sqref="H10:H1048576">
    <cfRule type="cellIs" dxfId="2854" priority="5199" operator="lessThan">
      <formula>0</formula>
    </cfRule>
  </conditionalFormatting>
  <conditionalFormatting sqref="H10:H1048576">
    <cfRule type="cellIs" dxfId="2853" priority="5198" operator="lessThan">
      <formula>0</formula>
    </cfRule>
  </conditionalFormatting>
  <conditionalFormatting sqref="H10:H1048576">
    <cfRule type="cellIs" dxfId="2852" priority="5197" operator="lessThan">
      <formula>0</formula>
    </cfRule>
  </conditionalFormatting>
  <conditionalFormatting sqref="H10:H1048576">
    <cfRule type="cellIs" dxfId="2851" priority="5196" operator="lessThan">
      <formula>0</formula>
    </cfRule>
  </conditionalFormatting>
  <conditionalFormatting sqref="H10:H1048576">
    <cfRule type="cellIs" dxfId="2850" priority="5195" operator="lessThan">
      <formula>0</formula>
    </cfRule>
  </conditionalFormatting>
  <conditionalFormatting sqref="H10:H1048576">
    <cfRule type="cellIs" dxfId="2849" priority="5194" operator="lessThan">
      <formula>0</formula>
    </cfRule>
  </conditionalFormatting>
  <conditionalFormatting sqref="H10:H1048576">
    <cfRule type="cellIs" dxfId="2848" priority="5193" operator="lessThan">
      <formula>0</formula>
    </cfRule>
  </conditionalFormatting>
  <conditionalFormatting sqref="H10:H1048576">
    <cfRule type="cellIs" dxfId="2847" priority="5192" operator="lessThan">
      <formula>0</formula>
    </cfRule>
  </conditionalFormatting>
  <conditionalFormatting sqref="H10:H1048576">
    <cfRule type="cellIs" dxfId="2846" priority="5191" operator="lessThan">
      <formula>0</formula>
    </cfRule>
  </conditionalFormatting>
  <conditionalFormatting sqref="H10:H1048576">
    <cfRule type="cellIs" dxfId="2845" priority="5190" operator="lessThan">
      <formula>0</formula>
    </cfRule>
  </conditionalFormatting>
  <conditionalFormatting sqref="H10:H1048576">
    <cfRule type="cellIs" dxfId="2844" priority="5189" operator="lessThan">
      <formula>0</formula>
    </cfRule>
  </conditionalFormatting>
  <conditionalFormatting sqref="H10:H1048576">
    <cfRule type="cellIs" dxfId="2843" priority="5188" operator="lessThan">
      <formula>0</formula>
    </cfRule>
  </conditionalFormatting>
  <conditionalFormatting sqref="H10:H1048576">
    <cfRule type="cellIs" dxfId="2842" priority="5187" operator="lessThan">
      <formula>0</formula>
    </cfRule>
  </conditionalFormatting>
  <conditionalFormatting sqref="H10:H1048576">
    <cfRule type="cellIs" dxfId="2841" priority="5186" operator="lessThan">
      <formula>0</formula>
    </cfRule>
  </conditionalFormatting>
  <conditionalFormatting sqref="H10:H1048576">
    <cfRule type="cellIs" dxfId="2840" priority="5185" operator="lessThan">
      <formula>0</formula>
    </cfRule>
  </conditionalFormatting>
  <conditionalFormatting sqref="H10:H1048576">
    <cfRule type="cellIs" dxfId="2839" priority="5184" operator="lessThan">
      <formula>0</formula>
    </cfRule>
  </conditionalFormatting>
  <conditionalFormatting sqref="H10:H1048576">
    <cfRule type="cellIs" dxfId="2838" priority="5183" operator="lessThan">
      <formula>0</formula>
    </cfRule>
  </conditionalFormatting>
  <conditionalFormatting sqref="H10:H1048576">
    <cfRule type="cellIs" dxfId="2837" priority="5182" operator="lessThan">
      <formula>0</formula>
    </cfRule>
  </conditionalFormatting>
  <conditionalFormatting sqref="H10:H1048576">
    <cfRule type="cellIs" dxfId="2836" priority="5181" operator="lessThan">
      <formula>0</formula>
    </cfRule>
  </conditionalFormatting>
  <conditionalFormatting sqref="H10:H1048576">
    <cfRule type="cellIs" dxfId="2835" priority="5180" operator="lessThan">
      <formula>0</formula>
    </cfRule>
  </conditionalFormatting>
  <conditionalFormatting sqref="H10:H1048576">
    <cfRule type="cellIs" dxfId="2834" priority="5179" operator="lessThan">
      <formula>0</formula>
    </cfRule>
  </conditionalFormatting>
  <conditionalFormatting sqref="H10:H1048576">
    <cfRule type="cellIs" dxfId="2833" priority="5178" operator="lessThan">
      <formula>0</formula>
    </cfRule>
  </conditionalFormatting>
  <conditionalFormatting sqref="H10:H1048576">
    <cfRule type="cellIs" dxfId="2832" priority="5177" operator="lessThan">
      <formula>0</formula>
    </cfRule>
  </conditionalFormatting>
  <conditionalFormatting sqref="H10:H1048576">
    <cfRule type="cellIs" dxfId="2831" priority="5176" operator="lessThan">
      <formula>0</formula>
    </cfRule>
  </conditionalFormatting>
  <conditionalFormatting sqref="H10:H1048576">
    <cfRule type="cellIs" dxfId="2830" priority="5175" operator="lessThan">
      <formula>0</formula>
    </cfRule>
  </conditionalFormatting>
  <conditionalFormatting sqref="H10:H1048576">
    <cfRule type="cellIs" dxfId="2829" priority="5174" operator="lessThan">
      <formula>0</formula>
    </cfRule>
  </conditionalFormatting>
  <conditionalFormatting sqref="H10:H1048576">
    <cfRule type="cellIs" dxfId="2828" priority="5173" operator="lessThan">
      <formula>0</formula>
    </cfRule>
  </conditionalFormatting>
  <conditionalFormatting sqref="H10:H1048576">
    <cfRule type="cellIs" dxfId="2827" priority="5172" operator="lessThan">
      <formula>0</formula>
    </cfRule>
  </conditionalFormatting>
  <conditionalFormatting sqref="H10:H1048576">
    <cfRule type="cellIs" dxfId="2826" priority="5171" operator="lessThan">
      <formula>0</formula>
    </cfRule>
  </conditionalFormatting>
  <conditionalFormatting sqref="H10:H1048576">
    <cfRule type="cellIs" dxfId="2825" priority="5170" operator="lessThan">
      <formula>0</formula>
    </cfRule>
  </conditionalFormatting>
  <conditionalFormatting sqref="H10:H1048576">
    <cfRule type="cellIs" dxfId="2824" priority="5169" operator="lessThan">
      <formula>0</formula>
    </cfRule>
  </conditionalFormatting>
  <conditionalFormatting sqref="H10:H1048576">
    <cfRule type="cellIs" dxfId="2823" priority="5168" operator="lessThan">
      <formula>0</formula>
    </cfRule>
  </conditionalFormatting>
  <conditionalFormatting sqref="H10:H1048576">
    <cfRule type="cellIs" dxfId="2822" priority="5167" operator="lessThan">
      <formula>0</formula>
    </cfRule>
  </conditionalFormatting>
  <conditionalFormatting sqref="H10:H1048576">
    <cfRule type="cellIs" dxfId="2821" priority="5166" operator="lessThan">
      <formula>0</formula>
    </cfRule>
  </conditionalFormatting>
  <conditionalFormatting sqref="H10:H1048576">
    <cfRule type="cellIs" dxfId="2820" priority="5165" operator="lessThan">
      <formula>0</formula>
    </cfRule>
  </conditionalFormatting>
  <conditionalFormatting sqref="H10:H1048576">
    <cfRule type="cellIs" dxfId="2819" priority="5164" operator="lessThan">
      <formula>0</formula>
    </cfRule>
  </conditionalFormatting>
  <conditionalFormatting sqref="H10:H1048576">
    <cfRule type="cellIs" dxfId="2818" priority="5163" operator="lessThan">
      <formula>0</formula>
    </cfRule>
  </conditionalFormatting>
  <conditionalFormatting sqref="H10:H1048576">
    <cfRule type="cellIs" dxfId="2817" priority="5162" operator="lessThan">
      <formula>0</formula>
    </cfRule>
  </conditionalFormatting>
  <conditionalFormatting sqref="H10:H1048576">
    <cfRule type="cellIs" dxfId="2816" priority="5161" operator="lessThan">
      <formula>0</formula>
    </cfRule>
  </conditionalFormatting>
  <conditionalFormatting sqref="H10:H1048576">
    <cfRule type="cellIs" dxfId="2815" priority="5160" operator="lessThan">
      <formula>0</formula>
    </cfRule>
  </conditionalFormatting>
  <conditionalFormatting sqref="H10:H1048576">
    <cfRule type="cellIs" dxfId="2814" priority="5159" operator="lessThan">
      <formula>0</formula>
    </cfRule>
  </conditionalFormatting>
  <conditionalFormatting sqref="H10:H1048576">
    <cfRule type="cellIs" dxfId="2813" priority="5158" operator="lessThan">
      <formula>0</formula>
    </cfRule>
  </conditionalFormatting>
  <conditionalFormatting sqref="H10:H1048576">
    <cfRule type="cellIs" dxfId="2812" priority="5157" operator="lessThan">
      <formula>0</formula>
    </cfRule>
  </conditionalFormatting>
  <conditionalFormatting sqref="H10:H1048576">
    <cfRule type="cellIs" dxfId="2811" priority="5156" operator="lessThan">
      <formula>0</formula>
    </cfRule>
  </conditionalFormatting>
  <conditionalFormatting sqref="H10:H1048576">
    <cfRule type="cellIs" dxfId="2810" priority="5155" operator="lessThan">
      <formula>0</formula>
    </cfRule>
  </conditionalFormatting>
  <conditionalFormatting sqref="H10:H1048576">
    <cfRule type="cellIs" dxfId="2809" priority="5154" operator="lessThan">
      <formula>0</formula>
    </cfRule>
  </conditionalFormatting>
  <conditionalFormatting sqref="H10:H1048576">
    <cfRule type="cellIs" dxfId="2808" priority="5153" operator="lessThan">
      <formula>0</formula>
    </cfRule>
  </conditionalFormatting>
  <conditionalFormatting sqref="H10:H1048576">
    <cfRule type="cellIs" dxfId="2807" priority="5152" operator="lessThan">
      <formula>0</formula>
    </cfRule>
  </conditionalFormatting>
  <conditionalFormatting sqref="H10:H1048576">
    <cfRule type="cellIs" dxfId="2806" priority="5151" operator="lessThan">
      <formula>0</formula>
    </cfRule>
  </conditionalFormatting>
  <conditionalFormatting sqref="H10:H1048576">
    <cfRule type="cellIs" dxfId="2805" priority="5150" operator="lessThan">
      <formula>0</formula>
    </cfRule>
  </conditionalFormatting>
  <conditionalFormatting sqref="H10:H1048576">
    <cfRule type="cellIs" dxfId="2804" priority="5149" operator="lessThan">
      <formula>0</formula>
    </cfRule>
  </conditionalFormatting>
  <conditionalFormatting sqref="H10:H1048576">
    <cfRule type="cellIs" dxfId="2803" priority="5148" operator="lessThan">
      <formula>0</formula>
    </cfRule>
  </conditionalFormatting>
  <conditionalFormatting sqref="H10:H1048576">
    <cfRule type="cellIs" dxfId="2802" priority="5147" operator="lessThan">
      <formula>0</formula>
    </cfRule>
  </conditionalFormatting>
  <conditionalFormatting sqref="H10:H1048576">
    <cfRule type="cellIs" dxfId="2801" priority="5146" operator="lessThan">
      <formula>0</formula>
    </cfRule>
  </conditionalFormatting>
  <conditionalFormatting sqref="H10:H1048576">
    <cfRule type="cellIs" dxfId="2800" priority="5145" operator="lessThan">
      <formula>0</formula>
    </cfRule>
  </conditionalFormatting>
  <conditionalFormatting sqref="H10:H1048576">
    <cfRule type="cellIs" dxfId="2799" priority="5144" operator="lessThan">
      <formula>0</formula>
    </cfRule>
  </conditionalFormatting>
  <conditionalFormatting sqref="H10:H1048576">
    <cfRule type="cellIs" dxfId="2798" priority="5143" operator="lessThan">
      <formula>0</formula>
    </cfRule>
  </conditionalFormatting>
  <conditionalFormatting sqref="H10:H1048576">
    <cfRule type="cellIs" dxfId="2797" priority="5142" operator="lessThan">
      <formula>0</formula>
    </cfRule>
  </conditionalFormatting>
  <conditionalFormatting sqref="H10:H1048576">
    <cfRule type="cellIs" dxfId="2796" priority="5141" operator="lessThan">
      <formula>0</formula>
    </cfRule>
  </conditionalFormatting>
  <conditionalFormatting sqref="H10:H1048576">
    <cfRule type="cellIs" dxfId="2795" priority="5140" operator="lessThan">
      <formula>0</formula>
    </cfRule>
  </conditionalFormatting>
  <conditionalFormatting sqref="H10:H1048576">
    <cfRule type="cellIs" dxfId="2794" priority="5139" operator="lessThan">
      <formula>0</formula>
    </cfRule>
  </conditionalFormatting>
  <conditionalFormatting sqref="H10:H1048576">
    <cfRule type="cellIs" dxfId="2793" priority="5138" operator="lessThan">
      <formula>0</formula>
    </cfRule>
  </conditionalFormatting>
  <conditionalFormatting sqref="H10:H1048576">
    <cfRule type="cellIs" dxfId="2792" priority="5137" operator="lessThan">
      <formula>0</formula>
    </cfRule>
  </conditionalFormatting>
  <conditionalFormatting sqref="H10:H1048576">
    <cfRule type="cellIs" dxfId="2791" priority="5136" operator="lessThan">
      <formula>0</formula>
    </cfRule>
  </conditionalFormatting>
  <conditionalFormatting sqref="H10:H1048576">
    <cfRule type="cellIs" dxfId="2790" priority="5135" operator="lessThan">
      <formula>0</formula>
    </cfRule>
  </conditionalFormatting>
  <conditionalFormatting sqref="H10:H1048576">
    <cfRule type="cellIs" dxfId="2789" priority="5134" operator="lessThan">
      <formula>0</formula>
    </cfRule>
  </conditionalFormatting>
  <conditionalFormatting sqref="H10:H1048576">
    <cfRule type="cellIs" dxfId="2788" priority="5133" operator="lessThan">
      <formula>0</formula>
    </cfRule>
  </conditionalFormatting>
  <conditionalFormatting sqref="H10:H1048576">
    <cfRule type="cellIs" dxfId="2787" priority="5132" operator="lessThan">
      <formula>0</formula>
    </cfRule>
  </conditionalFormatting>
  <conditionalFormatting sqref="H10:H1048576">
    <cfRule type="cellIs" dxfId="2786" priority="5131" operator="lessThan">
      <formula>0</formula>
    </cfRule>
  </conditionalFormatting>
  <conditionalFormatting sqref="H10:H1048576">
    <cfRule type="cellIs" dxfId="2785" priority="5130" operator="lessThan">
      <formula>0</formula>
    </cfRule>
  </conditionalFormatting>
  <conditionalFormatting sqref="H10:H1048576">
    <cfRule type="cellIs" dxfId="2784" priority="5129" operator="lessThan">
      <formula>0</formula>
    </cfRule>
  </conditionalFormatting>
  <conditionalFormatting sqref="H10:H1048576">
    <cfRule type="cellIs" dxfId="2783" priority="5128" operator="lessThan">
      <formula>0</formula>
    </cfRule>
  </conditionalFormatting>
  <conditionalFormatting sqref="H10:H1048576">
    <cfRule type="cellIs" dxfId="2782" priority="5127" operator="lessThan">
      <formula>0</formula>
    </cfRule>
  </conditionalFormatting>
  <conditionalFormatting sqref="H10:H1048576">
    <cfRule type="cellIs" dxfId="2781" priority="5126" operator="lessThan">
      <formula>0</formula>
    </cfRule>
  </conditionalFormatting>
  <conditionalFormatting sqref="H10:H1048576">
    <cfRule type="cellIs" dxfId="2780" priority="5125" operator="lessThan">
      <formula>0</formula>
    </cfRule>
  </conditionalFormatting>
  <conditionalFormatting sqref="H10:H1048576">
    <cfRule type="cellIs" dxfId="2779" priority="5124" operator="lessThan">
      <formula>0</formula>
    </cfRule>
  </conditionalFormatting>
  <conditionalFormatting sqref="H10:H1048576">
    <cfRule type="cellIs" dxfId="2778" priority="5123" operator="lessThan">
      <formula>0</formula>
    </cfRule>
  </conditionalFormatting>
  <conditionalFormatting sqref="H10:H1048576">
    <cfRule type="cellIs" dxfId="2777" priority="5122" operator="lessThan">
      <formula>0</formula>
    </cfRule>
  </conditionalFormatting>
  <conditionalFormatting sqref="H10:H1048576">
    <cfRule type="cellIs" dxfId="2776" priority="5121" operator="lessThan">
      <formula>0</formula>
    </cfRule>
  </conditionalFormatting>
  <conditionalFormatting sqref="H10:H1048576">
    <cfRule type="cellIs" dxfId="2775" priority="5120" operator="lessThan">
      <formula>0</formula>
    </cfRule>
  </conditionalFormatting>
  <conditionalFormatting sqref="H10:H1048576">
    <cfRule type="cellIs" dxfId="2774" priority="5119" operator="lessThan">
      <formula>0</formula>
    </cfRule>
  </conditionalFormatting>
  <conditionalFormatting sqref="H10:H1048576">
    <cfRule type="cellIs" dxfId="2773" priority="5118" operator="lessThan">
      <formula>0</formula>
    </cfRule>
  </conditionalFormatting>
  <conditionalFormatting sqref="H10:H1048576">
    <cfRule type="cellIs" dxfId="2772" priority="5117" operator="lessThan">
      <formula>0</formula>
    </cfRule>
  </conditionalFormatting>
  <conditionalFormatting sqref="H10:H1048576">
    <cfRule type="cellIs" dxfId="2771" priority="5116" operator="lessThan">
      <formula>0</formula>
    </cfRule>
  </conditionalFormatting>
  <conditionalFormatting sqref="H10:H1048576">
    <cfRule type="cellIs" dxfId="2770" priority="5115" operator="lessThan">
      <formula>0</formula>
    </cfRule>
  </conditionalFormatting>
  <conditionalFormatting sqref="H10:H1048576">
    <cfRule type="cellIs" dxfId="2769" priority="5114" operator="lessThan">
      <formula>0</formula>
    </cfRule>
  </conditionalFormatting>
  <conditionalFormatting sqref="H10:H1048576">
    <cfRule type="cellIs" dxfId="2768" priority="5113" operator="lessThan">
      <formula>0</formula>
    </cfRule>
  </conditionalFormatting>
  <conditionalFormatting sqref="H10:H1048576">
    <cfRule type="cellIs" dxfId="2767" priority="5112" operator="lessThan">
      <formula>0</formula>
    </cfRule>
  </conditionalFormatting>
  <conditionalFormatting sqref="H10:H1048576">
    <cfRule type="cellIs" dxfId="2766" priority="5111" operator="lessThan">
      <formula>0</formula>
    </cfRule>
  </conditionalFormatting>
  <conditionalFormatting sqref="H10:H1048576">
    <cfRule type="cellIs" dxfId="2765" priority="5110" operator="lessThan">
      <formula>0</formula>
    </cfRule>
  </conditionalFormatting>
  <conditionalFormatting sqref="H10:H1048576">
    <cfRule type="cellIs" dxfId="2764" priority="5109" operator="lessThan">
      <formula>0</formula>
    </cfRule>
  </conditionalFormatting>
  <conditionalFormatting sqref="H10:H1048576">
    <cfRule type="cellIs" dxfId="2763" priority="5108" operator="lessThan">
      <formula>0</formula>
    </cfRule>
  </conditionalFormatting>
  <conditionalFormatting sqref="H10:H1048576">
    <cfRule type="cellIs" dxfId="2762" priority="5107" operator="lessThan">
      <formula>0</formula>
    </cfRule>
  </conditionalFormatting>
  <conditionalFormatting sqref="H10:H1048576">
    <cfRule type="cellIs" dxfId="2761" priority="5106" operator="lessThan">
      <formula>0</formula>
    </cfRule>
  </conditionalFormatting>
  <conditionalFormatting sqref="H10:H1048576">
    <cfRule type="cellIs" dxfId="2760" priority="5105" operator="lessThan">
      <formula>0</formula>
    </cfRule>
  </conditionalFormatting>
  <conditionalFormatting sqref="H10:H1048576">
    <cfRule type="cellIs" dxfId="2759" priority="5104" operator="lessThan">
      <formula>0</formula>
    </cfRule>
  </conditionalFormatting>
  <conditionalFormatting sqref="H10:H1048576">
    <cfRule type="cellIs" dxfId="2758" priority="5103" operator="lessThan">
      <formula>0</formula>
    </cfRule>
  </conditionalFormatting>
  <conditionalFormatting sqref="H10:H1048576">
    <cfRule type="cellIs" dxfId="2757" priority="5102" operator="lessThan">
      <formula>0</formula>
    </cfRule>
  </conditionalFormatting>
  <conditionalFormatting sqref="H10:H1048576">
    <cfRule type="cellIs" dxfId="2756" priority="5101" operator="lessThan">
      <formula>0</formula>
    </cfRule>
  </conditionalFormatting>
  <conditionalFormatting sqref="H10:H1048576">
    <cfRule type="cellIs" dxfId="2755" priority="5100" operator="lessThan">
      <formula>0</formula>
    </cfRule>
  </conditionalFormatting>
  <conditionalFormatting sqref="H10:H1048576">
    <cfRule type="cellIs" dxfId="2754" priority="5099" operator="lessThan">
      <formula>0</formula>
    </cfRule>
  </conditionalFormatting>
  <conditionalFormatting sqref="H10:H1048576">
    <cfRule type="cellIs" dxfId="2753" priority="5098" operator="lessThan">
      <formula>0</formula>
    </cfRule>
  </conditionalFormatting>
  <conditionalFormatting sqref="H10:H1048576">
    <cfRule type="cellIs" dxfId="2752" priority="5097" operator="lessThan">
      <formula>0</formula>
    </cfRule>
  </conditionalFormatting>
  <conditionalFormatting sqref="H10:H1048576">
    <cfRule type="cellIs" dxfId="2751" priority="5096" operator="lessThan">
      <formula>0</formula>
    </cfRule>
  </conditionalFormatting>
  <conditionalFormatting sqref="H10:H1048576">
    <cfRule type="cellIs" dxfId="2750" priority="5095" operator="lessThan">
      <formula>0</formula>
    </cfRule>
  </conditionalFormatting>
  <conditionalFormatting sqref="H10:H1048576">
    <cfRule type="cellIs" dxfId="2749" priority="5094" operator="lessThan">
      <formula>0</formula>
    </cfRule>
  </conditionalFormatting>
  <conditionalFormatting sqref="H10:H1048576">
    <cfRule type="cellIs" dxfId="2748" priority="5093" operator="lessThan">
      <formula>0</formula>
    </cfRule>
  </conditionalFormatting>
  <conditionalFormatting sqref="H10:H1048576">
    <cfRule type="cellIs" dxfId="2747" priority="5092" operator="lessThan">
      <formula>0</formula>
    </cfRule>
  </conditionalFormatting>
  <conditionalFormatting sqref="H10:H1048576">
    <cfRule type="cellIs" dxfId="2746" priority="5091" operator="lessThan">
      <formula>0</formula>
    </cfRule>
  </conditionalFormatting>
  <conditionalFormatting sqref="H10:H1048576">
    <cfRule type="cellIs" dxfId="2745" priority="5090" operator="lessThan">
      <formula>0</formula>
    </cfRule>
  </conditionalFormatting>
  <conditionalFormatting sqref="H10:H1048576">
    <cfRule type="cellIs" dxfId="2744" priority="5089" operator="lessThan">
      <formula>0</formula>
    </cfRule>
  </conditionalFormatting>
  <conditionalFormatting sqref="H10:H1048576">
    <cfRule type="cellIs" dxfId="2743" priority="5088" operator="lessThan">
      <formula>0</formula>
    </cfRule>
  </conditionalFormatting>
  <conditionalFormatting sqref="H10:H1048576">
    <cfRule type="cellIs" dxfId="2742" priority="5087" operator="lessThan">
      <formula>0</formula>
    </cfRule>
  </conditionalFormatting>
  <conditionalFormatting sqref="H10:H1048576">
    <cfRule type="cellIs" dxfId="2741" priority="5086" operator="lessThan">
      <formula>0</formula>
    </cfRule>
  </conditionalFormatting>
  <conditionalFormatting sqref="H10:H1048576">
    <cfRule type="cellIs" dxfId="2740" priority="5085" operator="lessThan">
      <formula>0</formula>
    </cfRule>
  </conditionalFormatting>
  <conditionalFormatting sqref="H10:H1048576">
    <cfRule type="cellIs" dxfId="2739" priority="5084" operator="lessThan">
      <formula>0</formula>
    </cfRule>
  </conditionalFormatting>
  <conditionalFormatting sqref="H10:H1048576">
    <cfRule type="cellIs" dxfId="2738" priority="5083" operator="lessThan">
      <formula>0</formula>
    </cfRule>
  </conditionalFormatting>
  <conditionalFormatting sqref="H10:H1048576">
    <cfRule type="cellIs" dxfId="2737" priority="5082" operator="lessThan">
      <formula>0</formula>
    </cfRule>
  </conditionalFormatting>
  <conditionalFormatting sqref="H10:H1048576">
    <cfRule type="cellIs" dxfId="2736" priority="5081" operator="lessThan">
      <formula>0</formula>
    </cfRule>
  </conditionalFormatting>
  <conditionalFormatting sqref="H10:H1048576">
    <cfRule type="cellIs" dxfId="2735" priority="5080" operator="lessThan">
      <formula>0</formula>
    </cfRule>
  </conditionalFormatting>
  <conditionalFormatting sqref="H10:H1048576">
    <cfRule type="cellIs" dxfId="2734" priority="5079" operator="lessThan">
      <formula>0</formula>
    </cfRule>
  </conditionalFormatting>
  <conditionalFormatting sqref="H10:H1048576">
    <cfRule type="cellIs" dxfId="2733" priority="5078" operator="lessThan">
      <formula>0</formula>
    </cfRule>
  </conditionalFormatting>
  <conditionalFormatting sqref="H10:H1048576">
    <cfRule type="cellIs" dxfId="2732" priority="5077" operator="lessThan">
      <formula>0</formula>
    </cfRule>
  </conditionalFormatting>
  <conditionalFormatting sqref="H10:H1048576">
    <cfRule type="cellIs" dxfId="2731" priority="5076" operator="lessThan">
      <formula>0</formula>
    </cfRule>
  </conditionalFormatting>
  <conditionalFormatting sqref="H10:H1048576">
    <cfRule type="cellIs" dxfId="2730" priority="5075" operator="lessThan">
      <formula>0</formula>
    </cfRule>
  </conditionalFormatting>
  <conditionalFormatting sqref="H10:H1048576">
    <cfRule type="cellIs" dxfId="2729" priority="5074" operator="lessThan">
      <formula>0</formula>
    </cfRule>
  </conditionalFormatting>
  <conditionalFormatting sqref="H10:H1048576">
    <cfRule type="cellIs" dxfId="2728" priority="5073" operator="lessThan">
      <formula>0</formula>
    </cfRule>
  </conditionalFormatting>
  <conditionalFormatting sqref="H10:H1048576">
    <cfRule type="cellIs" dxfId="2727" priority="5072" operator="lessThan">
      <formula>0</formula>
    </cfRule>
  </conditionalFormatting>
  <conditionalFormatting sqref="H10:H1048576">
    <cfRule type="cellIs" dxfId="2726" priority="5071" operator="lessThan">
      <formula>0</formula>
    </cfRule>
  </conditionalFormatting>
  <conditionalFormatting sqref="H10:H1048576">
    <cfRule type="cellIs" dxfId="2725" priority="5070" operator="lessThan">
      <formula>0</formula>
    </cfRule>
  </conditionalFormatting>
  <conditionalFormatting sqref="H10:H1048576">
    <cfRule type="cellIs" dxfId="2724" priority="5069" operator="lessThan">
      <formula>0</formula>
    </cfRule>
  </conditionalFormatting>
  <conditionalFormatting sqref="H10:H1048576">
    <cfRule type="cellIs" dxfId="2723" priority="5068" operator="lessThan">
      <formula>0</formula>
    </cfRule>
  </conditionalFormatting>
  <conditionalFormatting sqref="H10:H1048576">
    <cfRule type="cellIs" dxfId="2722" priority="5067" operator="lessThan">
      <formula>0</formula>
    </cfRule>
  </conditionalFormatting>
  <conditionalFormatting sqref="H10:H1048576">
    <cfRule type="cellIs" dxfId="2721" priority="5066" operator="lessThan">
      <formula>0</formula>
    </cfRule>
  </conditionalFormatting>
  <conditionalFormatting sqref="H10:H1048576">
    <cfRule type="cellIs" dxfId="2720" priority="5065" operator="lessThan">
      <formula>0</formula>
    </cfRule>
  </conditionalFormatting>
  <conditionalFormatting sqref="H10:H1048576">
    <cfRule type="cellIs" dxfId="2719" priority="5064" operator="lessThan">
      <formula>0</formula>
    </cfRule>
  </conditionalFormatting>
  <conditionalFormatting sqref="H10:H1048576">
    <cfRule type="cellIs" dxfId="2718" priority="5063" operator="lessThan">
      <formula>0</formula>
    </cfRule>
  </conditionalFormatting>
  <conditionalFormatting sqref="H10:H1048576">
    <cfRule type="cellIs" dxfId="2717" priority="5062" operator="lessThan">
      <formula>0</formula>
    </cfRule>
  </conditionalFormatting>
  <conditionalFormatting sqref="H10:H1048576">
    <cfRule type="cellIs" dxfId="2716" priority="5061" operator="lessThan">
      <formula>0</formula>
    </cfRule>
  </conditionalFormatting>
  <conditionalFormatting sqref="H10:H1048576">
    <cfRule type="cellIs" dxfId="2715" priority="5060" operator="lessThan">
      <formula>0</formula>
    </cfRule>
  </conditionalFormatting>
  <conditionalFormatting sqref="H10:H1048576">
    <cfRule type="cellIs" dxfId="2714" priority="5059" operator="lessThan">
      <formula>0</formula>
    </cfRule>
  </conditionalFormatting>
  <conditionalFormatting sqref="H10:H1048576">
    <cfRule type="cellIs" dxfId="2713" priority="5058" operator="lessThan">
      <formula>0</formula>
    </cfRule>
  </conditionalFormatting>
  <conditionalFormatting sqref="H10:H1048576">
    <cfRule type="cellIs" dxfId="2712" priority="5057" operator="lessThan">
      <formula>0</formula>
    </cfRule>
  </conditionalFormatting>
  <conditionalFormatting sqref="H10:H1048576">
    <cfRule type="cellIs" dxfId="2711" priority="5056" operator="lessThan">
      <formula>0</formula>
    </cfRule>
  </conditionalFormatting>
  <conditionalFormatting sqref="H10:H1048576">
    <cfRule type="cellIs" dxfId="2710" priority="5055" operator="lessThan">
      <formula>0</formula>
    </cfRule>
  </conditionalFormatting>
  <conditionalFormatting sqref="H10:H1048576">
    <cfRule type="cellIs" dxfId="2709" priority="5054" operator="lessThan">
      <formula>0</formula>
    </cfRule>
  </conditionalFormatting>
  <conditionalFormatting sqref="H10:H1048576">
    <cfRule type="cellIs" dxfId="2708" priority="5053" operator="lessThan">
      <formula>0</formula>
    </cfRule>
  </conditionalFormatting>
  <conditionalFormatting sqref="H10:H1048576">
    <cfRule type="cellIs" dxfId="2707" priority="5052" operator="lessThan">
      <formula>0</formula>
    </cfRule>
  </conditionalFormatting>
  <conditionalFormatting sqref="H10:H1048576">
    <cfRule type="cellIs" dxfId="2706" priority="5051" operator="lessThan">
      <formula>0</formula>
    </cfRule>
  </conditionalFormatting>
  <conditionalFormatting sqref="H10:H1048576">
    <cfRule type="cellIs" dxfId="2705" priority="5050" operator="lessThan">
      <formula>0</formula>
    </cfRule>
  </conditionalFormatting>
  <conditionalFormatting sqref="H10:H1048576">
    <cfRule type="cellIs" dxfId="2704" priority="5049" operator="lessThan">
      <formula>0</formula>
    </cfRule>
  </conditionalFormatting>
  <conditionalFormatting sqref="H10:H1048576">
    <cfRule type="cellIs" dxfId="2703" priority="5048" operator="lessThan">
      <formula>0</formula>
    </cfRule>
  </conditionalFormatting>
  <conditionalFormatting sqref="H10:H1048576">
    <cfRule type="cellIs" dxfId="2702" priority="5047" operator="lessThan">
      <formula>0</formula>
    </cfRule>
  </conditionalFormatting>
  <conditionalFormatting sqref="H10:H1048576">
    <cfRule type="cellIs" dxfId="2701" priority="5046" operator="lessThan">
      <formula>0</formula>
    </cfRule>
  </conditionalFormatting>
  <conditionalFormatting sqref="H10:H1048576">
    <cfRule type="cellIs" dxfId="2700" priority="5045" operator="lessThan">
      <formula>0</formula>
    </cfRule>
  </conditionalFormatting>
  <conditionalFormatting sqref="H10:H1048576">
    <cfRule type="cellIs" dxfId="2699" priority="5044" operator="lessThan">
      <formula>0</formula>
    </cfRule>
  </conditionalFormatting>
  <conditionalFormatting sqref="H10:H1048576">
    <cfRule type="cellIs" dxfId="2698" priority="5043" operator="lessThan">
      <formula>0</formula>
    </cfRule>
  </conditionalFormatting>
  <conditionalFormatting sqref="H10:H1048576">
    <cfRule type="cellIs" dxfId="2697" priority="5042" operator="lessThan">
      <formula>0</formula>
    </cfRule>
  </conditionalFormatting>
  <conditionalFormatting sqref="H10:H1048576">
    <cfRule type="cellIs" dxfId="2696" priority="5041" operator="lessThan">
      <formula>0</formula>
    </cfRule>
  </conditionalFormatting>
  <conditionalFormatting sqref="H10:H1048576">
    <cfRule type="cellIs" dxfId="2695" priority="5040" operator="lessThan">
      <formula>0</formula>
    </cfRule>
  </conditionalFormatting>
  <conditionalFormatting sqref="H10:H1048576">
    <cfRule type="cellIs" dxfId="2694" priority="5039" operator="lessThan">
      <formula>0</formula>
    </cfRule>
  </conditionalFormatting>
  <conditionalFormatting sqref="H10:H1048576">
    <cfRule type="cellIs" dxfId="2693" priority="5038" operator="lessThan">
      <formula>0</formula>
    </cfRule>
  </conditionalFormatting>
  <conditionalFormatting sqref="H10:H1048576">
    <cfRule type="cellIs" dxfId="2692" priority="5037" operator="lessThan">
      <formula>0</formula>
    </cfRule>
  </conditionalFormatting>
  <conditionalFormatting sqref="H10:H1048576">
    <cfRule type="cellIs" dxfId="2691" priority="5036" operator="lessThan">
      <formula>0</formula>
    </cfRule>
  </conditionalFormatting>
  <conditionalFormatting sqref="H10:H1048576">
    <cfRule type="cellIs" dxfId="2690" priority="5035" operator="lessThan">
      <formula>0</formula>
    </cfRule>
  </conditionalFormatting>
  <conditionalFormatting sqref="H10:H1048576">
    <cfRule type="cellIs" dxfId="2689" priority="5034" operator="lessThan">
      <formula>0</formula>
    </cfRule>
  </conditionalFormatting>
  <conditionalFormatting sqref="H10:H1048576">
    <cfRule type="cellIs" dxfId="2688" priority="5033" operator="lessThan">
      <formula>0</formula>
    </cfRule>
  </conditionalFormatting>
  <conditionalFormatting sqref="H10:H1048576">
    <cfRule type="cellIs" dxfId="2687" priority="5032" operator="lessThan">
      <formula>0</formula>
    </cfRule>
  </conditionalFormatting>
  <conditionalFormatting sqref="H10:H1048576">
    <cfRule type="cellIs" dxfId="2686" priority="5031" operator="lessThan">
      <formula>0</formula>
    </cfRule>
  </conditionalFormatting>
  <conditionalFormatting sqref="H10:H1048576">
    <cfRule type="cellIs" dxfId="2685" priority="5030" operator="lessThan">
      <formula>0</formula>
    </cfRule>
  </conditionalFormatting>
  <conditionalFormatting sqref="H10:H1048576">
    <cfRule type="cellIs" dxfId="2684" priority="5029" operator="lessThan">
      <formula>0</formula>
    </cfRule>
  </conditionalFormatting>
  <conditionalFormatting sqref="H10:H1048576">
    <cfRule type="cellIs" dxfId="2683" priority="5028" operator="lessThan">
      <formula>0</formula>
    </cfRule>
  </conditionalFormatting>
  <conditionalFormatting sqref="H10:H1048576">
    <cfRule type="cellIs" dxfId="2682" priority="5027" operator="lessThan">
      <formula>0</formula>
    </cfRule>
  </conditionalFormatting>
  <conditionalFormatting sqref="H10:H1048576">
    <cfRule type="cellIs" dxfId="2681" priority="5026" operator="lessThan">
      <formula>0</formula>
    </cfRule>
  </conditionalFormatting>
  <conditionalFormatting sqref="H10:H1048576">
    <cfRule type="cellIs" dxfId="2680" priority="5025" operator="lessThan">
      <formula>0</formula>
    </cfRule>
  </conditionalFormatting>
  <conditionalFormatting sqref="H10:H1048576">
    <cfRule type="cellIs" dxfId="2679" priority="5024" operator="lessThan">
      <formula>0</formula>
    </cfRule>
  </conditionalFormatting>
  <conditionalFormatting sqref="H10:H1048576">
    <cfRule type="cellIs" dxfId="2678" priority="5023" operator="lessThan">
      <formula>0</formula>
    </cfRule>
  </conditionalFormatting>
  <conditionalFormatting sqref="H10:H1048576">
    <cfRule type="cellIs" dxfId="2677" priority="5022" operator="lessThan">
      <formula>0</formula>
    </cfRule>
  </conditionalFormatting>
  <conditionalFormatting sqref="H10:H1048576">
    <cfRule type="cellIs" dxfId="2676" priority="5021" operator="lessThan">
      <formula>0</formula>
    </cfRule>
  </conditionalFormatting>
  <conditionalFormatting sqref="H10:H1048576">
    <cfRule type="cellIs" dxfId="2675" priority="5020" operator="lessThan">
      <formula>0</formula>
    </cfRule>
  </conditionalFormatting>
  <conditionalFormatting sqref="H10:H1048576">
    <cfRule type="cellIs" dxfId="2674" priority="5019" operator="lessThan">
      <formula>0</formula>
    </cfRule>
  </conditionalFormatting>
  <conditionalFormatting sqref="H10:H1048576">
    <cfRule type="cellIs" dxfId="2673" priority="5018" operator="lessThan">
      <formula>0</formula>
    </cfRule>
  </conditionalFormatting>
  <conditionalFormatting sqref="H10:H1048576">
    <cfRule type="cellIs" dxfId="2672" priority="5017" operator="lessThan">
      <formula>0</formula>
    </cfRule>
  </conditionalFormatting>
  <conditionalFormatting sqref="H10:H1048576">
    <cfRule type="cellIs" dxfId="2671" priority="5016" operator="lessThan">
      <formula>0</formula>
    </cfRule>
  </conditionalFormatting>
  <conditionalFormatting sqref="H10:H1048576">
    <cfRule type="cellIs" dxfId="2670" priority="5015" operator="lessThan">
      <formula>0</formula>
    </cfRule>
  </conditionalFormatting>
  <conditionalFormatting sqref="H10:H1048576">
    <cfRule type="cellIs" dxfId="2669" priority="5014" operator="lessThan">
      <formula>0</formula>
    </cfRule>
  </conditionalFormatting>
  <conditionalFormatting sqref="H10:H1048576">
    <cfRule type="cellIs" dxfId="2668" priority="5013" operator="lessThan">
      <formula>0</formula>
    </cfRule>
  </conditionalFormatting>
  <conditionalFormatting sqref="H10:H1048576">
    <cfRule type="cellIs" dxfId="2667" priority="5012" operator="lessThan">
      <formula>0</formula>
    </cfRule>
  </conditionalFormatting>
  <conditionalFormatting sqref="H10:H1048576">
    <cfRule type="cellIs" dxfId="2666" priority="5011" operator="lessThan">
      <formula>0</formula>
    </cfRule>
  </conditionalFormatting>
  <conditionalFormatting sqref="H10:H1048576">
    <cfRule type="cellIs" dxfId="2665" priority="5010" operator="lessThan">
      <formula>0</formula>
    </cfRule>
  </conditionalFormatting>
  <conditionalFormatting sqref="H10:H1048576">
    <cfRule type="cellIs" dxfId="2664" priority="5009" operator="lessThan">
      <formula>0</formula>
    </cfRule>
  </conditionalFormatting>
  <conditionalFormatting sqref="H10:H1048576">
    <cfRule type="cellIs" dxfId="2663" priority="5008" operator="lessThan">
      <formula>0</formula>
    </cfRule>
  </conditionalFormatting>
  <conditionalFormatting sqref="H10:H1048576">
    <cfRule type="cellIs" dxfId="2662" priority="5007" operator="lessThan">
      <formula>0</formula>
    </cfRule>
  </conditionalFormatting>
  <conditionalFormatting sqref="H10:H1048576">
    <cfRule type="cellIs" dxfId="2661" priority="5006" operator="lessThan">
      <formula>0</formula>
    </cfRule>
  </conditionalFormatting>
  <conditionalFormatting sqref="H10:H1048576">
    <cfRule type="cellIs" dxfId="2660" priority="5005" operator="lessThan">
      <formula>0</formula>
    </cfRule>
  </conditionalFormatting>
  <conditionalFormatting sqref="H10:H1048576">
    <cfRule type="cellIs" dxfId="2659" priority="5004" operator="lessThan">
      <formula>0</formula>
    </cfRule>
  </conditionalFormatting>
  <conditionalFormatting sqref="H10:H1048576">
    <cfRule type="cellIs" dxfId="2658" priority="5003" operator="lessThan">
      <formula>0</formula>
    </cfRule>
  </conditionalFormatting>
  <conditionalFormatting sqref="H10:H1048576">
    <cfRule type="cellIs" dxfId="2657" priority="5002" operator="lessThan">
      <formula>0</formula>
    </cfRule>
  </conditionalFormatting>
  <conditionalFormatting sqref="H10:H1048576">
    <cfRule type="cellIs" dxfId="2656" priority="5001" operator="lessThan">
      <formula>0</formula>
    </cfRule>
  </conditionalFormatting>
  <conditionalFormatting sqref="H10:H1048576">
    <cfRule type="cellIs" dxfId="2655" priority="5000" operator="lessThan">
      <formula>0</formula>
    </cfRule>
  </conditionalFormatting>
  <conditionalFormatting sqref="H10:H1048576">
    <cfRule type="cellIs" dxfId="2654" priority="4999" operator="lessThan">
      <formula>0</formula>
    </cfRule>
  </conditionalFormatting>
  <conditionalFormatting sqref="H10:H1048576">
    <cfRule type="cellIs" dxfId="2653" priority="4998" operator="lessThan">
      <formula>0</formula>
    </cfRule>
  </conditionalFormatting>
  <conditionalFormatting sqref="H10:H1048576">
    <cfRule type="cellIs" dxfId="2652" priority="4997" operator="lessThan">
      <formula>0</formula>
    </cfRule>
  </conditionalFormatting>
  <conditionalFormatting sqref="H10:H1048576">
    <cfRule type="cellIs" dxfId="2651" priority="4996" operator="lessThan">
      <formula>0</formula>
    </cfRule>
  </conditionalFormatting>
  <conditionalFormatting sqref="H10:H1048576">
    <cfRule type="cellIs" dxfId="2650" priority="4995" operator="lessThan">
      <formula>0</formula>
    </cfRule>
  </conditionalFormatting>
  <conditionalFormatting sqref="H10:H1048576">
    <cfRule type="cellIs" dxfId="2649" priority="4994" operator="lessThan">
      <formula>0</formula>
    </cfRule>
  </conditionalFormatting>
  <conditionalFormatting sqref="H10:H1048576">
    <cfRule type="cellIs" dxfId="2648" priority="4993" operator="lessThan">
      <formula>0</formula>
    </cfRule>
  </conditionalFormatting>
  <conditionalFormatting sqref="H10:H1048576">
    <cfRule type="cellIs" dxfId="2647" priority="4992" operator="lessThan">
      <formula>0</formula>
    </cfRule>
  </conditionalFormatting>
  <conditionalFormatting sqref="H10:H1048576">
    <cfRule type="cellIs" dxfId="2646" priority="4991" operator="lessThan">
      <formula>0</formula>
    </cfRule>
  </conditionalFormatting>
  <conditionalFormatting sqref="H10:H1048576">
    <cfRule type="cellIs" dxfId="2645" priority="4990" operator="lessThan">
      <formula>0</formula>
    </cfRule>
  </conditionalFormatting>
  <conditionalFormatting sqref="H10:H1048576">
    <cfRule type="cellIs" dxfId="2644" priority="4989" operator="lessThan">
      <formula>0</formula>
    </cfRule>
  </conditionalFormatting>
  <conditionalFormatting sqref="H10:H1048576">
    <cfRule type="cellIs" dxfId="2643" priority="4988" operator="lessThan">
      <formula>0</formula>
    </cfRule>
  </conditionalFormatting>
  <conditionalFormatting sqref="H10:H1048576">
    <cfRule type="cellIs" dxfId="2642" priority="4987" operator="lessThan">
      <formula>0</formula>
    </cfRule>
  </conditionalFormatting>
  <conditionalFormatting sqref="H10:H1048576">
    <cfRule type="cellIs" dxfId="2641" priority="4986" operator="lessThan">
      <formula>0</formula>
    </cfRule>
  </conditionalFormatting>
  <conditionalFormatting sqref="H10:H1048576">
    <cfRule type="cellIs" dxfId="2640" priority="4985" operator="lessThan">
      <formula>0</formula>
    </cfRule>
  </conditionalFormatting>
  <conditionalFormatting sqref="H10:H1048576">
    <cfRule type="cellIs" dxfId="2639" priority="4984" operator="lessThan">
      <formula>0</formula>
    </cfRule>
  </conditionalFormatting>
  <conditionalFormatting sqref="H10:H1048576">
    <cfRule type="cellIs" dxfId="2638" priority="4983" operator="lessThan">
      <formula>0</formula>
    </cfRule>
  </conditionalFormatting>
  <conditionalFormatting sqref="H10:H1048576">
    <cfRule type="cellIs" dxfId="2637" priority="4982" operator="lessThan">
      <formula>0</formula>
    </cfRule>
  </conditionalFormatting>
  <conditionalFormatting sqref="H10:H1048576">
    <cfRule type="cellIs" dxfId="2636" priority="4981" operator="lessThan">
      <formula>0</formula>
    </cfRule>
  </conditionalFormatting>
  <conditionalFormatting sqref="H10:H1048576">
    <cfRule type="cellIs" dxfId="2635" priority="4980" operator="lessThan">
      <formula>0</formula>
    </cfRule>
  </conditionalFormatting>
  <conditionalFormatting sqref="H10:H1048576">
    <cfRule type="cellIs" dxfId="2634" priority="4979" operator="lessThan">
      <formula>0</formula>
    </cfRule>
  </conditionalFormatting>
  <conditionalFormatting sqref="H10:H1048576">
    <cfRule type="cellIs" dxfId="2633" priority="4978" operator="lessThan">
      <formula>0</formula>
    </cfRule>
  </conditionalFormatting>
  <conditionalFormatting sqref="H10:H1048576">
    <cfRule type="cellIs" dxfId="2632" priority="4977" operator="lessThan">
      <formula>0</formula>
    </cfRule>
  </conditionalFormatting>
  <conditionalFormatting sqref="H10:H1048576">
    <cfRule type="cellIs" dxfId="2631" priority="4976" operator="lessThan">
      <formula>0</formula>
    </cfRule>
  </conditionalFormatting>
  <conditionalFormatting sqref="H10:H1048576">
    <cfRule type="cellIs" dxfId="2630" priority="4975" operator="lessThan">
      <formula>0</formula>
    </cfRule>
  </conditionalFormatting>
  <conditionalFormatting sqref="H10:H1048576">
    <cfRule type="cellIs" dxfId="2629" priority="4974" operator="lessThan">
      <formula>0</formula>
    </cfRule>
  </conditionalFormatting>
  <conditionalFormatting sqref="H10:H1048576">
    <cfRule type="cellIs" dxfId="2628" priority="4973" operator="lessThan">
      <formula>0</formula>
    </cfRule>
  </conditionalFormatting>
  <conditionalFormatting sqref="H10:H1048576">
    <cfRule type="cellIs" dxfId="2627" priority="4972" operator="lessThan">
      <formula>0</formula>
    </cfRule>
  </conditionalFormatting>
  <conditionalFormatting sqref="H10:H1048576">
    <cfRule type="cellIs" dxfId="2626" priority="4971" operator="lessThan">
      <formula>0</formula>
    </cfRule>
  </conditionalFormatting>
  <conditionalFormatting sqref="H10:H1048576">
    <cfRule type="cellIs" dxfId="2625" priority="4970" operator="lessThan">
      <formula>0</formula>
    </cfRule>
  </conditionalFormatting>
  <conditionalFormatting sqref="H10:H1048576">
    <cfRule type="cellIs" dxfId="2624" priority="4969" operator="lessThan">
      <formula>0</formula>
    </cfRule>
  </conditionalFormatting>
  <conditionalFormatting sqref="H10:H1048576">
    <cfRule type="cellIs" dxfId="2623" priority="4968" operator="lessThan">
      <formula>0</formula>
    </cfRule>
  </conditionalFormatting>
  <conditionalFormatting sqref="H10:H1048576">
    <cfRule type="cellIs" dxfId="2622" priority="4967" operator="lessThan">
      <formula>0</formula>
    </cfRule>
  </conditionalFormatting>
  <conditionalFormatting sqref="H10:H1048576">
    <cfRule type="cellIs" dxfId="2621" priority="4966" operator="lessThan">
      <formula>0</formula>
    </cfRule>
  </conditionalFormatting>
  <conditionalFormatting sqref="H10:H1048576">
    <cfRule type="cellIs" dxfId="2620" priority="4965" operator="lessThan">
      <formula>0</formula>
    </cfRule>
  </conditionalFormatting>
  <conditionalFormatting sqref="H10:H1048576">
    <cfRule type="cellIs" dxfId="2619" priority="4964" operator="lessThan">
      <formula>0</formula>
    </cfRule>
  </conditionalFormatting>
  <conditionalFormatting sqref="H10:H1048576">
    <cfRule type="cellIs" dxfId="2618" priority="4963" operator="lessThan">
      <formula>0</formula>
    </cfRule>
  </conditionalFormatting>
  <conditionalFormatting sqref="H10:H1048576">
    <cfRule type="cellIs" dxfId="2617" priority="4962" operator="lessThan">
      <formula>0</formula>
    </cfRule>
  </conditionalFormatting>
  <conditionalFormatting sqref="H10:H1048576">
    <cfRule type="cellIs" dxfId="2616" priority="4961" operator="lessThan">
      <formula>0</formula>
    </cfRule>
  </conditionalFormatting>
  <conditionalFormatting sqref="H10:H1048576">
    <cfRule type="cellIs" dxfId="2615" priority="4960" operator="lessThan">
      <formula>0</formula>
    </cfRule>
  </conditionalFormatting>
  <conditionalFormatting sqref="H10:H1048576">
    <cfRule type="cellIs" dxfId="2614" priority="4959" operator="lessThan">
      <formula>0</formula>
    </cfRule>
  </conditionalFormatting>
  <conditionalFormatting sqref="H10:H1048576">
    <cfRule type="cellIs" dxfId="2613" priority="4958" operator="lessThan">
      <formula>0</formula>
    </cfRule>
  </conditionalFormatting>
  <conditionalFormatting sqref="H10:H1048576">
    <cfRule type="cellIs" dxfId="2612" priority="4957" operator="lessThan">
      <formula>0</formula>
    </cfRule>
  </conditionalFormatting>
  <conditionalFormatting sqref="H10:H1048576">
    <cfRule type="cellIs" dxfId="2611" priority="4956" operator="lessThan">
      <formula>0</formula>
    </cfRule>
  </conditionalFormatting>
  <conditionalFormatting sqref="H10:H1048576">
    <cfRule type="cellIs" dxfId="2610" priority="4955" operator="lessThan">
      <formula>0</formula>
    </cfRule>
  </conditionalFormatting>
  <conditionalFormatting sqref="H10:H1048576">
    <cfRule type="cellIs" dxfId="2609" priority="4954" operator="lessThan">
      <formula>0</formula>
    </cfRule>
  </conditionalFormatting>
  <conditionalFormatting sqref="H10:H1048576">
    <cfRule type="cellIs" dxfId="2608" priority="4953" operator="lessThan">
      <formula>0</formula>
    </cfRule>
  </conditionalFormatting>
  <conditionalFormatting sqref="H10:H1048576">
    <cfRule type="cellIs" dxfId="2607" priority="4952" operator="lessThan">
      <formula>0</formula>
    </cfRule>
  </conditionalFormatting>
  <conditionalFormatting sqref="H10:H1048576">
    <cfRule type="cellIs" dxfId="2606" priority="4951" operator="lessThan">
      <formula>0</formula>
    </cfRule>
  </conditionalFormatting>
  <conditionalFormatting sqref="H10:H1048576">
    <cfRule type="cellIs" dxfId="2605" priority="4950" operator="lessThan">
      <formula>0</formula>
    </cfRule>
  </conditionalFormatting>
  <conditionalFormatting sqref="H10:H1048576">
    <cfRule type="cellIs" dxfId="2604" priority="4949" operator="lessThan">
      <formula>0</formula>
    </cfRule>
  </conditionalFormatting>
  <conditionalFormatting sqref="H10:H1048576">
    <cfRule type="cellIs" dxfId="2603" priority="4948" operator="lessThan">
      <formula>0</formula>
    </cfRule>
  </conditionalFormatting>
  <conditionalFormatting sqref="H10:H1048576">
    <cfRule type="cellIs" dxfId="2602" priority="4947" operator="lessThan">
      <formula>0</formula>
    </cfRule>
  </conditionalFormatting>
  <conditionalFormatting sqref="H10:H1048576">
    <cfRule type="cellIs" dxfId="2601" priority="4946" operator="lessThan">
      <formula>0</formula>
    </cfRule>
  </conditionalFormatting>
  <conditionalFormatting sqref="H10:H1048576">
    <cfRule type="cellIs" dxfId="2600" priority="4945" operator="lessThan">
      <formula>0</formula>
    </cfRule>
  </conditionalFormatting>
  <conditionalFormatting sqref="H10:H1048576">
    <cfRule type="cellIs" dxfId="2599" priority="4944" operator="lessThan">
      <formula>0</formula>
    </cfRule>
  </conditionalFormatting>
  <conditionalFormatting sqref="H10:H1048576">
    <cfRule type="cellIs" dxfId="2598" priority="4943" operator="lessThan">
      <formula>0</formula>
    </cfRule>
  </conditionalFormatting>
  <conditionalFormatting sqref="H10:H1048576">
    <cfRule type="cellIs" dxfId="2597" priority="4942" operator="lessThan">
      <formula>0</formula>
    </cfRule>
  </conditionalFormatting>
  <conditionalFormatting sqref="H10:H1048576">
    <cfRule type="cellIs" dxfId="2596" priority="4941" operator="lessThan">
      <formula>0</formula>
    </cfRule>
  </conditionalFormatting>
  <conditionalFormatting sqref="H10:H1048576">
    <cfRule type="cellIs" dxfId="2595" priority="4940" operator="lessThan">
      <formula>0</formula>
    </cfRule>
  </conditionalFormatting>
  <conditionalFormatting sqref="H10:H1048576">
    <cfRule type="cellIs" dxfId="2594" priority="4939" operator="lessThan">
      <formula>0</formula>
    </cfRule>
  </conditionalFormatting>
  <conditionalFormatting sqref="H10:H1048576">
    <cfRule type="cellIs" dxfId="2593" priority="4938" operator="lessThan">
      <formula>0</formula>
    </cfRule>
  </conditionalFormatting>
  <conditionalFormatting sqref="H10:H1048576">
    <cfRule type="cellIs" dxfId="2592" priority="4937" operator="lessThan">
      <formula>0</formula>
    </cfRule>
  </conditionalFormatting>
  <conditionalFormatting sqref="H10:H1048576">
    <cfRule type="cellIs" dxfId="2591" priority="4936" operator="lessThan">
      <formula>0</formula>
    </cfRule>
  </conditionalFormatting>
  <conditionalFormatting sqref="H10:H1048576">
    <cfRule type="cellIs" dxfId="2590" priority="4935" operator="lessThan">
      <formula>0</formula>
    </cfRule>
  </conditionalFormatting>
  <conditionalFormatting sqref="H10:H1048576">
    <cfRule type="cellIs" dxfId="2589" priority="4934" operator="lessThan">
      <formula>0</formula>
    </cfRule>
  </conditionalFormatting>
  <conditionalFormatting sqref="H10:H1048576">
    <cfRule type="cellIs" dxfId="2588" priority="4933" operator="lessThan">
      <formula>0</formula>
    </cfRule>
  </conditionalFormatting>
  <conditionalFormatting sqref="H10:H1048576">
    <cfRule type="cellIs" dxfId="2587" priority="4932" operator="lessThan">
      <formula>0</formula>
    </cfRule>
  </conditionalFormatting>
  <conditionalFormatting sqref="H10:H1048576">
    <cfRule type="cellIs" dxfId="2586" priority="4931" operator="lessThan">
      <formula>0</formula>
    </cfRule>
  </conditionalFormatting>
  <conditionalFormatting sqref="H10:H1048576">
    <cfRule type="cellIs" dxfId="2585" priority="4930" operator="lessThan">
      <formula>0</formula>
    </cfRule>
  </conditionalFormatting>
  <conditionalFormatting sqref="H10:H1048576">
    <cfRule type="cellIs" dxfId="2584" priority="4929" operator="lessThan">
      <formula>0</formula>
    </cfRule>
  </conditionalFormatting>
  <conditionalFormatting sqref="H10:H1048576">
    <cfRule type="cellIs" dxfId="2583" priority="4928" operator="lessThan">
      <formula>0</formula>
    </cfRule>
  </conditionalFormatting>
  <conditionalFormatting sqref="H10:H1048576">
    <cfRule type="cellIs" dxfId="2582" priority="4927" operator="lessThan">
      <formula>0</formula>
    </cfRule>
  </conditionalFormatting>
  <conditionalFormatting sqref="H10:H1048576">
    <cfRule type="cellIs" dxfId="2581" priority="4926" operator="lessThan">
      <formula>0</formula>
    </cfRule>
  </conditionalFormatting>
  <conditionalFormatting sqref="H10:H1048576">
    <cfRule type="cellIs" dxfId="2580" priority="4925" operator="lessThan">
      <formula>0</formula>
    </cfRule>
  </conditionalFormatting>
  <conditionalFormatting sqref="H10:H1048576">
    <cfRule type="cellIs" dxfId="2579" priority="4924" operator="lessThan">
      <formula>0</formula>
    </cfRule>
  </conditionalFormatting>
  <conditionalFormatting sqref="H10:H1048576">
    <cfRule type="cellIs" dxfId="2578" priority="4923" operator="lessThan">
      <formula>0</formula>
    </cfRule>
  </conditionalFormatting>
  <conditionalFormatting sqref="H10:H1048576">
    <cfRule type="cellIs" dxfId="2577" priority="4922" operator="lessThan">
      <formula>0</formula>
    </cfRule>
  </conditionalFormatting>
  <conditionalFormatting sqref="H10:H1048576">
    <cfRule type="cellIs" dxfId="2576" priority="4921" operator="lessThan">
      <formula>0</formula>
    </cfRule>
  </conditionalFormatting>
  <conditionalFormatting sqref="H10:H1048576">
    <cfRule type="cellIs" dxfId="2575" priority="4920" operator="lessThan">
      <formula>0</formula>
    </cfRule>
  </conditionalFormatting>
  <conditionalFormatting sqref="H10:H1048576">
    <cfRule type="cellIs" dxfId="2574" priority="4919" operator="lessThan">
      <formula>0</formula>
    </cfRule>
  </conditionalFormatting>
  <conditionalFormatting sqref="H10:H1048576">
    <cfRule type="cellIs" dxfId="2573" priority="4918" operator="lessThan">
      <formula>0</formula>
    </cfRule>
  </conditionalFormatting>
  <conditionalFormatting sqref="H10:H1048576">
    <cfRule type="cellIs" dxfId="2572" priority="4917" operator="lessThan">
      <formula>0</formula>
    </cfRule>
  </conditionalFormatting>
  <conditionalFormatting sqref="H10:H1048576">
    <cfRule type="cellIs" dxfId="2571" priority="4916" operator="lessThan">
      <formula>0</formula>
    </cfRule>
  </conditionalFormatting>
  <conditionalFormatting sqref="H10:H1048576">
    <cfRule type="cellIs" dxfId="2570" priority="4915" operator="lessThan">
      <formula>0</formula>
    </cfRule>
  </conditionalFormatting>
  <conditionalFormatting sqref="H10:H1048576">
    <cfRule type="cellIs" dxfId="2569" priority="4914" operator="lessThan">
      <formula>0</formula>
    </cfRule>
  </conditionalFormatting>
  <conditionalFormatting sqref="H10:H1048576">
    <cfRule type="cellIs" dxfId="2568" priority="4913" operator="lessThan">
      <formula>0</formula>
    </cfRule>
  </conditionalFormatting>
  <conditionalFormatting sqref="H10:H1048576">
    <cfRule type="cellIs" dxfId="2567" priority="4912" operator="lessThan">
      <formula>0</formula>
    </cfRule>
  </conditionalFormatting>
  <conditionalFormatting sqref="H10:H1048576">
    <cfRule type="cellIs" dxfId="2566" priority="4911" operator="lessThan">
      <formula>0</formula>
    </cfRule>
  </conditionalFormatting>
  <conditionalFormatting sqref="H10:H1048576">
    <cfRule type="cellIs" dxfId="2565" priority="4910" operator="lessThan">
      <formula>0</formula>
    </cfRule>
  </conditionalFormatting>
  <conditionalFormatting sqref="H10:H1048576">
    <cfRule type="cellIs" dxfId="2564" priority="4909" operator="lessThan">
      <formula>0</formula>
    </cfRule>
  </conditionalFormatting>
  <conditionalFormatting sqref="H10:H1048576">
    <cfRule type="cellIs" dxfId="2563" priority="4908" operator="lessThan">
      <formula>0</formula>
    </cfRule>
  </conditionalFormatting>
  <conditionalFormatting sqref="H10:H1048576">
    <cfRule type="cellIs" dxfId="2562" priority="4907" operator="lessThan">
      <formula>0</formula>
    </cfRule>
  </conditionalFormatting>
  <conditionalFormatting sqref="H10:H1048576">
    <cfRule type="cellIs" dxfId="2561" priority="4906" operator="lessThan">
      <formula>0</formula>
    </cfRule>
  </conditionalFormatting>
  <conditionalFormatting sqref="H10:H1048576">
    <cfRule type="cellIs" dxfId="2560" priority="4905" operator="lessThan">
      <formula>0</formula>
    </cfRule>
  </conditionalFormatting>
  <conditionalFormatting sqref="H10:H1048576">
    <cfRule type="cellIs" dxfId="2559" priority="4904" operator="lessThan">
      <formula>0</formula>
    </cfRule>
  </conditionalFormatting>
  <conditionalFormatting sqref="H10:H1048576">
    <cfRule type="cellIs" dxfId="2558" priority="4903" operator="lessThan">
      <formula>0</formula>
    </cfRule>
  </conditionalFormatting>
  <conditionalFormatting sqref="H10:H1048576">
    <cfRule type="cellIs" dxfId="2557" priority="4902" operator="lessThan">
      <formula>0</formula>
    </cfRule>
  </conditionalFormatting>
  <conditionalFormatting sqref="H10:H1048576">
    <cfRule type="cellIs" dxfId="2556" priority="4901" operator="lessThan">
      <formula>0</formula>
    </cfRule>
  </conditionalFormatting>
  <conditionalFormatting sqref="H10:H1048576">
    <cfRule type="cellIs" dxfId="2555" priority="4900" operator="lessThan">
      <formula>0</formula>
    </cfRule>
  </conditionalFormatting>
  <conditionalFormatting sqref="H10:H1048576">
    <cfRule type="cellIs" dxfId="2554" priority="4899" operator="lessThan">
      <formula>0</formula>
    </cfRule>
  </conditionalFormatting>
  <conditionalFormatting sqref="H10:H1048576">
    <cfRule type="cellIs" dxfId="2553" priority="4898" operator="lessThan">
      <formula>0</formula>
    </cfRule>
  </conditionalFormatting>
  <conditionalFormatting sqref="H10:H1048576">
    <cfRule type="cellIs" dxfId="2552" priority="4897" operator="lessThan">
      <formula>0</formula>
    </cfRule>
  </conditionalFormatting>
  <conditionalFormatting sqref="H10:H1048576">
    <cfRule type="cellIs" dxfId="2551" priority="4896" operator="lessThan">
      <formula>0</formula>
    </cfRule>
  </conditionalFormatting>
  <conditionalFormatting sqref="H10:H1048576">
    <cfRule type="cellIs" dxfId="2550" priority="4895" operator="lessThan">
      <formula>0</formula>
    </cfRule>
  </conditionalFormatting>
  <conditionalFormatting sqref="H10:H1048576">
    <cfRule type="cellIs" dxfId="2549" priority="4894" operator="lessThan">
      <formula>0</formula>
    </cfRule>
  </conditionalFormatting>
  <conditionalFormatting sqref="H10:H1048576">
    <cfRule type="cellIs" dxfId="2548" priority="4893" operator="lessThan">
      <formula>0</formula>
    </cfRule>
  </conditionalFormatting>
  <conditionalFormatting sqref="H10:H1048576">
    <cfRule type="cellIs" dxfId="2547" priority="4892" operator="lessThan">
      <formula>0</formula>
    </cfRule>
  </conditionalFormatting>
  <conditionalFormatting sqref="H10:H1048576">
    <cfRule type="cellIs" dxfId="2546" priority="4891" operator="lessThan">
      <formula>0</formula>
    </cfRule>
  </conditionalFormatting>
  <conditionalFormatting sqref="H10:H1048576">
    <cfRule type="cellIs" dxfId="2545" priority="4890" operator="lessThan">
      <formula>0</formula>
    </cfRule>
  </conditionalFormatting>
  <conditionalFormatting sqref="H10:H1048576">
    <cfRule type="cellIs" dxfId="2544" priority="4889" operator="lessThan">
      <formula>0</formula>
    </cfRule>
  </conditionalFormatting>
  <conditionalFormatting sqref="H10:H1048576">
    <cfRule type="cellIs" dxfId="2543" priority="4888" operator="lessThan">
      <formula>0</formula>
    </cfRule>
  </conditionalFormatting>
  <conditionalFormatting sqref="H10:H1048576">
    <cfRule type="cellIs" dxfId="2542" priority="4887" operator="lessThan">
      <formula>0</formula>
    </cfRule>
  </conditionalFormatting>
  <conditionalFormatting sqref="H10:H1048576">
    <cfRule type="cellIs" dxfId="2541" priority="4886" operator="lessThan">
      <formula>0</formula>
    </cfRule>
  </conditionalFormatting>
  <conditionalFormatting sqref="H10:H1048576">
    <cfRule type="cellIs" dxfId="2540" priority="4885" operator="lessThan">
      <formula>0</formula>
    </cfRule>
  </conditionalFormatting>
  <conditionalFormatting sqref="H10:H1048576">
    <cfRule type="cellIs" dxfId="2539" priority="4884" operator="lessThan">
      <formula>0</formula>
    </cfRule>
  </conditionalFormatting>
  <conditionalFormatting sqref="H10:H1048576">
    <cfRule type="cellIs" dxfId="2538" priority="4883" operator="lessThan">
      <formula>0</formula>
    </cfRule>
  </conditionalFormatting>
  <conditionalFormatting sqref="H10:H1048576">
    <cfRule type="cellIs" dxfId="2537" priority="4882" operator="lessThan">
      <formula>0</formula>
    </cfRule>
  </conditionalFormatting>
  <conditionalFormatting sqref="H10:H1048576">
    <cfRule type="cellIs" dxfId="2536" priority="4881" operator="lessThan">
      <formula>0</formula>
    </cfRule>
  </conditionalFormatting>
  <conditionalFormatting sqref="H10:H1048576">
    <cfRule type="cellIs" dxfId="2535" priority="4880" operator="lessThan">
      <formula>0</formula>
    </cfRule>
  </conditionalFormatting>
  <conditionalFormatting sqref="H10:H1048576">
    <cfRule type="cellIs" dxfId="2534" priority="4879" operator="lessThan">
      <formula>0</formula>
    </cfRule>
  </conditionalFormatting>
  <conditionalFormatting sqref="H10:H1048576">
    <cfRule type="cellIs" dxfId="2533" priority="4878" operator="lessThan">
      <formula>0</formula>
    </cfRule>
  </conditionalFormatting>
  <conditionalFormatting sqref="H10:H1048576">
    <cfRule type="cellIs" dxfId="2532" priority="4877" operator="lessThan">
      <formula>0</formula>
    </cfRule>
  </conditionalFormatting>
  <conditionalFormatting sqref="H10:H1048576">
    <cfRule type="cellIs" dxfId="2531" priority="4876" operator="lessThan">
      <formula>0</formula>
    </cfRule>
  </conditionalFormatting>
  <conditionalFormatting sqref="H10:H1048576">
    <cfRule type="cellIs" dxfId="2530" priority="4875" operator="lessThan">
      <formula>0</formula>
    </cfRule>
  </conditionalFormatting>
  <conditionalFormatting sqref="H10:H1048576">
    <cfRule type="cellIs" dxfId="2529" priority="4874" operator="lessThan">
      <formula>0</formula>
    </cfRule>
  </conditionalFormatting>
  <conditionalFormatting sqref="H10:H1048576">
    <cfRule type="cellIs" dxfId="2528" priority="4873" operator="lessThan">
      <formula>0</formula>
    </cfRule>
  </conditionalFormatting>
  <conditionalFormatting sqref="H10:H1048576">
    <cfRule type="cellIs" dxfId="2527" priority="4872" operator="lessThan">
      <formula>0</formula>
    </cfRule>
  </conditionalFormatting>
  <conditionalFormatting sqref="H10:H1048576">
    <cfRule type="cellIs" dxfId="2526" priority="4871" operator="lessThan">
      <formula>0</formula>
    </cfRule>
  </conditionalFormatting>
  <conditionalFormatting sqref="H10:H1048576">
    <cfRule type="cellIs" dxfId="2525" priority="4870" operator="lessThan">
      <formula>0</formula>
    </cfRule>
  </conditionalFormatting>
  <conditionalFormatting sqref="H10:H1048576">
    <cfRule type="cellIs" dxfId="2524" priority="4869" operator="lessThan">
      <formula>0</formula>
    </cfRule>
  </conditionalFormatting>
  <conditionalFormatting sqref="H10:H1048576">
    <cfRule type="cellIs" dxfId="2523" priority="4868" operator="lessThan">
      <formula>0</formula>
    </cfRule>
  </conditionalFormatting>
  <conditionalFormatting sqref="H10:H1048576">
    <cfRule type="cellIs" dxfId="2522" priority="4867" operator="lessThan">
      <formula>0</formula>
    </cfRule>
  </conditionalFormatting>
  <conditionalFormatting sqref="H10:H1048576">
    <cfRule type="cellIs" dxfId="2521" priority="4866" operator="lessThan">
      <formula>0</formula>
    </cfRule>
  </conditionalFormatting>
  <conditionalFormatting sqref="H10:H1048576">
    <cfRule type="cellIs" dxfId="2520" priority="4865" operator="lessThan">
      <formula>0</formula>
    </cfRule>
  </conditionalFormatting>
  <conditionalFormatting sqref="H10:H1048576">
    <cfRule type="cellIs" dxfId="2519" priority="4864" operator="lessThan">
      <formula>0</formula>
    </cfRule>
  </conditionalFormatting>
  <conditionalFormatting sqref="H10:H1048576">
    <cfRule type="cellIs" dxfId="2518" priority="4863" operator="lessThan">
      <formula>0</formula>
    </cfRule>
  </conditionalFormatting>
  <conditionalFormatting sqref="H10:H1048576">
    <cfRule type="cellIs" dxfId="2517" priority="4862" operator="lessThan">
      <formula>0</formula>
    </cfRule>
  </conditionalFormatting>
  <conditionalFormatting sqref="H10:H1048576">
    <cfRule type="cellIs" dxfId="2516" priority="4861" operator="lessThan">
      <formula>0</formula>
    </cfRule>
  </conditionalFormatting>
  <conditionalFormatting sqref="H10:H1048576">
    <cfRule type="cellIs" dxfId="2515" priority="4860" operator="lessThan">
      <formula>0</formula>
    </cfRule>
  </conditionalFormatting>
  <conditionalFormatting sqref="H10:H1048576">
    <cfRule type="cellIs" dxfId="2514" priority="4859" operator="lessThan">
      <formula>0</formula>
    </cfRule>
  </conditionalFormatting>
  <conditionalFormatting sqref="H10:H1048576">
    <cfRule type="cellIs" dxfId="2513" priority="4858" operator="lessThan">
      <formula>0</formula>
    </cfRule>
  </conditionalFormatting>
  <conditionalFormatting sqref="H10:H1048576">
    <cfRule type="cellIs" dxfId="2512" priority="4857" operator="lessThan">
      <formula>0</formula>
    </cfRule>
  </conditionalFormatting>
  <conditionalFormatting sqref="H10:H1048576">
    <cfRule type="cellIs" dxfId="2511" priority="4856" operator="lessThan">
      <formula>0</formula>
    </cfRule>
  </conditionalFormatting>
  <conditionalFormatting sqref="H10:H1048576">
    <cfRule type="cellIs" dxfId="2510" priority="4855" operator="lessThan">
      <formula>0</formula>
    </cfRule>
  </conditionalFormatting>
  <conditionalFormatting sqref="H10:H1048576">
    <cfRule type="cellIs" dxfId="2509" priority="4854" operator="lessThan">
      <formula>0</formula>
    </cfRule>
  </conditionalFormatting>
  <conditionalFormatting sqref="H10:H1048576">
    <cfRule type="cellIs" dxfId="2508" priority="4853" operator="lessThan">
      <formula>0</formula>
    </cfRule>
  </conditionalFormatting>
  <conditionalFormatting sqref="H10:H1048576">
    <cfRule type="cellIs" dxfId="2507" priority="4852" operator="lessThan">
      <formula>0</formula>
    </cfRule>
  </conditionalFormatting>
  <conditionalFormatting sqref="H10:H1048576">
    <cfRule type="cellIs" dxfId="2506" priority="4851" operator="lessThan">
      <formula>0</formula>
    </cfRule>
  </conditionalFormatting>
  <conditionalFormatting sqref="H10:H1048576">
    <cfRule type="cellIs" dxfId="2505" priority="4850" operator="lessThan">
      <formula>0</formula>
    </cfRule>
  </conditionalFormatting>
  <conditionalFormatting sqref="H10:H1048576">
    <cfRule type="cellIs" dxfId="2504" priority="4849" operator="lessThan">
      <formula>0</formula>
    </cfRule>
  </conditionalFormatting>
  <conditionalFormatting sqref="H10:H1048576">
    <cfRule type="cellIs" dxfId="2503" priority="4848" operator="lessThan">
      <formula>0</formula>
    </cfRule>
  </conditionalFormatting>
  <conditionalFormatting sqref="H10:H1048576">
    <cfRule type="cellIs" dxfId="2502" priority="4847" operator="lessThan">
      <formula>0</formula>
    </cfRule>
  </conditionalFormatting>
  <conditionalFormatting sqref="H10:H1048576">
    <cfRule type="cellIs" dxfId="2501" priority="4846" operator="lessThan">
      <formula>0</formula>
    </cfRule>
  </conditionalFormatting>
  <conditionalFormatting sqref="H10:H1048576">
    <cfRule type="cellIs" dxfId="2500" priority="4845" operator="lessThan">
      <formula>0</formula>
    </cfRule>
  </conditionalFormatting>
  <conditionalFormatting sqref="H10:H1048576">
    <cfRule type="cellIs" dxfId="2499" priority="4844" operator="lessThan">
      <formula>0</formula>
    </cfRule>
  </conditionalFormatting>
  <conditionalFormatting sqref="H10:H1048576">
    <cfRule type="cellIs" dxfId="2498" priority="4843" operator="lessThan">
      <formula>0</formula>
    </cfRule>
  </conditionalFormatting>
  <conditionalFormatting sqref="H10:H1048576">
    <cfRule type="cellIs" dxfId="2497" priority="4842" operator="lessThan">
      <formula>0</formula>
    </cfRule>
  </conditionalFormatting>
  <conditionalFormatting sqref="H10:H1048576">
    <cfRule type="cellIs" dxfId="2496" priority="4841" operator="lessThan">
      <formula>0</formula>
    </cfRule>
  </conditionalFormatting>
  <conditionalFormatting sqref="H10:H1048576">
    <cfRule type="cellIs" dxfId="2495" priority="4840" operator="lessThan">
      <formula>0</formula>
    </cfRule>
  </conditionalFormatting>
  <conditionalFormatting sqref="H10:H1048576">
    <cfRule type="cellIs" dxfId="2494" priority="4839" operator="lessThan">
      <formula>0</formula>
    </cfRule>
  </conditionalFormatting>
  <conditionalFormatting sqref="H10:H1048576">
    <cfRule type="cellIs" dxfId="2493" priority="4838" operator="lessThan">
      <formula>0</formula>
    </cfRule>
  </conditionalFormatting>
  <conditionalFormatting sqref="H10:H1048576">
    <cfRule type="cellIs" dxfId="2492" priority="4837" operator="lessThan">
      <formula>0</formula>
    </cfRule>
  </conditionalFormatting>
  <conditionalFormatting sqref="H10:H1048576">
    <cfRule type="cellIs" dxfId="2491" priority="4836" operator="lessThan">
      <formula>0</formula>
    </cfRule>
  </conditionalFormatting>
  <conditionalFormatting sqref="H10:H1048576">
    <cfRule type="cellIs" dxfId="2490" priority="4835" operator="lessThan">
      <formula>0</formula>
    </cfRule>
  </conditionalFormatting>
  <conditionalFormatting sqref="H10:H1048576">
    <cfRule type="cellIs" dxfId="2489" priority="4834" operator="lessThan">
      <formula>0</formula>
    </cfRule>
  </conditionalFormatting>
  <conditionalFormatting sqref="H10:H1048576">
    <cfRule type="cellIs" dxfId="2488" priority="4833" operator="lessThan">
      <formula>0</formula>
    </cfRule>
  </conditionalFormatting>
  <conditionalFormatting sqref="H10:H1048576">
    <cfRule type="cellIs" dxfId="2487" priority="4832" operator="lessThan">
      <formula>0</formula>
    </cfRule>
  </conditionalFormatting>
  <conditionalFormatting sqref="H10:H1048576">
    <cfRule type="cellIs" dxfId="2486" priority="4831" operator="lessThan">
      <formula>0</formula>
    </cfRule>
  </conditionalFormatting>
  <conditionalFormatting sqref="H10:H1048576">
    <cfRule type="cellIs" dxfId="2485" priority="4830" operator="lessThan">
      <formula>0</formula>
    </cfRule>
  </conditionalFormatting>
  <conditionalFormatting sqref="H10:H1048576">
    <cfRule type="cellIs" dxfId="2484" priority="4829" operator="lessThan">
      <formula>0</formula>
    </cfRule>
  </conditionalFormatting>
  <conditionalFormatting sqref="H10:H1048576">
    <cfRule type="cellIs" dxfId="2483" priority="4828" operator="lessThan">
      <formula>0</formula>
    </cfRule>
  </conditionalFormatting>
  <conditionalFormatting sqref="H10:H1048576">
    <cfRule type="cellIs" dxfId="2482" priority="4827" operator="lessThan">
      <formula>0</formula>
    </cfRule>
  </conditionalFormatting>
  <conditionalFormatting sqref="H10:H1048576">
    <cfRule type="cellIs" dxfId="2481" priority="4826" operator="lessThan">
      <formula>0</formula>
    </cfRule>
  </conditionalFormatting>
  <conditionalFormatting sqref="H10:H1048576">
    <cfRule type="cellIs" dxfId="2480" priority="4825" operator="lessThan">
      <formula>0</formula>
    </cfRule>
  </conditionalFormatting>
  <conditionalFormatting sqref="H10:H1048576">
    <cfRule type="cellIs" dxfId="2479" priority="4824" operator="lessThan">
      <formula>0</formula>
    </cfRule>
  </conditionalFormatting>
  <conditionalFormatting sqref="H10:H1048576">
    <cfRule type="cellIs" dxfId="2478" priority="4823" operator="lessThan">
      <formula>0</formula>
    </cfRule>
  </conditionalFormatting>
  <conditionalFormatting sqref="H10:H1048576">
    <cfRule type="cellIs" dxfId="2477" priority="4822" operator="lessThan">
      <formula>0</formula>
    </cfRule>
  </conditionalFormatting>
  <conditionalFormatting sqref="H10:H1048576">
    <cfRule type="cellIs" dxfId="2476" priority="4821" operator="lessThan">
      <formula>0</formula>
    </cfRule>
  </conditionalFormatting>
  <conditionalFormatting sqref="H10:H1048576">
    <cfRule type="cellIs" dxfId="2475" priority="4820" operator="lessThan">
      <formula>0</formula>
    </cfRule>
  </conditionalFormatting>
  <conditionalFormatting sqref="H10:H1048576">
    <cfRule type="cellIs" dxfId="2474" priority="4819" operator="lessThan">
      <formula>0</formula>
    </cfRule>
  </conditionalFormatting>
  <conditionalFormatting sqref="H10:H1048576">
    <cfRule type="cellIs" dxfId="2473" priority="4818" operator="lessThan">
      <formula>0</formula>
    </cfRule>
  </conditionalFormatting>
  <conditionalFormatting sqref="H10:H1048576">
    <cfRule type="cellIs" dxfId="2472" priority="4817" operator="lessThan">
      <formula>0</formula>
    </cfRule>
  </conditionalFormatting>
  <conditionalFormatting sqref="H10:H1048576">
    <cfRule type="cellIs" dxfId="2471" priority="4816" operator="lessThan">
      <formula>0</formula>
    </cfRule>
  </conditionalFormatting>
  <conditionalFormatting sqref="H10:H1048576">
    <cfRule type="cellIs" dxfId="2470" priority="4815" operator="lessThan">
      <formula>0</formula>
    </cfRule>
  </conditionalFormatting>
  <conditionalFormatting sqref="H10:H1048576">
    <cfRule type="cellIs" dxfId="2469" priority="4814" operator="lessThan">
      <formula>0</formula>
    </cfRule>
  </conditionalFormatting>
  <conditionalFormatting sqref="H10:H1048576">
    <cfRule type="cellIs" dxfId="2468" priority="4813" operator="lessThan">
      <formula>0</formula>
    </cfRule>
  </conditionalFormatting>
  <conditionalFormatting sqref="H10:H1048576">
    <cfRule type="cellIs" dxfId="2467" priority="4812" operator="lessThan">
      <formula>0</formula>
    </cfRule>
  </conditionalFormatting>
  <conditionalFormatting sqref="H10:H1048576">
    <cfRule type="cellIs" dxfId="2466" priority="4811" operator="lessThan">
      <formula>0</formula>
    </cfRule>
  </conditionalFormatting>
  <conditionalFormatting sqref="H10:H1048576">
    <cfRule type="cellIs" dxfId="2465" priority="4810" operator="lessThan">
      <formula>0</formula>
    </cfRule>
  </conditionalFormatting>
  <conditionalFormatting sqref="H10:H1048576">
    <cfRule type="cellIs" dxfId="2464" priority="4809" operator="lessThan">
      <formula>0</formula>
    </cfRule>
  </conditionalFormatting>
  <conditionalFormatting sqref="H10:H1048576">
    <cfRule type="cellIs" dxfId="2463" priority="4808" operator="lessThan">
      <formula>0</formula>
    </cfRule>
  </conditionalFormatting>
  <conditionalFormatting sqref="H10:H1048576">
    <cfRule type="cellIs" dxfId="2462" priority="4807" operator="lessThan">
      <formula>0</formula>
    </cfRule>
  </conditionalFormatting>
  <conditionalFormatting sqref="H10:H1048576">
    <cfRule type="cellIs" dxfId="2461" priority="4806" operator="lessThan">
      <formula>0</formula>
    </cfRule>
  </conditionalFormatting>
  <conditionalFormatting sqref="H10:H1048576">
    <cfRule type="cellIs" dxfId="2460" priority="4805" operator="lessThan">
      <formula>0</formula>
    </cfRule>
  </conditionalFormatting>
  <conditionalFormatting sqref="H10:H1048576">
    <cfRule type="cellIs" dxfId="2459" priority="4804" operator="lessThan">
      <formula>0</formula>
    </cfRule>
  </conditionalFormatting>
  <conditionalFormatting sqref="H10:H1048576">
    <cfRule type="cellIs" dxfId="2458" priority="4803" operator="lessThan">
      <formula>0</formula>
    </cfRule>
  </conditionalFormatting>
  <conditionalFormatting sqref="H10:H1048576">
    <cfRule type="cellIs" dxfId="2457" priority="4802" operator="lessThan">
      <formula>0</formula>
    </cfRule>
  </conditionalFormatting>
  <conditionalFormatting sqref="H10:H1048576">
    <cfRule type="cellIs" dxfId="2456" priority="4801" operator="lessThan">
      <formula>0</formula>
    </cfRule>
  </conditionalFormatting>
  <conditionalFormatting sqref="H10:H1048576">
    <cfRule type="cellIs" dxfId="2455" priority="4800" operator="lessThan">
      <formula>0</formula>
    </cfRule>
  </conditionalFormatting>
  <conditionalFormatting sqref="H10:H1048576">
    <cfRule type="cellIs" dxfId="2454" priority="4799" operator="lessThan">
      <formula>0</formula>
    </cfRule>
  </conditionalFormatting>
  <conditionalFormatting sqref="H10:H1048576">
    <cfRule type="cellIs" dxfId="2453" priority="4798" operator="lessThan">
      <formula>0</formula>
    </cfRule>
  </conditionalFormatting>
  <conditionalFormatting sqref="H10:H1048576">
    <cfRule type="cellIs" dxfId="2452" priority="4797" operator="lessThan">
      <formula>0</formula>
    </cfRule>
  </conditionalFormatting>
  <conditionalFormatting sqref="H10:H1048576">
    <cfRule type="cellIs" dxfId="2451" priority="4796" operator="lessThan">
      <formula>0</formula>
    </cfRule>
  </conditionalFormatting>
  <conditionalFormatting sqref="H10:H1048576">
    <cfRule type="cellIs" dxfId="2450" priority="4795" operator="lessThan">
      <formula>0</formula>
    </cfRule>
  </conditionalFormatting>
  <conditionalFormatting sqref="H10:H1048576">
    <cfRule type="cellIs" dxfId="2449" priority="4794" operator="lessThan">
      <formula>0</formula>
    </cfRule>
  </conditionalFormatting>
  <conditionalFormatting sqref="H10:H1048576">
    <cfRule type="cellIs" dxfId="2448" priority="4793" operator="lessThan">
      <formula>0</formula>
    </cfRule>
  </conditionalFormatting>
  <conditionalFormatting sqref="H10:H1048576">
    <cfRule type="cellIs" dxfId="2447" priority="4792" operator="lessThan">
      <formula>0</formula>
    </cfRule>
  </conditionalFormatting>
  <conditionalFormatting sqref="H10:H1048576">
    <cfRule type="cellIs" dxfId="2446" priority="4791" operator="lessThan">
      <formula>0</formula>
    </cfRule>
  </conditionalFormatting>
  <conditionalFormatting sqref="H10:H1048576">
    <cfRule type="cellIs" dxfId="2445" priority="4790" operator="lessThan">
      <formula>0</formula>
    </cfRule>
  </conditionalFormatting>
  <conditionalFormatting sqref="H10:H1048576">
    <cfRule type="cellIs" dxfId="2444" priority="4789" operator="lessThan">
      <formula>0</formula>
    </cfRule>
  </conditionalFormatting>
  <conditionalFormatting sqref="H10:H1048576">
    <cfRule type="cellIs" dxfId="2443" priority="4788" operator="lessThan">
      <formula>0</formula>
    </cfRule>
  </conditionalFormatting>
  <conditionalFormatting sqref="H10:H1048576">
    <cfRule type="cellIs" dxfId="2442" priority="4787" operator="lessThan">
      <formula>0</formula>
    </cfRule>
  </conditionalFormatting>
  <conditionalFormatting sqref="H10:H1048576">
    <cfRule type="cellIs" dxfId="2441" priority="4786" operator="lessThan">
      <formula>0</formula>
    </cfRule>
  </conditionalFormatting>
  <conditionalFormatting sqref="H10:H1048576">
    <cfRule type="cellIs" dxfId="2440" priority="4785" operator="lessThan">
      <formula>0</formula>
    </cfRule>
  </conditionalFormatting>
  <conditionalFormatting sqref="H10:H1048576">
    <cfRule type="cellIs" dxfId="2439" priority="4784" operator="lessThan">
      <formula>0</formula>
    </cfRule>
  </conditionalFormatting>
  <conditionalFormatting sqref="H10:H1048576">
    <cfRule type="cellIs" dxfId="2438" priority="4783" operator="lessThan">
      <formula>0</formula>
    </cfRule>
  </conditionalFormatting>
  <conditionalFormatting sqref="H10:H1048576">
    <cfRule type="cellIs" dxfId="2437" priority="4782" operator="lessThan">
      <formula>0</formula>
    </cfRule>
  </conditionalFormatting>
  <conditionalFormatting sqref="H10:H1048576">
    <cfRule type="cellIs" dxfId="2436" priority="4781" operator="lessThan">
      <formula>0</formula>
    </cfRule>
  </conditionalFormatting>
  <conditionalFormatting sqref="H10:H1048576">
    <cfRule type="cellIs" dxfId="2435" priority="4780" operator="lessThan">
      <formula>0</formula>
    </cfRule>
  </conditionalFormatting>
  <conditionalFormatting sqref="H10:H1048576">
    <cfRule type="cellIs" dxfId="2434" priority="4779" operator="lessThan">
      <formula>0</formula>
    </cfRule>
  </conditionalFormatting>
  <conditionalFormatting sqref="H10:H1048576">
    <cfRule type="cellIs" dxfId="2433" priority="4778" operator="lessThan">
      <formula>0</formula>
    </cfRule>
  </conditionalFormatting>
  <conditionalFormatting sqref="H10:H1048576">
    <cfRule type="cellIs" dxfId="2432" priority="4777" operator="lessThan">
      <formula>0</formula>
    </cfRule>
  </conditionalFormatting>
  <conditionalFormatting sqref="H10:H1048576">
    <cfRule type="cellIs" dxfId="2431" priority="4776" operator="lessThan">
      <formula>0</formula>
    </cfRule>
  </conditionalFormatting>
  <conditionalFormatting sqref="H10:H1048576">
    <cfRule type="cellIs" dxfId="2430" priority="4775" operator="lessThan">
      <formula>0</formula>
    </cfRule>
  </conditionalFormatting>
  <conditionalFormatting sqref="H10:H1048576">
    <cfRule type="cellIs" dxfId="2429" priority="4774" operator="lessThan">
      <formula>0</formula>
    </cfRule>
  </conditionalFormatting>
  <conditionalFormatting sqref="H10:H1048576">
    <cfRule type="cellIs" dxfId="2428" priority="4773" operator="lessThan">
      <formula>0</formula>
    </cfRule>
  </conditionalFormatting>
  <conditionalFormatting sqref="H10:H1048576">
    <cfRule type="cellIs" dxfId="2427" priority="4772" operator="lessThan">
      <formula>0</formula>
    </cfRule>
  </conditionalFormatting>
  <conditionalFormatting sqref="H10:H1048576">
    <cfRule type="cellIs" dxfId="2426" priority="4771" operator="lessThan">
      <formula>0</formula>
    </cfRule>
  </conditionalFormatting>
  <conditionalFormatting sqref="H10:H1048576">
    <cfRule type="cellIs" dxfId="2425" priority="4770" operator="lessThan">
      <formula>0</formula>
    </cfRule>
  </conditionalFormatting>
  <conditionalFormatting sqref="H10:H1048576">
    <cfRule type="cellIs" dxfId="2424" priority="4769" operator="lessThan">
      <formula>0</formula>
    </cfRule>
  </conditionalFormatting>
  <conditionalFormatting sqref="H10:H1048576">
    <cfRule type="cellIs" dxfId="2423" priority="4768" operator="lessThan">
      <formula>0</formula>
    </cfRule>
  </conditionalFormatting>
  <conditionalFormatting sqref="H10:H1048576">
    <cfRule type="cellIs" dxfId="2422" priority="4767" operator="lessThan">
      <formula>0</formula>
    </cfRule>
  </conditionalFormatting>
  <conditionalFormatting sqref="H10:H1048576">
    <cfRule type="cellIs" dxfId="2421" priority="4766" operator="lessThan">
      <formula>0</formula>
    </cfRule>
  </conditionalFormatting>
  <conditionalFormatting sqref="H10:H1048576">
    <cfRule type="cellIs" dxfId="2420" priority="4765" operator="lessThan">
      <formula>0</formula>
    </cfRule>
  </conditionalFormatting>
  <conditionalFormatting sqref="H10:H1048576">
    <cfRule type="cellIs" dxfId="2419" priority="4764" operator="lessThan">
      <formula>0</formula>
    </cfRule>
  </conditionalFormatting>
  <conditionalFormatting sqref="H10:H1048576">
    <cfRule type="cellIs" dxfId="2418" priority="4763" operator="lessThan">
      <formula>0</formula>
    </cfRule>
  </conditionalFormatting>
  <conditionalFormatting sqref="H10:H1048576">
    <cfRule type="cellIs" dxfId="2417" priority="4762" operator="lessThan">
      <formula>0</formula>
    </cfRule>
  </conditionalFormatting>
  <conditionalFormatting sqref="H10:H1048576">
    <cfRule type="cellIs" dxfId="2416" priority="4761" operator="lessThan">
      <formula>0</formula>
    </cfRule>
  </conditionalFormatting>
  <conditionalFormatting sqref="H10:H1048576">
    <cfRule type="cellIs" dxfId="2415" priority="4760" operator="lessThan">
      <formula>0</formula>
    </cfRule>
  </conditionalFormatting>
  <conditionalFormatting sqref="H10:H1048576">
    <cfRule type="cellIs" dxfId="2414" priority="4759" operator="lessThan">
      <formula>0</formula>
    </cfRule>
  </conditionalFormatting>
  <conditionalFormatting sqref="H10:H1048576">
    <cfRule type="cellIs" dxfId="2413" priority="4758" operator="lessThan">
      <formula>0</formula>
    </cfRule>
  </conditionalFormatting>
  <conditionalFormatting sqref="H10:H1048576">
    <cfRule type="cellIs" dxfId="2412" priority="4757" operator="lessThan">
      <formula>0</formula>
    </cfRule>
  </conditionalFormatting>
  <conditionalFormatting sqref="H10:H1048576">
    <cfRule type="cellIs" dxfId="2411" priority="4756" operator="lessThan">
      <formula>0</formula>
    </cfRule>
  </conditionalFormatting>
  <conditionalFormatting sqref="H10:H1048576">
    <cfRule type="cellIs" dxfId="2410" priority="4755" operator="lessThan">
      <formula>0</formula>
    </cfRule>
  </conditionalFormatting>
  <conditionalFormatting sqref="H10:H1048576">
    <cfRule type="cellIs" dxfId="2409" priority="4754" operator="lessThan">
      <formula>0</formula>
    </cfRule>
  </conditionalFormatting>
  <conditionalFormatting sqref="H10:H1048576">
    <cfRule type="cellIs" dxfId="2408" priority="4753" operator="lessThan">
      <formula>0</formula>
    </cfRule>
  </conditionalFormatting>
  <conditionalFormatting sqref="H10:H1048576">
    <cfRule type="cellIs" dxfId="2407" priority="4752" operator="lessThan">
      <formula>0</formula>
    </cfRule>
  </conditionalFormatting>
  <conditionalFormatting sqref="H10:H1048576">
    <cfRule type="cellIs" dxfId="2406" priority="4751" operator="lessThan">
      <formula>0</formula>
    </cfRule>
  </conditionalFormatting>
  <conditionalFormatting sqref="H10:H1048576">
    <cfRule type="cellIs" dxfId="2405" priority="4750" operator="lessThan">
      <formula>0</formula>
    </cfRule>
  </conditionalFormatting>
  <conditionalFormatting sqref="H10:H1048576">
    <cfRule type="cellIs" dxfId="2404" priority="4749" operator="lessThan">
      <formula>0</formula>
    </cfRule>
  </conditionalFormatting>
  <conditionalFormatting sqref="H10:H1048576">
    <cfRule type="cellIs" dxfId="2403" priority="4748" operator="lessThan">
      <formula>0</formula>
    </cfRule>
  </conditionalFormatting>
  <conditionalFormatting sqref="H10:H1048576">
    <cfRule type="cellIs" dxfId="2402" priority="4747" operator="lessThan">
      <formula>0</formula>
    </cfRule>
  </conditionalFormatting>
  <conditionalFormatting sqref="H10:H1048576">
    <cfRule type="cellIs" dxfId="2401" priority="4746" operator="lessThan">
      <formula>0</formula>
    </cfRule>
  </conditionalFormatting>
  <conditionalFormatting sqref="H10:H1048576">
    <cfRule type="cellIs" dxfId="2400" priority="4745" operator="lessThan">
      <formula>0</formula>
    </cfRule>
  </conditionalFormatting>
  <conditionalFormatting sqref="H10:H1048576">
    <cfRule type="cellIs" dxfId="2399" priority="4744" operator="lessThan">
      <formula>0</formula>
    </cfRule>
  </conditionalFormatting>
  <conditionalFormatting sqref="H10:H1048576">
    <cfRule type="cellIs" dxfId="2398" priority="4743" operator="lessThan">
      <formula>0</formula>
    </cfRule>
  </conditionalFormatting>
  <conditionalFormatting sqref="H10:H1048576">
    <cfRule type="cellIs" dxfId="2397" priority="4742" operator="lessThan">
      <formula>0</formula>
    </cfRule>
  </conditionalFormatting>
  <conditionalFormatting sqref="H10:H1048576">
    <cfRule type="cellIs" dxfId="2396" priority="4741" operator="lessThan">
      <formula>0</formula>
    </cfRule>
  </conditionalFormatting>
  <conditionalFormatting sqref="H10:H1048576">
    <cfRule type="cellIs" dxfId="2395" priority="4740" operator="lessThan">
      <formula>0</formula>
    </cfRule>
  </conditionalFormatting>
  <conditionalFormatting sqref="H10:H1048576">
    <cfRule type="cellIs" dxfId="2394" priority="4739" operator="lessThan">
      <formula>0</formula>
    </cfRule>
  </conditionalFormatting>
  <conditionalFormatting sqref="H10:H1048576">
    <cfRule type="cellIs" dxfId="2393" priority="4738" operator="lessThan">
      <formula>0</formula>
    </cfRule>
  </conditionalFormatting>
  <conditionalFormatting sqref="H10:H1048576">
    <cfRule type="cellIs" dxfId="2392" priority="4737" operator="lessThan">
      <formula>0</formula>
    </cfRule>
  </conditionalFormatting>
  <conditionalFormatting sqref="H10:H1048576">
    <cfRule type="cellIs" dxfId="2391" priority="4736" operator="lessThan">
      <formula>0</formula>
    </cfRule>
  </conditionalFormatting>
  <conditionalFormatting sqref="H10:H1048576">
    <cfRule type="cellIs" dxfId="2390" priority="4735" operator="lessThan">
      <formula>0</formula>
    </cfRule>
  </conditionalFormatting>
  <conditionalFormatting sqref="H10:H1048576">
    <cfRule type="cellIs" dxfId="2389" priority="4734" operator="lessThan">
      <formula>0</formula>
    </cfRule>
  </conditionalFormatting>
  <conditionalFormatting sqref="H10:H1048576">
    <cfRule type="cellIs" dxfId="2388" priority="4733" operator="lessThan">
      <formula>0</formula>
    </cfRule>
  </conditionalFormatting>
  <conditionalFormatting sqref="H10:H1048576">
    <cfRule type="cellIs" dxfId="2387" priority="4732" operator="lessThan">
      <formula>0</formula>
    </cfRule>
  </conditionalFormatting>
  <conditionalFormatting sqref="H10:H1048576">
    <cfRule type="cellIs" dxfId="2386" priority="4731" operator="lessThan">
      <formula>0</formula>
    </cfRule>
  </conditionalFormatting>
  <conditionalFormatting sqref="H10:H1048576">
    <cfRule type="cellIs" dxfId="2385" priority="4730" operator="lessThan">
      <formula>0</formula>
    </cfRule>
  </conditionalFormatting>
  <conditionalFormatting sqref="H10:H1048576">
    <cfRule type="cellIs" dxfId="2384" priority="4729" operator="lessThan">
      <formula>0</formula>
    </cfRule>
  </conditionalFormatting>
  <conditionalFormatting sqref="H10:H1048576">
    <cfRule type="cellIs" dxfId="2383" priority="4728" operator="lessThan">
      <formula>0</formula>
    </cfRule>
  </conditionalFormatting>
  <conditionalFormatting sqref="H10:H1048576">
    <cfRule type="cellIs" dxfId="2382" priority="4727" operator="lessThan">
      <formula>0</formula>
    </cfRule>
  </conditionalFormatting>
  <conditionalFormatting sqref="H10:H1048576">
    <cfRule type="cellIs" dxfId="2381" priority="4726" operator="lessThan">
      <formula>0</formula>
    </cfRule>
  </conditionalFormatting>
  <conditionalFormatting sqref="H10:H1048576">
    <cfRule type="cellIs" dxfId="2380" priority="4725" operator="lessThan">
      <formula>0</formula>
    </cfRule>
  </conditionalFormatting>
  <conditionalFormatting sqref="H10:H1048576">
    <cfRule type="cellIs" dxfId="2379" priority="4724" operator="lessThan">
      <formula>0</formula>
    </cfRule>
  </conditionalFormatting>
  <conditionalFormatting sqref="H10:H1048576">
    <cfRule type="cellIs" dxfId="2378" priority="4723" operator="lessThan">
      <formula>0</formula>
    </cfRule>
  </conditionalFormatting>
  <conditionalFormatting sqref="H10:H1048576">
    <cfRule type="cellIs" dxfId="2377" priority="4722" operator="lessThan">
      <formula>0</formula>
    </cfRule>
  </conditionalFormatting>
  <conditionalFormatting sqref="H10:H1048576">
    <cfRule type="cellIs" dxfId="2376" priority="4721" operator="lessThan">
      <formula>0</formula>
    </cfRule>
  </conditionalFormatting>
  <conditionalFormatting sqref="H10:H1048576">
    <cfRule type="cellIs" dxfId="2375" priority="4720" operator="lessThan">
      <formula>0</formula>
    </cfRule>
  </conditionalFormatting>
  <conditionalFormatting sqref="H10:H1048576">
    <cfRule type="cellIs" dxfId="2374" priority="4719" operator="lessThan">
      <formula>0</formula>
    </cfRule>
  </conditionalFormatting>
  <conditionalFormatting sqref="H10:H1048576">
    <cfRule type="cellIs" dxfId="2373" priority="4718" operator="lessThan">
      <formula>0</formula>
    </cfRule>
  </conditionalFormatting>
  <conditionalFormatting sqref="H10:H1048576">
    <cfRule type="cellIs" dxfId="2372" priority="4717" operator="lessThan">
      <formula>0</formula>
    </cfRule>
  </conditionalFormatting>
  <conditionalFormatting sqref="H10:H1048576">
    <cfRule type="cellIs" dxfId="2371" priority="4716" operator="lessThan">
      <formula>0</formula>
    </cfRule>
  </conditionalFormatting>
  <conditionalFormatting sqref="H10:H1048576">
    <cfRule type="cellIs" dxfId="2370" priority="4715" operator="lessThan">
      <formula>0</formula>
    </cfRule>
  </conditionalFormatting>
  <conditionalFormatting sqref="H10:H1048576">
    <cfRule type="cellIs" dxfId="2369" priority="4714" operator="lessThan">
      <formula>0</formula>
    </cfRule>
  </conditionalFormatting>
  <conditionalFormatting sqref="H10:H1048576">
    <cfRule type="cellIs" dxfId="2368" priority="4713" operator="lessThan">
      <formula>0</formula>
    </cfRule>
  </conditionalFormatting>
  <conditionalFormatting sqref="H10:H1048576">
    <cfRule type="cellIs" dxfId="2367" priority="4712" operator="lessThan">
      <formula>0</formula>
    </cfRule>
  </conditionalFormatting>
  <conditionalFormatting sqref="H10:H1048576">
    <cfRule type="cellIs" dxfId="2366" priority="4711" operator="lessThan">
      <formula>0</formula>
    </cfRule>
  </conditionalFormatting>
  <conditionalFormatting sqref="H10:H1048576">
    <cfRule type="cellIs" dxfId="2365" priority="4710" operator="lessThan">
      <formula>0</formula>
    </cfRule>
  </conditionalFormatting>
  <conditionalFormatting sqref="H10:H1048576">
    <cfRule type="cellIs" dxfId="2364" priority="4709" operator="lessThan">
      <formula>0</formula>
    </cfRule>
  </conditionalFormatting>
  <conditionalFormatting sqref="H10:H1048576">
    <cfRule type="cellIs" dxfId="2363" priority="4708" operator="lessThan">
      <formula>0</formula>
    </cfRule>
  </conditionalFormatting>
  <conditionalFormatting sqref="H10:H1048576">
    <cfRule type="cellIs" dxfId="2362" priority="4707" operator="lessThan">
      <formula>0</formula>
    </cfRule>
  </conditionalFormatting>
  <conditionalFormatting sqref="H10:H1048576">
    <cfRule type="cellIs" dxfId="2361" priority="4706" operator="lessThan">
      <formula>0</formula>
    </cfRule>
  </conditionalFormatting>
  <conditionalFormatting sqref="H10:H1048576">
    <cfRule type="cellIs" dxfId="2360" priority="4705" operator="lessThan">
      <formula>0</formula>
    </cfRule>
  </conditionalFormatting>
  <conditionalFormatting sqref="H10:H1048576">
    <cfRule type="cellIs" dxfId="2359" priority="4704" operator="lessThan">
      <formula>0</formula>
    </cfRule>
  </conditionalFormatting>
  <conditionalFormatting sqref="H10:H1048576">
    <cfRule type="cellIs" dxfId="2358" priority="4703" operator="lessThan">
      <formula>0</formula>
    </cfRule>
  </conditionalFormatting>
  <conditionalFormatting sqref="H10:H1048576">
    <cfRule type="cellIs" dxfId="2357" priority="4702" operator="lessThan">
      <formula>0</formula>
    </cfRule>
  </conditionalFormatting>
  <conditionalFormatting sqref="H10:H1048576">
    <cfRule type="cellIs" dxfId="2356" priority="4701" operator="lessThan">
      <formula>0</formula>
    </cfRule>
  </conditionalFormatting>
  <conditionalFormatting sqref="H10:H1048576">
    <cfRule type="cellIs" dxfId="2355" priority="4700" operator="lessThan">
      <formula>0</formula>
    </cfRule>
  </conditionalFormatting>
  <conditionalFormatting sqref="H10:H1048576">
    <cfRule type="cellIs" dxfId="2354" priority="4699" operator="lessThan">
      <formula>0</formula>
    </cfRule>
  </conditionalFormatting>
  <conditionalFormatting sqref="H10:H1048576">
    <cfRule type="cellIs" dxfId="2353" priority="4698" operator="lessThan">
      <formula>0</formula>
    </cfRule>
  </conditionalFormatting>
  <conditionalFormatting sqref="H10:H1048576">
    <cfRule type="cellIs" dxfId="2352" priority="4697" operator="lessThan">
      <formula>0</formula>
    </cfRule>
  </conditionalFormatting>
  <conditionalFormatting sqref="H10:H1048576">
    <cfRule type="cellIs" dxfId="2351" priority="4696" operator="lessThan">
      <formula>0</formula>
    </cfRule>
  </conditionalFormatting>
  <conditionalFormatting sqref="H10:H1048576">
    <cfRule type="cellIs" dxfId="2350" priority="4695" operator="lessThan">
      <formula>0</formula>
    </cfRule>
  </conditionalFormatting>
  <conditionalFormatting sqref="H10:H1048576">
    <cfRule type="cellIs" dxfId="2349" priority="4694" operator="lessThan">
      <formula>0</formula>
    </cfRule>
  </conditionalFormatting>
  <conditionalFormatting sqref="H10:H1048576">
    <cfRule type="cellIs" dxfId="2348" priority="4693" operator="lessThan">
      <formula>0</formula>
    </cfRule>
  </conditionalFormatting>
  <conditionalFormatting sqref="H10:H1048576">
    <cfRule type="cellIs" dxfId="2347" priority="4692" operator="lessThan">
      <formula>0</formula>
    </cfRule>
  </conditionalFormatting>
  <conditionalFormatting sqref="H10:H1048576">
    <cfRule type="cellIs" dxfId="2346" priority="4691" operator="lessThan">
      <formula>0</formula>
    </cfRule>
  </conditionalFormatting>
  <conditionalFormatting sqref="H10:H1048576">
    <cfRule type="cellIs" dxfId="2345" priority="4690" operator="lessThan">
      <formula>0</formula>
    </cfRule>
  </conditionalFormatting>
  <conditionalFormatting sqref="H10:H1048576">
    <cfRule type="cellIs" dxfId="2344" priority="4689" operator="lessThan">
      <formula>0</formula>
    </cfRule>
  </conditionalFormatting>
  <conditionalFormatting sqref="H10:H1048576">
    <cfRule type="cellIs" dxfId="2343" priority="4688" operator="lessThan">
      <formula>0</formula>
    </cfRule>
  </conditionalFormatting>
  <conditionalFormatting sqref="H10:H1048576">
    <cfRule type="cellIs" dxfId="2342" priority="4687" operator="lessThan">
      <formula>0</formula>
    </cfRule>
  </conditionalFormatting>
  <conditionalFormatting sqref="H10:H1048576">
    <cfRule type="cellIs" dxfId="2341" priority="4686" operator="lessThan">
      <formula>0</formula>
    </cfRule>
  </conditionalFormatting>
  <conditionalFormatting sqref="H10:H1048576">
    <cfRule type="cellIs" dxfId="2340" priority="4685" operator="lessThan">
      <formula>0</formula>
    </cfRule>
  </conditionalFormatting>
  <conditionalFormatting sqref="H10:H1048576">
    <cfRule type="cellIs" dxfId="2339" priority="4684" operator="lessThan">
      <formula>0</formula>
    </cfRule>
  </conditionalFormatting>
  <conditionalFormatting sqref="H10:H1048576">
    <cfRule type="cellIs" dxfId="2338" priority="4683" operator="lessThan">
      <formula>0</formula>
    </cfRule>
  </conditionalFormatting>
  <conditionalFormatting sqref="H10:H1048576">
    <cfRule type="cellIs" dxfId="2337" priority="4682" operator="lessThan">
      <formula>0</formula>
    </cfRule>
  </conditionalFormatting>
  <conditionalFormatting sqref="H10:H1048576">
    <cfRule type="cellIs" dxfId="2336" priority="4681" operator="lessThan">
      <formula>0</formula>
    </cfRule>
  </conditionalFormatting>
  <conditionalFormatting sqref="H10:H1048576">
    <cfRule type="cellIs" dxfId="2335" priority="4680" operator="lessThan">
      <formula>0</formula>
    </cfRule>
  </conditionalFormatting>
  <conditionalFormatting sqref="H10:H1048576">
    <cfRule type="cellIs" dxfId="2334" priority="4679" operator="lessThan">
      <formula>0</formula>
    </cfRule>
  </conditionalFormatting>
  <conditionalFormatting sqref="H10:H1048576">
    <cfRule type="cellIs" dxfId="2333" priority="4678" operator="lessThan">
      <formula>0</formula>
    </cfRule>
  </conditionalFormatting>
  <conditionalFormatting sqref="H10:H1048576">
    <cfRule type="cellIs" dxfId="2332" priority="4677" operator="lessThan">
      <formula>0</formula>
    </cfRule>
  </conditionalFormatting>
  <conditionalFormatting sqref="H10:H1048576">
    <cfRule type="cellIs" dxfId="2331" priority="4676" operator="lessThan">
      <formula>0</formula>
    </cfRule>
  </conditionalFormatting>
  <conditionalFormatting sqref="H10:H1048576">
    <cfRule type="cellIs" dxfId="2330" priority="4675" operator="lessThan">
      <formula>0</formula>
    </cfRule>
  </conditionalFormatting>
  <conditionalFormatting sqref="H10:H1048576">
    <cfRule type="cellIs" dxfId="2329" priority="4674" operator="lessThan">
      <formula>0</formula>
    </cfRule>
  </conditionalFormatting>
  <conditionalFormatting sqref="H10:H1048576">
    <cfRule type="cellIs" dxfId="2328" priority="4673" operator="lessThan">
      <formula>0</formula>
    </cfRule>
  </conditionalFormatting>
  <conditionalFormatting sqref="H10:H1048576">
    <cfRule type="cellIs" dxfId="2327" priority="4672" operator="lessThan">
      <formula>0</formula>
    </cfRule>
  </conditionalFormatting>
  <conditionalFormatting sqref="H10:H1048576">
    <cfRule type="cellIs" dxfId="2326" priority="4671" operator="lessThan">
      <formula>0</formula>
    </cfRule>
  </conditionalFormatting>
  <conditionalFormatting sqref="H10:H1048576">
    <cfRule type="cellIs" dxfId="2325" priority="4670" operator="lessThan">
      <formula>0</formula>
    </cfRule>
  </conditionalFormatting>
  <conditionalFormatting sqref="H10:H1048576">
    <cfRule type="cellIs" dxfId="2324" priority="4669" operator="lessThan">
      <formula>0</formula>
    </cfRule>
  </conditionalFormatting>
  <conditionalFormatting sqref="H10:H1048576">
    <cfRule type="cellIs" dxfId="2323" priority="4668" operator="lessThan">
      <formula>0</formula>
    </cfRule>
  </conditionalFormatting>
  <conditionalFormatting sqref="H10:H1048576">
    <cfRule type="cellIs" dxfId="2322" priority="4667" operator="lessThan">
      <formula>0</formula>
    </cfRule>
  </conditionalFormatting>
  <conditionalFormatting sqref="H10:H1048576">
    <cfRule type="cellIs" dxfId="2321" priority="4666" operator="lessThan">
      <formula>0</formula>
    </cfRule>
  </conditionalFormatting>
  <conditionalFormatting sqref="H10:H1048576">
    <cfRule type="cellIs" dxfId="2320" priority="4665" operator="lessThan">
      <formula>0</formula>
    </cfRule>
  </conditionalFormatting>
  <conditionalFormatting sqref="H10:H1048576">
    <cfRule type="cellIs" dxfId="2319" priority="4664" operator="lessThan">
      <formula>0</formula>
    </cfRule>
  </conditionalFormatting>
  <conditionalFormatting sqref="H10:H1048576">
    <cfRule type="cellIs" dxfId="2318" priority="4663" operator="lessThan">
      <formula>0</formula>
    </cfRule>
  </conditionalFormatting>
  <conditionalFormatting sqref="H10:H1048576">
    <cfRule type="cellIs" dxfId="2317" priority="4662" operator="lessThan">
      <formula>0</formula>
    </cfRule>
  </conditionalFormatting>
  <conditionalFormatting sqref="H10:H1048576">
    <cfRule type="cellIs" dxfId="2316" priority="4661" operator="lessThan">
      <formula>0</formula>
    </cfRule>
  </conditionalFormatting>
  <conditionalFormatting sqref="H10:H1048576">
    <cfRule type="cellIs" dxfId="2315" priority="4660" operator="lessThan">
      <formula>0</formula>
    </cfRule>
  </conditionalFormatting>
  <conditionalFormatting sqref="H10:H1048576">
    <cfRule type="cellIs" dxfId="2314" priority="4659" operator="lessThan">
      <formula>0</formula>
    </cfRule>
  </conditionalFormatting>
  <conditionalFormatting sqref="H10:H1048576">
    <cfRule type="cellIs" dxfId="2313" priority="4658" operator="lessThan">
      <formula>0</formula>
    </cfRule>
  </conditionalFormatting>
  <conditionalFormatting sqref="H10:H1048576">
    <cfRule type="cellIs" dxfId="2312" priority="4657" operator="lessThan">
      <formula>0</formula>
    </cfRule>
  </conditionalFormatting>
  <conditionalFormatting sqref="H10:H1048576">
    <cfRule type="cellIs" dxfId="2311" priority="4656" operator="lessThan">
      <formula>0</formula>
    </cfRule>
  </conditionalFormatting>
  <conditionalFormatting sqref="H10:H1048576">
    <cfRule type="cellIs" dxfId="2310" priority="4655" operator="lessThan">
      <formula>0</formula>
    </cfRule>
  </conditionalFormatting>
  <conditionalFormatting sqref="H10:H1048576">
    <cfRule type="cellIs" dxfId="2309" priority="4654" operator="lessThan">
      <formula>0</formula>
    </cfRule>
  </conditionalFormatting>
  <conditionalFormatting sqref="H10:H1048576">
    <cfRule type="cellIs" dxfId="2308" priority="4653" operator="lessThan">
      <formula>0</formula>
    </cfRule>
  </conditionalFormatting>
  <conditionalFormatting sqref="H10:H1048576">
    <cfRule type="cellIs" dxfId="2307" priority="4652" operator="lessThan">
      <formula>0</formula>
    </cfRule>
  </conditionalFormatting>
  <conditionalFormatting sqref="H10:H1048576">
    <cfRule type="cellIs" dxfId="2306" priority="4651" operator="lessThan">
      <formula>0</formula>
    </cfRule>
  </conditionalFormatting>
  <conditionalFormatting sqref="H10:H1048576">
    <cfRule type="cellIs" dxfId="2305" priority="4650" operator="lessThan">
      <formula>0</formula>
    </cfRule>
  </conditionalFormatting>
  <conditionalFormatting sqref="H10:H1048576">
    <cfRule type="cellIs" dxfId="2304" priority="4649" operator="lessThan">
      <formula>0</formula>
    </cfRule>
  </conditionalFormatting>
  <conditionalFormatting sqref="H10:H1048576">
    <cfRule type="cellIs" dxfId="2303" priority="4648" operator="lessThan">
      <formula>0</formula>
    </cfRule>
  </conditionalFormatting>
  <conditionalFormatting sqref="H10:H1048576">
    <cfRule type="cellIs" dxfId="2302" priority="4647" operator="lessThan">
      <formula>0</formula>
    </cfRule>
  </conditionalFormatting>
  <conditionalFormatting sqref="H10:H1048576">
    <cfRule type="cellIs" dxfId="2301" priority="4646" operator="lessThan">
      <formula>0</formula>
    </cfRule>
  </conditionalFormatting>
  <conditionalFormatting sqref="H10:H1048576">
    <cfRule type="cellIs" dxfId="2300" priority="4645" operator="lessThan">
      <formula>0</formula>
    </cfRule>
  </conditionalFormatting>
  <conditionalFormatting sqref="H10:H1048576">
    <cfRule type="cellIs" dxfId="2299" priority="4644" operator="lessThan">
      <formula>0</formula>
    </cfRule>
  </conditionalFormatting>
  <conditionalFormatting sqref="H10:H1048576">
    <cfRule type="cellIs" dxfId="2298" priority="4643" operator="lessThan">
      <formula>0</formula>
    </cfRule>
  </conditionalFormatting>
  <conditionalFormatting sqref="H10:H1048576">
    <cfRule type="cellIs" dxfId="2297" priority="4642" operator="lessThan">
      <formula>0</formula>
    </cfRule>
  </conditionalFormatting>
  <conditionalFormatting sqref="H10:H1048576">
    <cfRule type="cellIs" dxfId="2296" priority="4641" operator="lessThan">
      <formula>0</formula>
    </cfRule>
  </conditionalFormatting>
  <conditionalFormatting sqref="H10:H1048576">
    <cfRule type="cellIs" dxfId="2295" priority="4640" operator="lessThan">
      <formula>0</formula>
    </cfRule>
  </conditionalFormatting>
  <conditionalFormatting sqref="H10:H1048576">
    <cfRule type="cellIs" dxfId="2294" priority="4639" operator="lessThan">
      <formula>0</formula>
    </cfRule>
  </conditionalFormatting>
  <conditionalFormatting sqref="H10:H1048576">
    <cfRule type="cellIs" dxfId="2293" priority="4638" operator="lessThan">
      <formula>0</formula>
    </cfRule>
  </conditionalFormatting>
  <conditionalFormatting sqref="H10:H1048576">
    <cfRule type="cellIs" dxfId="2292" priority="4637" operator="lessThan">
      <formula>0</formula>
    </cfRule>
  </conditionalFormatting>
  <conditionalFormatting sqref="H10:H1048576">
    <cfRule type="cellIs" dxfId="2291" priority="4636" operator="lessThan">
      <formula>0</formula>
    </cfRule>
  </conditionalFormatting>
  <conditionalFormatting sqref="H10:H1048576">
    <cfRule type="cellIs" dxfId="2290" priority="4635" operator="lessThan">
      <formula>0</formula>
    </cfRule>
  </conditionalFormatting>
  <conditionalFormatting sqref="H10:H1048576">
    <cfRule type="cellIs" dxfId="2289" priority="4634" operator="lessThan">
      <formula>0</formula>
    </cfRule>
  </conditionalFormatting>
  <conditionalFormatting sqref="H10:H1048576">
    <cfRule type="cellIs" dxfId="2288" priority="4633" operator="lessThan">
      <formula>0</formula>
    </cfRule>
  </conditionalFormatting>
  <conditionalFormatting sqref="H10:H1048576">
    <cfRule type="cellIs" dxfId="2287" priority="4632" operator="lessThan">
      <formula>0</formula>
    </cfRule>
  </conditionalFormatting>
  <conditionalFormatting sqref="H10:H1048576">
    <cfRule type="cellIs" dxfId="2286" priority="4631" operator="lessThan">
      <formula>0</formula>
    </cfRule>
  </conditionalFormatting>
  <conditionalFormatting sqref="H10:H1048576">
    <cfRule type="cellIs" dxfId="2285" priority="4630" operator="lessThan">
      <formula>0</formula>
    </cfRule>
  </conditionalFormatting>
  <conditionalFormatting sqref="H10:H1048576">
    <cfRule type="cellIs" dxfId="2284" priority="4629" operator="lessThan">
      <formula>0</formula>
    </cfRule>
  </conditionalFormatting>
  <conditionalFormatting sqref="H10:H1048576">
    <cfRule type="cellIs" dxfId="2283" priority="4628" operator="lessThan">
      <formula>0</formula>
    </cfRule>
  </conditionalFormatting>
  <conditionalFormatting sqref="H10:H1048576">
    <cfRule type="cellIs" dxfId="2282" priority="4627" operator="lessThan">
      <formula>0</formula>
    </cfRule>
  </conditionalFormatting>
  <conditionalFormatting sqref="H10:H1048576">
    <cfRule type="cellIs" dxfId="2281" priority="4626" operator="lessThan">
      <formula>0</formula>
    </cfRule>
  </conditionalFormatting>
  <conditionalFormatting sqref="H10:H1048576">
    <cfRule type="cellIs" dxfId="2280" priority="4625" operator="lessThan">
      <formula>0</formula>
    </cfRule>
  </conditionalFormatting>
  <conditionalFormatting sqref="H10:H1048576">
    <cfRule type="cellIs" dxfId="2279" priority="4624" operator="lessThan">
      <formula>0</formula>
    </cfRule>
  </conditionalFormatting>
  <conditionalFormatting sqref="H10:H1048576">
    <cfRule type="cellIs" dxfId="2278" priority="4623" operator="lessThan">
      <formula>0</formula>
    </cfRule>
  </conditionalFormatting>
  <conditionalFormatting sqref="H10:H1048576">
    <cfRule type="cellIs" dxfId="2277" priority="4622" operator="lessThan">
      <formula>0</formula>
    </cfRule>
  </conditionalFormatting>
  <conditionalFormatting sqref="H10:H1048576">
    <cfRule type="cellIs" dxfId="2276" priority="4621" operator="lessThan">
      <formula>0</formula>
    </cfRule>
  </conditionalFormatting>
  <conditionalFormatting sqref="H10:H1048576">
    <cfRule type="cellIs" dxfId="2275" priority="4620" operator="lessThan">
      <formula>0</formula>
    </cfRule>
  </conditionalFormatting>
  <conditionalFormatting sqref="H10:H1048576">
    <cfRule type="cellIs" dxfId="2274" priority="4619" operator="lessThan">
      <formula>0</formula>
    </cfRule>
  </conditionalFormatting>
  <conditionalFormatting sqref="H10:H1048576">
    <cfRule type="cellIs" dxfId="2273" priority="4618" operator="lessThan">
      <formula>0</formula>
    </cfRule>
  </conditionalFormatting>
  <conditionalFormatting sqref="H10:H1048576">
    <cfRule type="cellIs" dxfId="2272" priority="4617" operator="lessThan">
      <formula>0</formula>
    </cfRule>
  </conditionalFormatting>
  <conditionalFormatting sqref="H10:H1048576">
    <cfRule type="cellIs" dxfId="2271" priority="4616" operator="lessThan">
      <formula>0</formula>
    </cfRule>
  </conditionalFormatting>
  <conditionalFormatting sqref="H10:H1048576">
    <cfRule type="cellIs" dxfId="2270" priority="4615" operator="lessThan">
      <formula>0</formula>
    </cfRule>
  </conditionalFormatting>
  <conditionalFormatting sqref="H10:H1048576">
    <cfRule type="cellIs" dxfId="2269" priority="4614" operator="lessThan">
      <formula>0</formula>
    </cfRule>
  </conditionalFormatting>
  <conditionalFormatting sqref="H10:H1048576">
    <cfRule type="cellIs" dxfId="2268" priority="4613" operator="lessThan">
      <formula>0</formula>
    </cfRule>
  </conditionalFormatting>
  <conditionalFormatting sqref="H10:H1048576">
    <cfRule type="cellIs" dxfId="2267" priority="4612" operator="lessThan">
      <formula>0</formula>
    </cfRule>
  </conditionalFormatting>
  <conditionalFormatting sqref="H10:H1048576">
    <cfRule type="cellIs" dxfId="2266" priority="4611" operator="lessThan">
      <formula>0</formula>
    </cfRule>
  </conditionalFormatting>
  <conditionalFormatting sqref="H10:H1048576">
    <cfRule type="cellIs" dxfId="2265" priority="4610" operator="lessThan">
      <formula>0</formula>
    </cfRule>
  </conditionalFormatting>
  <conditionalFormatting sqref="H10:H1048576">
    <cfRule type="cellIs" dxfId="2264" priority="4609" operator="lessThan">
      <formula>0</formula>
    </cfRule>
  </conditionalFormatting>
  <conditionalFormatting sqref="H10:H1048576">
    <cfRule type="cellIs" dxfId="2263" priority="4608" operator="lessThan">
      <formula>0</formula>
    </cfRule>
  </conditionalFormatting>
  <conditionalFormatting sqref="H10:H1048576">
    <cfRule type="cellIs" dxfId="2262" priority="4607" operator="lessThan">
      <formula>0</formula>
    </cfRule>
  </conditionalFormatting>
  <conditionalFormatting sqref="H10:H1048576">
    <cfRule type="cellIs" dxfId="2261" priority="4606" operator="lessThan">
      <formula>0</formula>
    </cfRule>
  </conditionalFormatting>
  <conditionalFormatting sqref="H10:H1048576">
    <cfRule type="cellIs" dxfId="2260" priority="4605" operator="lessThan">
      <formula>0</formula>
    </cfRule>
  </conditionalFormatting>
  <conditionalFormatting sqref="H10:H1048576">
    <cfRule type="cellIs" dxfId="2259" priority="4604" operator="lessThan">
      <formula>0</formula>
    </cfRule>
  </conditionalFormatting>
  <conditionalFormatting sqref="H10:H1048576">
    <cfRule type="cellIs" dxfId="2258" priority="4603" operator="lessThan">
      <formula>0</formula>
    </cfRule>
  </conditionalFormatting>
  <conditionalFormatting sqref="H10:H1048576">
    <cfRule type="cellIs" dxfId="2257" priority="4602" operator="lessThan">
      <formula>0</formula>
    </cfRule>
  </conditionalFormatting>
  <conditionalFormatting sqref="H10:H1048576">
    <cfRule type="cellIs" dxfId="2256" priority="4601" operator="lessThan">
      <formula>0</formula>
    </cfRule>
  </conditionalFormatting>
  <conditionalFormatting sqref="H10:H1048576">
    <cfRule type="cellIs" dxfId="2255" priority="4600" operator="lessThan">
      <formula>0</formula>
    </cfRule>
  </conditionalFormatting>
  <conditionalFormatting sqref="H10:H1048576">
    <cfRule type="cellIs" dxfId="2254" priority="4599" operator="lessThan">
      <formula>0</formula>
    </cfRule>
  </conditionalFormatting>
  <conditionalFormatting sqref="H10:H1048576">
    <cfRule type="cellIs" dxfId="2253" priority="4598" operator="lessThan">
      <formula>0</formula>
    </cfRule>
  </conditionalFormatting>
  <conditionalFormatting sqref="H10:H1048576">
    <cfRule type="cellIs" dxfId="2252" priority="4597" operator="lessThan">
      <formula>0</formula>
    </cfRule>
  </conditionalFormatting>
  <conditionalFormatting sqref="H10:H1048576">
    <cfRule type="cellIs" dxfId="2251" priority="4596" operator="lessThan">
      <formula>0</formula>
    </cfRule>
  </conditionalFormatting>
  <conditionalFormatting sqref="H10:H1048576">
    <cfRule type="cellIs" dxfId="2250" priority="4595" operator="lessThan">
      <formula>0</formula>
    </cfRule>
  </conditionalFormatting>
  <conditionalFormatting sqref="H10:H1048576">
    <cfRule type="cellIs" dxfId="2249" priority="4594" operator="lessThan">
      <formula>0</formula>
    </cfRule>
  </conditionalFormatting>
  <conditionalFormatting sqref="H10:H1048576">
    <cfRule type="cellIs" dxfId="2248" priority="4593" operator="lessThan">
      <formula>0</formula>
    </cfRule>
  </conditionalFormatting>
  <conditionalFormatting sqref="H10:H1048576">
    <cfRule type="cellIs" dxfId="2247" priority="4592" operator="lessThan">
      <formula>0</formula>
    </cfRule>
  </conditionalFormatting>
  <conditionalFormatting sqref="H10:H1048576">
    <cfRule type="cellIs" dxfId="2246" priority="4591" operator="lessThan">
      <formula>0</formula>
    </cfRule>
  </conditionalFormatting>
  <conditionalFormatting sqref="H10:H1048576">
    <cfRule type="cellIs" dxfId="2245" priority="4590" operator="lessThan">
      <formula>0</formula>
    </cfRule>
  </conditionalFormatting>
  <conditionalFormatting sqref="H10:H1048576">
    <cfRule type="cellIs" dxfId="2244" priority="4589" operator="lessThan">
      <formula>0</formula>
    </cfRule>
  </conditionalFormatting>
  <conditionalFormatting sqref="H10:H1048576">
    <cfRule type="cellIs" dxfId="2243" priority="4588" operator="lessThan">
      <formula>0</formula>
    </cfRule>
  </conditionalFormatting>
  <conditionalFormatting sqref="H10:H1048576">
    <cfRule type="cellIs" dxfId="2242" priority="4587" operator="lessThan">
      <formula>0</formula>
    </cfRule>
  </conditionalFormatting>
  <conditionalFormatting sqref="H10:H1048576">
    <cfRule type="cellIs" dxfId="2241" priority="4586" operator="lessThan">
      <formula>0</formula>
    </cfRule>
  </conditionalFormatting>
  <conditionalFormatting sqref="H10:H1048576">
    <cfRule type="cellIs" dxfId="2240" priority="4585" operator="lessThan">
      <formula>0</formula>
    </cfRule>
  </conditionalFormatting>
  <conditionalFormatting sqref="H10:H1048576">
    <cfRule type="cellIs" dxfId="2239" priority="4584" operator="lessThan">
      <formula>0</formula>
    </cfRule>
  </conditionalFormatting>
  <conditionalFormatting sqref="H10:H1048576">
    <cfRule type="cellIs" dxfId="2238" priority="4583" operator="lessThan">
      <formula>0</formula>
    </cfRule>
  </conditionalFormatting>
  <conditionalFormatting sqref="H10:H1048576">
    <cfRule type="cellIs" dxfId="2237" priority="4582" operator="lessThan">
      <formula>0</formula>
    </cfRule>
  </conditionalFormatting>
  <conditionalFormatting sqref="H10:H1048576">
    <cfRule type="cellIs" dxfId="2236" priority="4581" operator="lessThan">
      <formula>0</formula>
    </cfRule>
  </conditionalFormatting>
  <conditionalFormatting sqref="H10:H1048576">
    <cfRule type="cellIs" dxfId="2235" priority="4580" operator="lessThan">
      <formula>0</formula>
    </cfRule>
  </conditionalFormatting>
  <conditionalFormatting sqref="H10:H1048576">
    <cfRule type="cellIs" dxfId="2234" priority="4579" operator="lessThan">
      <formula>0</formula>
    </cfRule>
  </conditionalFormatting>
  <conditionalFormatting sqref="H10:H1048576">
    <cfRule type="cellIs" dxfId="2233" priority="4578" operator="lessThan">
      <formula>0</formula>
    </cfRule>
  </conditionalFormatting>
  <conditionalFormatting sqref="H10:H1048576">
    <cfRule type="cellIs" dxfId="2232" priority="4577" operator="lessThan">
      <formula>0</formula>
    </cfRule>
  </conditionalFormatting>
  <conditionalFormatting sqref="H10:H1048576">
    <cfRule type="cellIs" dxfId="2231" priority="4576" operator="lessThan">
      <formula>0</formula>
    </cfRule>
  </conditionalFormatting>
  <conditionalFormatting sqref="H10:H1048576">
    <cfRule type="cellIs" dxfId="2230" priority="4575" operator="lessThan">
      <formula>0</formula>
    </cfRule>
  </conditionalFormatting>
  <conditionalFormatting sqref="H10:H1048576">
    <cfRule type="cellIs" dxfId="2229" priority="4574" operator="lessThan">
      <formula>0</formula>
    </cfRule>
  </conditionalFormatting>
  <conditionalFormatting sqref="H10:H1048576">
    <cfRule type="cellIs" dxfId="2228" priority="4573" operator="lessThan">
      <formula>0</formula>
    </cfRule>
  </conditionalFormatting>
  <conditionalFormatting sqref="H10:H1048576">
    <cfRule type="cellIs" dxfId="2227" priority="4572" operator="lessThan">
      <formula>0</formula>
    </cfRule>
  </conditionalFormatting>
  <conditionalFormatting sqref="H10:H1048576">
    <cfRule type="cellIs" dxfId="2226" priority="4571" operator="lessThan">
      <formula>0</formula>
    </cfRule>
  </conditionalFormatting>
  <conditionalFormatting sqref="H10:H1048576">
    <cfRule type="cellIs" dxfId="2225" priority="4570" operator="lessThan">
      <formula>0</formula>
    </cfRule>
  </conditionalFormatting>
  <conditionalFormatting sqref="H10:H1048576">
    <cfRule type="cellIs" dxfId="2224" priority="4569" operator="lessThan">
      <formula>0</formula>
    </cfRule>
  </conditionalFormatting>
  <conditionalFormatting sqref="H10:H1048576">
    <cfRule type="cellIs" dxfId="2223" priority="4568" operator="lessThan">
      <formula>0</formula>
    </cfRule>
  </conditionalFormatting>
  <conditionalFormatting sqref="H10:H1048576">
    <cfRule type="cellIs" dxfId="2222" priority="4567" operator="lessThan">
      <formula>0</formula>
    </cfRule>
  </conditionalFormatting>
  <conditionalFormatting sqref="H10:H1048576">
    <cfRule type="cellIs" dxfId="2221" priority="4566" operator="lessThan">
      <formula>0</formula>
    </cfRule>
  </conditionalFormatting>
  <conditionalFormatting sqref="H10:H1048576">
    <cfRule type="cellIs" dxfId="2220" priority="4565" operator="lessThan">
      <formula>0</formula>
    </cfRule>
  </conditionalFormatting>
  <conditionalFormatting sqref="H10:H1048576">
    <cfRule type="cellIs" dxfId="2219" priority="4564" operator="lessThan">
      <formula>0</formula>
    </cfRule>
  </conditionalFormatting>
  <conditionalFormatting sqref="H10:H1048576">
    <cfRule type="cellIs" dxfId="2218" priority="4563" operator="lessThan">
      <formula>0</formula>
    </cfRule>
  </conditionalFormatting>
  <conditionalFormatting sqref="H10:H1048576">
    <cfRule type="cellIs" dxfId="2217" priority="4562" operator="lessThan">
      <formula>0</formula>
    </cfRule>
  </conditionalFormatting>
  <conditionalFormatting sqref="H10:H1048576">
    <cfRule type="cellIs" dxfId="2216" priority="4561" operator="lessThan">
      <formula>0</formula>
    </cfRule>
  </conditionalFormatting>
  <conditionalFormatting sqref="H10:H1048576">
    <cfRule type="cellIs" dxfId="2215" priority="4560" operator="lessThan">
      <formula>0</formula>
    </cfRule>
  </conditionalFormatting>
  <conditionalFormatting sqref="H10:H1048576">
    <cfRule type="cellIs" dxfId="2214" priority="4559" operator="lessThan">
      <formula>0</formula>
    </cfRule>
  </conditionalFormatting>
  <conditionalFormatting sqref="H10:H1048576">
    <cfRule type="cellIs" dxfId="2213" priority="4558" operator="lessThan">
      <formula>0</formula>
    </cfRule>
  </conditionalFormatting>
  <conditionalFormatting sqref="H10:H1048576">
    <cfRule type="cellIs" dxfId="2212" priority="4557" operator="lessThan">
      <formula>0</formula>
    </cfRule>
  </conditionalFormatting>
  <conditionalFormatting sqref="H10:H1048576">
    <cfRule type="cellIs" dxfId="2211" priority="4556" operator="lessThan">
      <formula>0</formula>
    </cfRule>
  </conditionalFormatting>
  <conditionalFormatting sqref="H10:H1048576">
    <cfRule type="cellIs" dxfId="2210" priority="4555" operator="lessThan">
      <formula>0</formula>
    </cfRule>
  </conditionalFormatting>
  <conditionalFormatting sqref="H10:H1048576">
    <cfRule type="cellIs" dxfId="2209" priority="4554" operator="lessThan">
      <formula>0</formula>
    </cfRule>
  </conditionalFormatting>
  <conditionalFormatting sqref="H10:H1048576">
    <cfRule type="cellIs" dxfId="2208" priority="4553" operator="lessThan">
      <formula>0</formula>
    </cfRule>
  </conditionalFormatting>
  <conditionalFormatting sqref="H10:H1048576">
    <cfRule type="cellIs" dxfId="2207" priority="4552" operator="lessThan">
      <formula>0</formula>
    </cfRule>
  </conditionalFormatting>
  <conditionalFormatting sqref="H10:H1048576">
    <cfRule type="cellIs" dxfId="2206" priority="4551" operator="lessThan">
      <formula>0</formula>
    </cfRule>
  </conditionalFormatting>
  <conditionalFormatting sqref="H10:H1048576">
    <cfRule type="cellIs" dxfId="2205" priority="4550" operator="lessThan">
      <formula>0</formula>
    </cfRule>
  </conditionalFormatting>
  <conditionalFormatting sqref="H10:H1048576">
    <cfRule type="cellIs" dxfId="2204" priority="4549" operator="lessThan">
      <formula>0</formula>
    </cfRule>
  </conditionalFormatting>
  <conditionalFormatting sqref="H10:H1048576">
    <cfRule type="cellIs" dxfId="2203" priority="4548" operator="lessThan">
      <formula>0</formula>
    </cfRule>
  </conditionalFormatting>
  <conditionalFormatting sqref="H10:H1048576">
    <cfRule type="cellIs" dxfId="2202" priority="4547" operator="lessThan">
      <formula>0</formula>
    </cfRule>
  </conditionalFormatting>
  <conditionalFormatting sqref="H10:H1048576">
    <cfRule type="cellIs" dxfId="2201" priority="4546" operator="lessThan">
      <formula>0</formula>
    </cfRule>
  </conditionalFormatting>
  <conditionalFormatting sqref="H10:H1048576">
    <cfRule type="cellIs" dxfId="2200" priority="4545" operator="lessThan">
      <formula>0</formula>
    </cfRule>
  </conditionalFormatting>
  <conditionalFormatting sqref="H10:H1048576">
    <cfRule type="cellIs" dxfId="2199" priority="4544" operator="lessThan">
      <formula>0</formula>
    </cfRule>
  </conditionalFormatting>
  <conditionalFormatting sqref="H10:H1048576">
    <cfRule type="cellIs" dxfId="2198" priority="4543" operator="lessThan">
      <formula>0</formula>
    </cfRule>
  </conditionalFormatting>
  <conditionalFormatting sqref="H10:H1048576">
    <cfRule type="cellIs" dxfId="2197" priority="4542" operator="lessThan">
      <formula>0</formula>
    </cfRule>
  </conditionalFormatting>
  <conditionalFormatting sqref="H10:H1048576">
    <cfRule type="cellIs" dxfId="2196" priority="4541" operator="lessThan">
      <formula>0</formula>
    </cfRule>
  </conditionalFormatting>
  <conditionalFormatting sqref="H10:H1048576">
    <cfRule type="cellIs" dxfId="2195" priority="4540" operator="lessThan">
      <formula>0</formula>
    </cfRule>
  </conditionalFormatting>
  <conditionalFormatting sqref="H10:H1048576">
    <cfRule type="cellIs" dxfId="2194" priority="4539" operator="lessThan">
      <formula>0</formula>
    </cfRule>
  </conditionalFormatting>
  <conditionalFormatting sqref="H10:H1048576">
    <cfRule type="cellIs" dxfId="2193" priority="4538" operator="lessThan">
      <formula>0</formula>
    </cfRule>
  </conditionalFormatting>
  <conditionalFormatting sqref="H10:H1048576">
    <cfRule type="cellIs" dxfId="2192" priority="4537" operator="lessThan">
      <formula>0</formula>
    </cfRule>
  </conditionalFormatting>
  <conditionalFormatting sqref="H10:H1048576">
    <cfRule type="cellIs" dxfId="2191" priority="4536" operator="lessThan">
      <formula>0</formula>
    </cfRule>
  </conditionalFormatting>
  <conditionalFormatting sqref="H10:H1048576">
    <cfRule type="cellIs" dxfId="2190" priority="4535" operator="lessThan">
      <formula>0</formula>
    </cfRule>
  </conditionalFormatting>
  <conditionalFormatting sqref="H10:H1048576">
    <cfRule type="cellIs" dxfId="2189" priority="4534" operator="lessThan">
      <formula>0</formula>
    </cfRule>
  </conditionalFormatting>
  <conditionalFormatting sqref="H10:H1048576">
    <cfRule type="cellIs" dxfId="2188" priority="4533" operator="lessThan">
      <formula>0</formula>
    </cfRule>
  </conditionalFormatting>
  <conditionalFormatting sqref="H10:H1048576">
    <cfRule type="cellIs" dxfId="2187" priority="4532" operator="lessThan">
      <formula>0</formula>
    </cfRule>
  </conditionalFormatting>
  <conditionalFormatting sqref="H10:H1048576">
    <cfRule type="cellIs" dxfId="2186" priority="4531" operator="lessThan">
      <formula>0</formula>
    </cfRule>
  </conditionalFormatting>
  <conditionalFormatting sqref="H10:H1048576">
    <cfRule type="cellIs" dxfId="2185" priority="4530" operator="lessThan">
      <formula>0</formula>
    </cfRule>
  </conditionalFormatting>
  <conditionalFormatting sqref="H10:H1048576">
    <cfRule type="cellIs" dxfId="2184" priority="4529" operator="lessThan">
      <formula>0</formula>
    </cfRule>
  </conditionalFormatting>
  <conditionalFormatting sqref="H10:H1048576">
    <cfRule type="cellIs" dxfId="2183" priority="4528" operator="lessThan">
      <formula>0</formula>
    </cfRule>
  </conditionalFormatting>
  <conditionalFormatting sqref="H10:H1048576">
    <cfRule type="cellIs" dxfId="2182" priority="4527" operator="lessThan">
      <formula>0</formula>
    </cfRule>
  </conditionalFormatting>
  <conditionalFormatting sqref="H10:H1048576">
    <cfRule type="cellIs" dxfId="2181" priority="4526" operator="lessThan">
      <formula>0</formula>
    </cfRule>
  </conditionalFormatting>
  <conditionalFormatting sqref="H10:H1048576">
    <cfRule type="cellIs" dxfId="2180" priority="4525" operator="lessThan">
      <formula>0</formula>
    </cfRule>
  </conditionalFormatting>
  <conditionalFormatting sqref="H10:H1048576">
    <cfRule type="cellIs" dxfId="2179" priority="4524" operator="lessThan">
      <formula>0</formula>
    </cfRule>
  </conditionalFormatting>
  <conditionalFormatting sqref="H10:H1048576">
    <cfRule type="cellIs" dxfId="2178" priority="4523" operator="lessThan">
      <formula>0</formula>
    </cfRule>
  </conditionalFormatting>
  <conditionalFormatting sqref="H10:H1048576">
    <cfRule type="cellIs" dxfId="2177" priority="4522" operator="lessThan">
      <formula>0</formula>
    </cfRule>
  </conditionalFormatting>
  <conditionalFormatting sqref="H10:H1048576">
    <cfRule type="cellIs" dxfId="2176" priority="4521" operator="lessThan">
      <formula>0</formula>
    </cfRule>
  </conditionalFormatting>
  <conditionalFormatting sqref="H10:H1048576">
    <cfRule type="cellIs" dxfId="2175" priority="4520" operator="lessThan">
      <formula>0</formula>
    </cfRule>
  </conditionalFormatting>
  <conditionalFormatting sqref="H10:H1048576">
    <cfRule type="cellIs" dxfId="2174" priority="4519" operator="lessThan">
      <formula>0</formula>
    </cfRule>
  </conditionalFormatting>
  <conditionalFormatting sqref="H10:H1048576">
    <cfRule type="cellIs" dxfId="2173" priority="4518" operator="lessThan">
      <formula>0</formula>
    </cfRule>
  </conditionalFormatting>
  <conditionalFormatting sqref="H10:H1048576">
    <cfRule type="cellIs" dxfId="2172" priority="4517" operator="lessThan">
      <formula>0</formula>
    </cfRule>
  </conditionalFormatting>
  <conditionalFormatting sqref="H10:H1048576">
    <cfRule type="cellIs" dxfId="2171" priority="4516" operator="lessThan">
      <formula>0</formula>
    </cfRule>
  </conditionalFormatting>
  <conditionalFormatting sqref="H10:H1048576">
    <cfRule type="cellIs" dxfId="2170" priority="4515" operator="lessThan">
      <formula>0</formula>
    </cfRule>
  </conditionalFormatting>
  <conditionalFormatting sqref="H10:H1048576">
    <cfRule type="cellIs" dxfId="2169" priority="4514" operator="lessThan">
      <formula>0</formula>
    </cfRule>
  </conditionalFormatting>
  <conditionalFormatting sqref="H10:H1048576">
    <cfRule type="cellIs" dxfId="2168" priority="4513" operator="lessThan">
      <formula>0</formula>
    </cfRule>
  </conditionalFormatting>
  <conditionalFormatting sqref="H10:H1048576">
    <cfRule type="cellIs" dxfId="2167" priority="4512" operator="lessThan">
      <formula>0</formula>
    </cfRule>
  </conditionalFormatting>
  <conditionalFormatting sqref="H10:H1048576">
    <cfRule type="cellIs" dxfId="2166" priority="4511" operator="lessThan">
      <formula>0</formula>
    </cfRule>
  </conditionalFormatting>
  <conditionalFormatting sqref="H10:H1048576">
    <cfRule type="cellIs" dxfId="2165" priority="4510" operator="lessThan">
      <formula>0</formula>
    </cfRule>
  </conditionalFormatting>
  <conditionalFormatting sqref="H10:H1048576">
    <cfRule type="cellIs" dxfId="2164" priority="4509" operator="lessThan">
      <formula>0</formula>
    </cfRule>
  </conditionalFormatting>
  <conditionalFormatting sqref="H10:H1048576">
    <cfRule type="cellIs" dxfId="2163" priority="4508" operator="lessThan">
      <formula>0</formula>
    </cfRule>
  </conditionalFormatting>
  <conditionalFormatting sqref="H10:H1048576">
    <cfRule type="cellIs" dxfId="2162" priority="4507" operator="lessThan">
      <formula>0</formula>
    </cfRule>
  </conditionalFormatting>
  <conditionalFormatting sqref="H10:H1048576">
    <cfRule type="cellIs" dxfId="2161" priority="4506" operator="lessThan">
      <formula>0</formula>
    </cfRule>
  </conditionalFormatting>
  <conditionalFormatting sqref="H10:H1048576">
    <cfRule type="cellIs" dxfId="2160" priority="4505" operator="lessThan">
      <formula>0</formula>
    </cfRule>
  </conditionalFormatting>
  <conditionalFormatting sqref="H10:H1048576">
    <cfRule type="cellIs" dxfId="2159" priority="4504" operator="lessThan">
      <formula>0</formula>
    </cfRule>
  </conditionalFormatting>
  <conditionalFormatting sqref="H10:H1048576">
    <cfRule type="cellIs" dxfId="2158" priority="4503" operator="lessThan">
      <formula>0</formula>
    </cfRule>
  </conditionalFormatting>
  <conditionalFormatting sqref="H10:H1048576">
    <cfRule type="cellIs" dxfId="2157" priority="4502" operator="lessThan">
      <formula>0</formula>
    </cfRule>
  </conditionalFormatting>
  <conditionalFormatting sqref="H10:H1048576">
    <cfRule type="cellIs" dxfId="2156" priority="4501" operator="lessThan">
      <formula>0</formula>
    </cfRule>
  </conditionalFormatting>
  <conditionalFormatting sqref="H10:H1048576">
    <cfRule type="cellIs" dxfId="2155" priority="4500" operator="lessThan">
      <formula>0</formula>
    </cfRule>
  </conditionalFormatting>
  <conditionalFormatting sqref="H10:H1048576">
    <cfRule type="cellIs" dxfId="2154" priority="4499" operator="lessThan">
      <formula>0</formula>
    </cfRule>
  </conditionalFormatting>
  <conditionalFormatting sqref="H10:H1048576">
    <cfRule type="cellIs" dxfId="2153" priority="4498" operator="lessThan">
      <formula>0</formula>
    </cfRule>
  </conditionalFormatting>
  <conditionalFormatting sqref="H10:H1048576">
    <cfRule type="cellIs" dxfId="2152" priority="4497" operator="lessThan">
      <formula>0</formula>
    </cfRule>
  </conditionalFormatting>
  <conditionalFormatting sqref="H10:H1048576">
    <cfRule type="cellIs" dxfId="2151" priority="4496" operator="lessThan">
      <formula>0</formula>
    </cfRule>
  </conditionalFormatting>
  <conditionalFormatting sqref="H10:H1048576">
    <cfRule type="cellIs" dxfId="2150" priority="4495" operator="lessThan">
      <formula>0</formula>
    </cfRule>
  </conditionalFormatting>
  <conditionalFormatting sqref="H10:H1048576">
    <cfRule type="cellIs" dxfId="2149" priority="4494" operator="lessThan">
      <formula>0</formula>
    </cfRule>
  </conditionalFormatting>
  <conditionalFormatting sqref="H10:H1048576">
    <cfRule type="cellIs" dxfId="2148" priority="4493" operator="lessThan">
      <formula>0</formula>
    </cfRule>
  </conditionalFormatting>
  <conditionalFormatting sqref="H10:H1048576">
    <cfRule type="cellIs" dxfId="2147" priority="4492" operator="lessThan">
      <formula>0</formula>
    </cfRule>
  </conditionalFormatting>
  <conditionalFormatting sqref="H10:H1048576">
    <cfRule type="cellIs" dxfId="2146" priority="4491" operator="lessThan">
      <formula>0</formula>
    </cfRule>
  </conditionalFormatting>
  <conditionalFormatting sqref="H10:H1048576">
    <cfRule type="cellIs" dxfId="2145" priority="4490" operator="lessThan">
      <formula>0</formula>
    </cfRule>
  </conditionalFormatting>
  <conditionalFormatting sqref="H10:H1048576">
    <cfRule type="cellIs" dxfId="2144" priority="4489" operator="lessThan">
      <formula>0</formula>
    </cfRule>
  </conditionalFormatting>
  <conditionalFormatting sqref="H10:H1048576">
    <cfRule type="cellIs" dxfId="2143" priority="4488" operator="lessThan">
      <formula>0</formula>
    </cfRule>
  </conditionalFormatting>
  <conditionalFormatting sqref="H10:H1048576">
    <cfRule type="cellIs" dxfId="2142" priority="4487" operator="lessThan">
      <formula>0</formula>
    </cfRule>
  </conditionalFormatting>
  <conditionalFormatting sqref="H10:H1048576">
    <cfRule type="cellIs" dxfId="2141" priority="4486" operator="lessThan">
      <formula>0</formula>
    </cfRule>
  </conditionalFormatting>
  <conditionalFormatting sqref="H10:H1048576">
    <cfRule type="cellIs" dxfId="2140" priority="4485" operator="lessThan">
      <formula>0</formula>
    </cfRule>
  </conditionalFormatting>
  <conditionalFormatting sqref="H10:H1048576">
    <cfRule type="cellIs" dxfId="2139" priority="4484" operator="lessThan">
      <formula>0</formula>
    </cfRule>
  </conditionalFormatting>
  <conditionalFormatting sqref="H10:H1048576">
    <cfRule type="cellIs" dxfId="2138" priority="4483" operator="lessThan">
      <formula>0</formula>
    </cfRule>
  </conditionalFormatting>
  <conditionalFormatting sqref="H10:H1048576">
    <cfRule type="cellIs" dxfId="2137" priority="4482" operator="lessThan">
      <formula>0</formula>
    </cfRule>
  </conditionalFormatting>
  <conditionalFormatting sqref="H10:H1048576">
    <cfRule type="cellIs" dxfId="2136" priority="4481" operator="lessThan">
      <formula>0</formula>
    </cfRule>
  </conditionalFormatting>
  <conditionalFormatting sqref="H10:H1048576">
    <cfRule type="cellIs" dxfId="2135" priority="4480" operator="lessThan">
      <formula>0</formula>
    </cfRule>
  </conditionalFormatting>
  <conditionalFormatting sqref="H10:H1048576">
    <cfRule type="cellIs" dxfId="2134" priority="4479" operator="lessThan">
      <formula>0</formula>
    </cfRule>
  </conditionalFormatting>
  <conditionalFormatting sqref="H10:H1048576">
    <cfRule type="cellIs" dxfId="2133" priority="4478" operator="lessThan">
      <formula>0</formula>
    </cfRule>
  </conditionalFormatting>
  <conditionalFormatting sqref="H10:H1048576">
    <cfRule type="cellIs" dxfId="2132" priority="4477" operator="lessThan">
      <formula>0</formula>
    </cfRule>
  </conditionalFormatting>
  <conditionalFormatting sqref="H10:H1048576">
    <cfRule type="cellIs" dxfId="2131" priority="4476" operator="lessThan">
      <formula>0</formula>
    </cfRule>
  </conditionalFormatting>
  <conditionalFormatting sqref="H10:H1048576">
    <cfRule type="cellIs" dxfId="2130" priority="4475" operator="lessThan">
      <formula>0</formula>
    </cfRule>
  </conditionalFormatting>
  <conditionalFormatting sqref="H10:H1048576">
    <cfRule type="cellIs" dxfId="2129" priority="4474" operator="lessThan">
      <formula>0</formula>
    </cfRule>
  </conditionalFormatting>
  <conditionalFormatting sqref="H10:H1048576">
    <cfRule type="cellIs" dxfId="2128" priority="4473" operator="lessThan">
      <formula>0</formula>
    </cfRule>
  </conditionalFormatting>
  <conditionalFormatting sqref="H10:H1048576">
    <cfRule type="cellIs" dxfId="2127" priority="4472" operator="lessThan">
      <formula>0</formula>
    </cfRule>
  </conditionalFormatting>
  <conditionalFormatting sqref="H10:H1048576">
    <cfRule type="cellIs" dxfId="2126" priority="4471" operator="lessThan">
      <formula>0</formula>
    </cfRule>
  </conditionalFormatting>
  <conditionalFormatting sqref="H10:H1048576">
    <cfRule type="cellIs" dxfId="2125" priority="4470" operator="lessThan">
      <formula>0</formula>
    </cfRule>
  </conditionalFormatting>
  <conditionalFormatting sqref="H10:H1048576">
    <cfRule type="cellIs" dxfId="2124" priority="4469" operator="lessThan">
      <formula>0</formula>
    </cfRule>
  </conditionalFormatting>
  <conditionalFormatting sqref="H10:H1048576">
    <cfRule type="cellIs" dxfId="2123" priority="4468" operator="lessThan">
      <formula>0</formula>
    </cfRule>
  </conditionalFormatting>
  <conditionalFormatting sqref="H10:H1048576">
    <cfRule type="cellIs" dxfId="2122" priority="4467" operator="lessThan">
      <formula>0</formula>
    </cfRule>
  </conditionalFormatting>
  <conditionalFormatting sqref="H10:H1048576">
    <cfRule type="cellIs" dxfId="2121" priority="4466" operator="lessThan">
      <formula>0</formula>
    </cfRule>
  </conditionalFormatting>
  <conditionalFormatting sqref="H1:H1048576">
    <cfRule type="cellIs" dxfId="2120" priority="4465" operator="lessThan">
      <formula>0</formula>
    </cfRule>
  </conditionalFormatting>
  <conditionalFormatting sqref="H1:H1048576">
    <cfRule type="cellIs" dxfId="2119" priority="4464" operator="lessThan">
      <formula>0</formula>
    </cfRule>
  </conditionalFormatting>
  <conditionalFormatting sqref="H1:H1048576">
    <cfRule type="cellIs" dxfId="2118" priority="4463" operator="lessThan">
      <formula>0</formula>
    </cfRule>
  </conditionalFormatting>
  <conditionalFormatting sqref="H1:H1048576">
    <cfRule type="cellIs" dxfId="2117" priority="4462" operator="lessThan">
      <formula>0</formula>
    </cfRule>
  </conditionalFormatting>
  <conditionalFormatting sqref="H1:H1048576">
    <cfRule type="cellIs" dxfId="2116" priority="4461" operator="lessThan">
      <formula>0</formula>
    </cfRule>
  </conditionalFormatting>
  <conditionalFormatting sqref="H1:H1048576">
    <cfRule type="cellIs" dxfId="2115" priority="4460" operator="lessThan">
      <formula>0</formula>
    </cfRule>
  </conditionalFormatting>
  <conditionalFormatting sqref="H1:H1048576">
    <cfRule type="cellIs" dxfId="2114" priority="4459" operator="lessThan">
      <formula>0</formula>
    </cfRule>
  </conditionalFormatting>
  <conditionalFormatting sqref="H1:H1048576">
    <cfRule type="cellIs" dxfId="2113" priority="4458" operator="lessThan">
      <formula>0</formula>
    </cfRule>
  </conditionalFormatting>
  <conditionalFormatting sqref="H1:H1048576">
    <cfRule type="cellIs" dxfId="2112" priority="4457" operator="lessThan">
      <formula>0</formula>
    </cfRule>
  </conditionalFormatting>
  <conditionalFormatting sqref="H1:H1048576">
    <cfRule type="cellIs" dxfId="2111" priority="4456" operator="lessThan">
      <formula>0</formula>
    </cfRule>
  </conditionalFormatting>
  <conditionalFormatting sqref="H1:H1048576">
    <cfRule type="cellIs" dxfId="2110" priority="4455" operator="lessThan">
      <formula>0</formula>
    </cfRule>
  </conditionalFormatting>
  <conditionalFormatting sqref="H1:H1048576">
    <cfRule type="cellIs" dxfId="2109" priority="4454" operator="lessThan">
      <formula>0</formula>
    </cfRule>
  </conditionalFormatting>
  <conditionalFormatting sqref="H1:H1048576">
    <cfRule type="cellIs" dxfId="2108" priority="4453" operator="lessThan">
      <formula>0</formula>
    </cfRule>
  </conditionalFormatting>
  <conditionalFormatting sqref="H1:H1048576">
    <cfRule type="cellIs" dxfId="2107" priority="4452" operator="lessThan">
      <formula>0</formula>
    </cfRule>
  </conditionalFormatting>
  <conditionalFormatting sqref="H1:H1048576">
    <cfRule type="cellIs" dxfId="2106" priority="4451" operator="lessThan">
      <formula>0</formula>
    </cfRule>
  </conditionalFormatting>
  <conditionalFormatting sqref="H1:H1048576">
    <cfRule type="cellIs" dxfId="2105" priority="4450" operator="lessThan">
      <formula>0</formula>
    </cfRule>
  </conditionalFormatting>
  <conditionalFormatting sqref="H1:H1048576">
    <cfRule type="cellIs" dxfId="2104" priority="4449" operator="lessThan">
      <formula>0</formula>
    </cfRule>
  </conditionalFormatting>
  <conditionalFormatting sqref="H1:H1048576">
    <cfRule type="cellIs" dxfId="2103" priority="4448" operator="lessThan">
      <formula>0</formula>
    </cfRule>
  </conditionalFormatting>
  <conditionalFormatting sqref="H1:H1048576">
    <cfRule type="cellIs" dxfId="2102" priority="4447" operator="lessThan">
      <formula>0</formula>
    </cfRule>
  </conditionalFormatting>
  <conditionalFormatting sqref="H1:H1048576">
    <cfRule type="cellIs" dxfId="2101" priority="4446" operator="lessThan">
      <formula>0</formula>
    </cfRule>
  </conditionalFormatting>
  <conditionalFormatting sqref="H1:H1048576">
    <cfRule type="cellIs" dxfId="2100" priority="4445" operator="lessThan">
      <formula>0</formula>
    </cfRule>
  </conditionalFormatting>
  <conditionalFormatting sqref="H1:H1048576">
    <cfRule type="cellIs" dxfId="2099" priority="4444" operator="lessThan">
      <formula>0</formula>
    </cfRule>
  </conditionalFormatting>
  <conditionalFormatting sqref="H1:H1048576">
    <cfRule type="cellIs" dxfId="2098" priority="4443" operator="lessThan">
      <formula>0</formula>
    </cfRule>
  </conditionalFormatting>
  <conditionalFormatting sqref="H1:H1048576">
    <cfRule type="cellIs" dxfId="2097" priority="4442" operator="lessThan">
      <formula>0</formula>
    </cfRule>
  </conditionalFormatting>
  <conditionalFormatting sqref="H1:H1048576">
    <cfRule type="cellIs" dxfId="2096" priority="4441" operator="lessThan">
      <formula>0</formula>
    </cfRule>
  </conditionalFormatting>
  <conditionalFormatting sqref="H1:H1048576">
    <cfRule type="cellIs" dxfId="2095" priority="4440" operator="lessThan">
      <formula>0</formula>
    </cfRule>
  </conditionalFormatting>
  <conditionalFormatting sqref="H1:H1048576">
    <cfRule type="cellIs" dxfId="2094" priority="4439" operator="lessThan">
      <formula>0</formula>
    </cfRule>
  </conditionalFormatting>
  <conditionalFormatting sqref="H1:H1048576">
    <cfRule type="cellIs" dxfId="2093" priority="4438" operator="lessThan">
      <formula>0</formula>
    </cfRule>
  </conditionalFormatting>
  <conditionalFormatting sqref="H1:H1048576">
    <cfRule type="cellIs" dxfId="2092" priority="4437" operator="lessThan">
      <formula>0</formula>
    </cfRule>
  </conditionalFormatting>
  <conditionalFormatting sqref="H1:H1048576">
    <cfRule type="cellIs" dxfId="2091" priority="4436" operator="lessThan">
      <formula>0</formula>
    </cfRule>
  </conditionalFormatting>
  <conditionalFormatting sqref="H1:H1048576">
    <cfRule type="cellIs" dxfId="2090" priority="4435" operator="lessThan">
      <formula>0</formula>
    </cfRule>
  </conditionalFormatting>
  <conditionalFormatting sqref="H1:H1048576">
    <cfRule type="cellIs" dxfId="2089" priority="4434" operator="lessThan">
      <formula>0</formula>
    </cfRule>
  </conditionalFormatting>
  <conditionalFormatting sqref="H1:H1048576">
    <cfRule type="cellIs" dxfId="2088" priority="4433" operator="lessThan">
      <formula>0</formula>
    </cfRule>
  </conditionalFormatting>
  <conditionalFormatting sqref="H1:H1048576">
    <cfRule type="cellIs" dxfId="2087" priority="4432" operator="lessThan">
      <formula>0</formula>
    </cfRule>
  </conditionalFormatting>
  <conditionalFormatting sqref="H1:H1048576">
    <cfRule type="cellIs" dxfId="2086" priority="4431" operator="lessThan">
      <formula>0</formula>
    </cfRule>
  </conditionalFormatting>
  <conditionalFormatting sqref="H1:H1048576">
    <cfRule type="cellIs" dxfId="2085" priority="4430" operator="lessThan">
      <formula>0</formula>
    </cfRule>
  </conditionalFormatting>
  <conditionalFormatting sqref="H1:H1048576">
    <cfRule type="cellIs" dxfId="2084" priority="4429" operator="lessThan">
      <formula>0</formula>
    </cfRule>
  </conditionalFormatting>
  <conditionalFormatting sqref="H1:H1048576">
    <cfRule type="cellIs" dxfId="2083" priority="4428" operator="lessThan">
      <formula>0</formula>
    </cfRule>
  </conditionalFormatting>
  <conditionalFormatting sqref="H1:H1048576">
    <cfRule type="cellIs" dxfId="2082" priority="4427" operator="lessThan">
      <formula>0</formula>
    </cfRule>
  </conditionalFormatting>
  <conditionalFormatting sqref="H1:H1048576">
    <cfRule type="cellIs" dxfId="2081" priority="4426" operator="lessThan">
      <formula>0</formula>
    </cfRule>
  </conditionalFormatting>
  <conditionalFormatting sqref="H1:H1048576">
    <cfRule type="cellIs" dxfId="2080" priority="4425" operator="lessThan">
      <formula>0</formula>
    </cfRule>
  </conditionalFormatting>
  <conditionalFormatting sqref="H1:H1048576">
    <cfRule type="cellIs" dxfId="2079" priority="4424" operator="lessThan">
      <formula>0</formula>
    </cfRule>
  </conditionalFormatting>
  <conditionalFormatting sqref="H1:H1048576">
    <cfRule type="cellIs" dxfId="2078" priority="4423" operator="lessThan">
      <formula>0</formula>
    </cfRule>
  </conditionalFormatting>
  <conditionalFormatting sqref="H1:H1048576">
    <cfRule type="cellIs" dxfId="2077" priority="4422" operator="lessThan">
      <formula>0</formula>
    </cfRule>
  </conditionalFormatting>
  <conditionalFormatting sqref="H1:H1048576">
    <cfRule type="cellIs" dxfId="2076" priority="4421" operator="lessThan">
      <formula>0</formula>
    </cfRule>
  </conditionalFormatting>
  <conditionalFormatting sqref="H1:H1048576">
    <cfRule type="cellIs" dxfId="2075" priority="4420" operator="lessThan">
      <formula>0</formula>
    </cfRule>
  </conditionalFormatting>
  <conditionalFormatting sqref="H1:H1048576">
    <cfRule type="cellIs" dxfId="2074" priority="4419" operator="lessThan">
      <formula>0</formula>
    </cfRule>
  </conditionalFormatting>
  <conditionalFormatting sqref="H1:H1048576">
    <cfRule type="cellIs" dxfId="2073" priority="4418" operator="lessThan">
      <formula>0</formula>
    </cfRule>
  </conditionalFormatting>
  <conditionalFormatting sqref="H1:H1048576">
    <cfRule type="cellIs" dxfId="2072" priority="4417" operator="lessThan">
      <formula>0</formula>
    </cfRule>
  </conditionalFormatting>
  <conditionalFormatting sqref="H1:H1048576">
    <cfRule type="cellIs" dxfId="2071" priority="4416" operator="lessThan">
      <formula>0</formula>
    </cfRule>
  </conditionalFormatting>
  <conditionalFormatting sqref="H1:H1048576">
    <cfRule type="cellIs" dxfId="2070" priority="4415" operator="lessThan">
      <formula>0</formula>
    </cfRule>
  </conditionalFormatting>
  <conditionalFormatting sqref="H1:H1048576">
    <cfRule type="cellIs" dxfId="2069" priority="4414" operator="lessThan">
      <formula>0</formula>
    </cfRule>
  </conditionalFormatting>
  <conditionalFormatting sqref="H1:H1048576">
    <cfRule type="cellIs" dxfId="2068" priority="4413" operator="lessThan">
      <formula>0</formula>
    </cfRule>
  </conditionalFormatting>
  <conditionalFormatting sqref="H1:H1048576">
    <cfRule type="cellIs" dxfId="2067" priority="4412" operator="lessThan">
      <formula>0</formula>
    </cfRule>
  </conditionalFormatting>
  <conditionalFormatting sqref="H1:H1048576">
    <cfRule type="cellIs" dxfId="2066" priority="4411" operator="lessThan">
      <formula>0</formula>
    </cfRule>
  </conditionalFormatting>
  <conditionalFormatting sqref="H1:H1048576">
    <cfRule type="cellIs" dxfId="2065" priority="4410" operator="lessThan">
      <formula>0</formula>
    </cfRule>
  </conditionalFormatting>
  <conditionalFormatting sqref="H1:H1048576">
    <cfRule type="cellIs" dxfId="2064" priority="4409" operator="lessThan">
      <formula>0</formula>
    </cfRule>
  </conditionalFormatting>
  <conditionalFormatting sqref="H1:H1048576">
    <cfRule type="cellIs" dxfId="2063" priority="4408" operator="lessThan">
      <formula>0</formula>
    </cfRule>
  </conditionalFormatting>
  <conditionalFormatting sqref="H1:H1048576">
    <cfRule type="cellIs" dxfId="2062" priority="4407" operator="lessThan">
      <formula>0</formula>
    </cfRule>
  </conditionalFormatting>
  <conditionalFormatting sqref="H1:H1048576">
    <cfRule type="cellIs" dxfId="2061" priority="4406" operator="lessThan">
      <formula>0</formula>
    </cfRule>
  </conditionalFormatting>
  <conditionalFormatting sqref="H1:H1048576">
    <cfRule type="cellIs" dxfId="2060" priority="4405" operator="lessThan">
      <formula>0</formula>
    </cfRule>
  </conditionalFormatting>
  <conditionalFormatting sqref="H1:H1048576">
    <cfRule type="cellIs" dxfId="2059" priority="4404" operator="lessThan">
      <formula>0</formula>
    </cfRule>
  </conditionalFormatting>
  <conditionalFormatting sqref="H1:H1048576">
    <cfRule type="cellIs" dxfId="2058" priority="4403" operator="lessThan">
      <formula>0</formula>
    </cfRule>
  </conditionalFormatting>
  <conditionalFormatting sqref="H1:H1048576">
    <cfRule type="cellIs" dxfId="2057" priority="4402" operator="lessThan">
      <formula>0</formula>
    </cfRule>
  </conditionalFormatting>
  <conditionalFormatting sqref="H1:H1048576">
    <cfRule type="cellIs" dxfId="2056" priority="4401" operator="lessThan">
      <formula>0</formula>
    </cfRule>
  </conditionalFormatting>
  <conditionalFormatting sqref="H1:H1048576">
    <cfRule type="cellIs" dxfId="2055" priority="4400" operator="lessThan">
      <formula>0</formula>
    </cfRule>
  </conditionalFormatting>
  <conditionalFormatting sqref="H1:H1048576">
    <cfRule type="cellIs" dxfId="2054" priority="4399" operator="lessThan">
      <formula>0</formula>
    </cfRule>
  </conditionalFormatting>
  <conditionalFormatting sqref="H1:H1048576">
    <cfRule type="cellIs" dxfId="2053" priority="4398" operator="lessThan">
      <formula>0</formula>
    </cfRule>
  </conditionalFormatting>
  <conditionalFormatting sqref="H1:H1048576">
    <cfRule type="cellIs" dxfId="2052" priority="4397" operator="lessThan">
      <formula>0</formula>
    </cfRule>
  </conditionalFormatting>
  <conditionalFormatting sqref="H1:H1048576">
    <cfRule type="cellIs" dxfId="2051" priority="4396" operator="lessThan">
      <formula>0</formula>
    </cfRule>
  </conditionalFormatting>
  <conditionalFormatting sqref="H1:H1048576">
    <cfRule type="cellIs" dxfId="2050" priority="4395" operator="lessThan">
      <formula>0</formula>
    </cfRule>
  </conditionalFormatting>
  <conditionalFormatting sqref="H1:H1048576">
    <cfRule type="cellIs" dxfId="2049" priority="4394" operator="lessThan">
      <formula>0</formula>
    </cfRule>
  </conditionalFormatting>
  <conditionalFormatting sqref="H1:H1048576">
    <cfRule type="cellIs" dxfId="2048" priority="4393" operator="lessThan">
      <formula>0</formula>
    </cfRule>
  </conditionalFormatting>
  <conditionalFormatting sqref="H1:H1048576">
    <cfRule type="cellIs" dxfId="2047" priority="4392" operator="lessThan">
      <formula>0</formula>
    </cfRule>
  </conditionalFormatting>
  <conditionalFormatting sqref="H1:H1048576">
    <cfRule type="cellIs" dxfId="2046" priority="4391" operator="lessThan">
      <formula>0</formula>
    </cfRule>
  </conditionalFormatting>
  <conditionalFormatting sqref="H1:H1048576">
    <cfRule type="cellIs" dxfId="2045" priority="4390" operator="lessThan">
      <formula>0</formula>
    </cfRule>
  </conditionalFormatting>
  <conditionalFormatting sqref="H1:H1048576">
    <cfRule type="cellIs" dxfId="2044" priority="4389" operator="lessThan">
      <formula>0</formula>
    </cfRule>
  </conditionalFormatting>
  <conditionalFormatting sqref="H1:H1048576">
    <cfRule type="cellIs" dxfId="2043" priority="4388" operator="lessThan">
      <formula>0</formula>
    </cfRule>
  </conditionalFormatting>
  <conditionalFormatting sqref="H1:H1048576">
    <cfRule type="cellIs" dxfId="2042" priority="4387" operator="lessThan">
      <formula>0</formula>
    </cfRule>
  </conditionalFormatting>
  <conditionalFormatting sqref="H1:H1048576">
    <cfRule type="cellIs" dxfId="2041" priority="4386" operator="lessThan">
      <formula>0</formula>
    </cfRule>
  </conditionalFormatting>
  <conditionalFormatting sqref="H1:H1048576">
    <cfRule type="cellIs" dxfId="2040" priority="4385" operator="lessThan">
      <formula>0</formula>
    </cfRule>
  </conditionalFormatting>
  <conditionalFormatting sqref="H1:H1048576">
    <cfRule type="cellIs" dxfId="2039" priority="4384" operator="lessThan">
      <formula>0</formula>
    </cfRule>
  </conditionalFormatting>
  <conditionalFormatting sqref="H1:H1048576">
    <cfRule type="cellIs" dxfId="2038" priority="4383" operator="lessThan">
      <formula>0</formula>
    </cfRule>
  </conditionalFormatting>
  <conditionalFormatting sqref="H1:H1048576">
    <cfRule type="cellIs" dxfId="2037" priority="4382" operator="lessThan">
      <formula>0</formula>
    </cfRule>
  </conditionalFormatting>
  <conditionalFormatting sqref="H1:H1048576">
    <cfRule type="cellIs" dxfId="2036" priority="4381" operator="lessThan">
      <formula>0</formula>
    </cfRule>
  </conditionalFormatting>
  <conditionalFormatting sqref="H1:H1048576">
    <cfRule type="cellIs" dxfId="2035" priority="4380" operator="lessThan">
      <formula>0</formula>
    </cfRule>
  </conditionalFormatting>
  <conditionalFormatting sqref="H1:H1048576">
    <cfRule type="cellIs" dxfId="2034" priority="4379" operator="lessThan">
      <formula>0</formula>
    </cfRule>
  </conditionalFormatting>
  <conditionalFormatting sqref="H1:H1048576">
    <cfRule type="cellIs" dxfId="2033" priority="4378" operator="lessThan">
      <formula>0</formula>
    </cfRule>
  </conditionalFormatting>
  <conditionalFormatting sqref="H1:H1048576">
    <cfRule type="cellIs" dxfId="2032" priority="4377" operator="lessThan">
      <formula>0</formula>
    </cfRule>
  </conditionalFormatting>
  <conditionalFormatting sqref="H1:H1048576">
    <cfRule type="cellIs" dxfId="2031" priority="4376" operator="lessThan">
      <formula>0</formula>
    </cfRule>
  </conditionalFormatting>
  <conditionalFormatting sqref="H1:H1048576">
    <cfRule type="cellIs" dxfId="2030" priority="4375" operator="lessThan">
      <formula>0</formula>
    </cfRule>
  </conditionalFormatting>
  <conditionalFormatting sqref="H1:H1048576">
    <cfRule type="cellIs" dxfId="2029" priority="4374" operator="lessThan">
      <formula>0</formula>
    </cfRule>
  </conditionalFormatting>
  <conditionalFormatting sqref="H1:H1048576">
    <cfRule type="cellIs" dxfId="2028" priority="4373" operator="lessThan">
      <formula>0</formula>
    </cfRule>
  </conditionalFormatting>
  <conditionalFormatting sqref="H1:H1048576">
    <cfRule type="cellIs" dxfId="2027" priority="4372" operator="lessThan">
      <formula>0</formula>
    </cfRule>
  </conditionalFormatting>
  <conditionalFormatting sqref="H1:H1048576">
    <cfRule type="cellIs" dxfId="2026" priority="4371" operator="lessThan">
      <formula>0</formula>
    </cfRule>
  </conditionalFormatting>
  <conditionalFormatting sqref="H1:H1048576">
    <cfRule type="cellIs" dxfId="2025" priority="4370" operator="lessThan">
      <formula>0</formula>
    </cfRule>
  </conditionalFormatting>
  <conditionalFormatting sqref="H1:H1048576">
    <cfRule type="cellIs" dxfId="2024" priority="4369" operator="lessThan">
      <formula>0</formula>
    </cfRule>
  </conditionalFormatting>
  <conditionalFormatting sqref="H1:H1048576">
    <cfRule type="cellIs" dxfId="2023" priority="4368" operator="lessThan">
      <formula>0</formula>
    </cfRule>
  </conditionalFormatting>
  <conditionalFormatting sqref="H1:H1048576">
    <cfRule type="cellIs" dxfId="2022" priority="4367" operator="lessThan">
      <formula>0</formula>
    </cfRule>
  </conditionalFormatting>
  <conditionalFormatting sqref="H1:H1048576">
    <cfRule type="cellIs" dxfId="2021" priority="4366" operator="lessThan">
      <formula>0</formula>
    </cfRule>
  </conditionalFormatting>
  <conditionalFormatting sqref="H1:H1048576">
    <cfRule type="cellIs" dxfId="2020" priority="4365" operator="lessThan">
      <formula>0</formula>
    </cfRule>
  </conditionalFormatting>
  <conditionalFormatting sqref="H1:H1048576">
    <cfRule type="cellIs" dxfId="2019" priority="4364" operator="lessThan">
      <formula>0</formula>
    </cfRule>
  </conditionalFormatting>
  <conditionalFormatting sqref="H1:H1048576">
    <cfRule type="cellIs" dxfId="2018" priority="4363" operator="lessThan">
      <formula>0</formula>
    </cfRule>
  </conditionalFormatting>
  <conditionalFormatting sqref="H1:H1048576">
    <cfRule type="cellIs" dxfId="2017" priority="4362" operator="lessThan">
      <formula>0</formula>
    </cfRule>
  </conditionalFormatting>
  <conditionalFormatting sqref="H1:H1048576">
    <cfRule type="cellIs" dxfId="2016" priority="4361" operator="lessThan">
      <formula>0</formula>
    </cfRule>
  </conditionalFormatting>
  <conditionalFormatting sqref="H1:H1048576">
    <cfRule type="cellIs" dxfId="2015" priority="4360" operator="lessThan">
      <formula>0</formula>
    </cfRule>
  </conditionalFormatting>
  <conditionalFormatting sqref="H1:H1048576">
    <cfRule type="cellIs" dxfId="2014" priority="4359" operator="lessThan">
      <formula>0</formula>
    </cfRule>
  </conditionalFormatting>
  <conditionalFormatting sqref="H1:H1048576">
    <cfRule type="cellIs" dxfId="2013" priority="4358" operator="lessThan">
      <formula>0</formula>
    </cfRule>
  </conditionalFormatting>
  <conditionalFormatting sqref="H1:H1048576">
    <cfRule type="cellIs" dxfId="2012" priority="4357" operator="lessThan">
      <formula>0</formula>
    </cfRule>
  </conditionalFormatting>
  <conditionalFormatting sqref="H1:H1048576">
    <cfRule type="cellIs" dxfId="2011" priority="4356" operator="lessThan">
      <formula>0</formula>
    </cfRule>
  </conditionalFormatting>
  <conditionalFormatting sqref="H1:H1048576">
    <cfRule type="cellIs" dxfId="2010" priority="4355" operator="lessThan">
      <formula>0</formula>
    </cfRule>
  </conditionalFormatting>
  <conditionalFormatting sqref="H1:H1048576">
    <cfRule type="cellIs" dxfId="2009" priority="4354" operator="lessThan">
      <formula>0</formula>
    </cfRule>
  </conditionalFormatting>
  <conditionalFormatting sqref="H1:H1048576">
    <cfRule type="cellIs" dxfId="2008" priority="4353" operator="lessThan">
      <formula>0</formula>
    </cfRule>
  </conditionalFormatting>
  <conditionalFormatting sqref="H1:H1048576">
    <cfRule type="cellIs" dxfId="2007" priority="4352" operator="lessThan">
      <formula>0</formula>
    </cfRule>
  </conditionalFormatting>
  <conditionalFormatting sqref="H1:H1048576">
    <cfRule type="cellIs" dxfId="2006" priority="4351" operator="lessThan">
      <formula>0</formula>
    </cfRule>
  </conditionalFormatting>
  <conditionalFormatting sqref="H1:H1048576">
    <cfRule type="cellIs" dxfId="2005" priority="4350" operator="lessThan">
      <formula>0</formula>
    </cfRule>
  </conditionalFormatting>
  <conditionalFormatting sqref="H1:H1048576">
    <cfRule type="cellIs" dxfId="2004" priority="4349" operator="lessThan">
      <formula>0</formula>
    </cfRule>
  </conditionalFormatting>
  <conditionalFormatting sqref="H1:H1048576">
    <cfRule type="cellIs" dxfId="2003" priority="4348" operator="lessThan">
      <formula>0</formula>
    </cfRule>
  </conditionalFormatting>
  <conditionalFormatting sqref="H1:H1048576">
    <cfRule type="cellIs" dxfId="2002" priority="4347" operator="lessThan">
      <formula>0</formula>
    </cfRule>
  </conditionalFormatting>
  <conditionalFormatting sqref="H1:H1048576">
    <cfRule type="cellIs" dxfId="2001" priority="4346" operator="lessThan">
      <formula>0</formula>
    </cfRule>
  </conditionalFormatting>
  <conditionalFormatting sqref="H1:H1048576">
    <cfRule type="cellIs" dxfId="2000" priority="4345" operator="lessThan">
      <formula>0</formula>
    </cfRule>
  </conditionalFormatting>
  <conditionalFormatting sqref="H1:H1048576">
    <cfRule type="cellIs" dxfId="1999" priority="4344" operator="lessThan">
      <formula>0</formula>
    </cfRule>
  </conditionalFormatting>
  <conditionalFormatting sqref="H1:H1048576">
    <cfRule type="cellIs" dxfId="1998" priority="4343" operator="lessThan">
      <formula>0</formula>
    </cfRule>
  </conditionalFormatting>
  <conditionalFormatting sqref="H1:H1048576">
    <cfRule type="cellIs" dxfId="1997" priority="4342" operator="lessThan">
      <formula>0</formula>
    </cfRule>
  </conditionalFormatting>
  <conditionalFormatting sqref="H1:H1048576">
    <cfRule type="cellIs" dxfId="1996" priority="4341" operator="lessThan">
      <formula>0</formula>
    </cfRule>
  </conditionalFormatting>
  <conditionalFormatting sqref="H1:H1048576">
    <cfRule type="cellIs" dxfId="1995" priority="4340" operator="lessThan">
      <formula>0</formula>
    </cfRule>
  </conditionalFormatting>
  <conditionalFormatting sqref="H1:H1048576">
    <cfRule type="cellIs" dxfId="1994" priority="4339" operator="lessThan">
      <formula>0</formula>
    </cfRule>
  </conditionalFormatting>
  <conditionalFormatting sqref="H1:H1048576">
    <cfRule type="cellIs" dxfId="1993" priority="4338" operator="lessThan">
      <formula>0</formula>
    </cfRule>
  </conditionalFormatting>
  <conditionalFormatting sqref="H1:H1048576">
    <cfRule type="cellIs" dxfId="1992" priority="4337" operator="lessThan">
      <formula>0</formula>
    </cfRule>
  </conditionalFormatting>
  <conditionalFormatting sqref="H1:H1048576">
    <cfRule type="cellIs" dxfId="1991" priority="4336" operator="lessThan">
      <formula>0</formula>
    </cfRule>
  </conditionalFormatting>
  <conditionalFormatting sqref="H1:H1048576">
    <cfRule type="cellIs" dxfId="1990" priority="4335" operator="lessThan">
      <formula>0</formula>
    </cfRule>
  </conditionalFormatting>
  <conditionalFormatting sqref="H1:H1048576">
    <cfRule type="cellIs" dxfId="1989" priority="4334" operator="lessThan">
      <formula>0</formula>
    </cfRule>
  </conditionalFormatting>
  <conditionalFormatting sqref="H1:H1048576">
    <cfRule type="cellIs" dxfId="1988" priority="4333" operator="lessThan">
      <formula>0</formula>
    </cfRule>
  </conditionalFormatting>
  <conditionalFormatting sqref="H1:H1048576">
    <cfRule type="cellIs" dxfId="1987" priority="4332" operator="lessThan">
      <formula>0</formula>
    </cfRule>
  </conditionalFormatting>
  <conditionalFormatting sqref="H1:H1048576">
    <cfRule type="cellIs" dxfId="1986" priority="4331" operator="lessThan">
      <formula>0</formula>
    </cfRule>
  </conditionalFormatting>
  <conditionalFormatting sqref="H1:H1048576">
    <cfRule type="cellIs" dxfId="1985" priority="4330" operator="lessThan">
      <formula>0</formula>
    </cfRule>
  </conditionalFormatting>
  <conditionalFormatting sqref="H1:H1048576">
    <cfRule type="cellIs" dxfId="1984" priority="4329" operator="lessThan">
      <formula>0</formula>
    </cfRule>
  </conditionalFormatting>
  <conditionalFormatting sqref="H1:H1048576">
    <cfRule type="cellIs" dxfId="1983" priority="4328" operator="lessThan">
      <formula>0</formula>
    </cfRule>
  </conditionalFormatting>
  <conditionalFormatting sqref="H1:H1048576">
    <cfRule type="cellIs" dxfId="1982" priority="4327" operator="lessThan">
      <formula>0</formula>
    </cfRule>
  </conditionalFormatting>
  <conditionalFormatting sqref="H1:H1048576">
    <cfRule type="cellIs" dxfId="1981" priority="4326" operator="lessThan">
      <formula>0</formula>
    </cfRule>
  </conditionalFormatting>
  <conditionalFormatting sqref="H1:H1048576">
    <cfRule type="cellIs" dxfId="1980" priority="4325" operator="lessThan">
      <formula>0</formula>
    </cfRule>
  </conditionalFormatting>
  <conditionalFormatting sqref="H1:H1048576">
    <cfRule type="cellIs" dxfId="1979" priority="4324" operator="lessThan">
      <formula>0</formula>
    </cfRule>
  </conditionalFormatting>
  <conditionalFormatting sqref="H1:H1048576">
    <cfRule type="cellIs" dxfId="1978" priority="4323" operator="lessThan">
      <formula>0</formula>
    </cfRule>
  </conditionalFormatting>
  <conditionalFormatting sqref="H1:H1048576">
    <cfRule type="cellIs" dxfId="1977" priority="4322" operator="lessThan">
      <formula>0</formula>
    </cfRule>
  </conditionalFormatting>
  <conditionalFormatting sqref="H1:H1048576">
    <cfRule type="cellIs" dxfId="1976" priority="4321" operator="lessThan">
      <formula>0</formula>
    </cfRule>
  </conditionalFormatting>
  <conditionalFormatting sqref="H1:H1048576">
    <cfRule type="cellIs" dxfId="1975" priority="4320" operator="lessThan">
      <formula>0</formula>
    </cfRule>
  </conditionalFormatting>
  <conditionalFormatting sqref="H1:H1048576">
    <cfRule type="cellIs" dxfId="1974" priority="4319" operator="lessThan">
      <formula>0</formula>
    </cfRule>
  </conditionalFormatting>
  <conditionalFormatting sqref="H1:H1048576">
    <cfRule type="cellIs" dxfId="1973" priority="4318" operator="lessThan">
      <formula>0</formula>
    </cfRule>
  </conditionalFormatting>
  <conditionalFormatting sqref="H1:H1048576">
    <cfRule type="cellIs" dxfId="1972" priority="4317" operator="lessThan">
      <formula>0</formula>
    </cfRule>
  </conditionalFormatting>
  <conditionalFormatting sqref="H1:H1048576">
    <cfRule type="cellIs" dxfId="1971" priority="4316" operator="lessThan">
      <formula>0</formula>
    </cfRule>
  </conditionalFormatting>
  <conditionalFormatting sqref="H1:H1048576">
    <cfRule type="cellIs" dxfId="1970" priority="4315" operator="lessThan">
      <formula>0</formula>
    </cfRule>
  </conditionalFormatting>
  <conditionalFormatting sqref="H1:H1048576">
    <cfRule type="cellIs" dxfId="1969" priority="4314" operator="lessThan">
      <formula>0</formula>
    </cfRule>
  </conditionalFormatting>
  <conditionalFormatting sqref="H1:H1048576">
    <cfRule type="cellIs" dxfId="1968" priority="4313" operator="lessThan">
      <formula>0</formula>
    </cfRule>
  </conditionalFormatting>
  <conditionalFormatting sqref="H1:H1048576">
    <cfRule type="cellIs" dxfId="1967" priority="4312" operator="lessThan">
      <formula>0</formula>
    </cfRule>
  </conditionalFormatting>
  <conditionalFormatting sqref="H1:H1048576">
    <cfRule type="cellIs" dxfId="1966" priority="4311" operator="lessThan">
      <formula>0</formula>
    </cfRule>
  </conditionalFormatting>
  <conditionalFormatting sqref="H1:H1048576">
    <cfRule type="cellIs" dxfId="1965" priority="4310" operator="lessThan">
      <formula>0</formula>
    </cfRule>
  </conditionalFormatting>
  <conditionalFormatting sqref="H1:H1048576">
    <cfRule type="cellIs" dxfId="1964" priority="4309" operator="lessThan">
      <formula>0</formula>
    </cfRule>
  </conditionalFormatting>
  <conditionalFormatting sqref="H1:H1048576">
    <cfRule type="cellIs" dxfId="1963" priority="4308" operator="lessThan">
      <formula>0</formula>
    </cfRule>
  </conditionalFormatting>
  <conditionalFormatting sqref="H1:H1048576">
    <cfRule type="cellIs" dxfId="1962" priority="4307" operator="lessThan">
      <formula>0</formula>
    </cfRule>
  </conditionalFormatting>
  <conditionalFormatting sqref="H1:H1048576">
    <cfRule type="cellIs" dxfId="1961" priority="4306" operator="lessThan">
      <formula>0</formula>
    </cfRule>
  </conditionalFormatting>
  <conditionalFormatting sqref="H1:H1048576">
    <cfRule type="cellIs" dxfId="1960" priority="4305" operator="lessThan">
      <formula>0</formula>
    </cfRule>
  </conditionalFormatting>
  <conditionalFormatting sqref="H1:H1048576">
    <cfRule type="cellIs" dxfId="1959" priority="4304" operator="lessThan">
      <formula>0</formula>
    </cfRule>
  </conditionalFormatting>
  <conditionalFormatting sqref="H1:H1048576">
    <cfRule type="cellIs" dxfId="1958" priority="4303" operator="lessThan">
      <formula>0</formula>
    </cfRule>
  </conditionalFormatting>
  <conditionalFormatting sqref="H1:H1048576">
    <cfRule type="cellIs" dxfId="1957" priority="4302" operator="lessThan">
      <formula>0</formula>
    </cfRule>
  </conditionalFormatting>
  <conditionalFormatting sqref="H1:H1048576">
    <cfRule type="cellIs" dxfId="1956" priority="4301" operator="lessThan">
      <formula>0</formula>
    </cfRule>
  </conditionalFormatting>
  <conditionalFormatting sqref="H1:H1048576">
    <cfRule type="cellIs" dxfId="1955" priority="4300" operator="lessThan">
      <formula>0</formula>
    </cfRule>
  </conditionalFormatting>
  <conditionalFormatting sqref="H1:H1048576">
    <cfRule type="cellIs" dxfId="1954" priority="4299" operator="lessThan">
      <formula>0</formula>
    </cfRule>
  </conditionalFormatting>
  <conditionalFormatting sqref="H1:H1048576">
    <cfRule type="cellIs" dxfId="1953" priority="4298" operator="lessThan">
      <formula>0</formula>
    </cfRule>
  </conditionalFormatting>
  <conditionalFormatting sqref="H1:H1048576">
    <cfRule type="cellIs" dxfId="1952" priority="4297" operator="lessThan">
      <formula>0</formula>
    </cfRule>
  </conditionalFormatting>
  <conditionalFormatting sqref="H1:H1048576">
    <cfRule type="cellIs" dxfId="1951" priority="4296" operator="lessThan">
      <formula>0</formula>
    </cfRule>
  </conditionalFormatting>
  <conditionalFormatting sqref="H1:H1048576">
    <cfRule type="cellIs" dxfId="1950" priority="4295" operator="lessThan">
      <formula>0</formula>
    </cfRule>
  </conditionalFormatting>
  <conditionalFormatting sqref="H1:H1048576">
    <cfRule type="cellIs" dxfId="1949" priority="4294" operator="lessThan">
      <formula>0</formula>
    </cfRule>
  </conditionalFormatting>
  <conditionalFormatting sqref="I34">
    <cfRule type="cellIs" dxfId="1948" priority="1933" operator="lessThan">
      <formula>0</formula>
    </cfRule>
  </conditionalFormatting>
  <conditionalFormatting sqref="I34">
    <cfRule type="cellIs" dxfId="1947" priority="1932" operator="lessThan">
      <formula>0</formula>
    </cfRule>
  </conditionalFormatting>
  <conditionalFormatting sqref="I34">
    <cfRule type="cellIs" dxfId="1946" priority="1931" operator="lessThan">
      <formula>0</formula>
    </cfRule>
  </conditionalFormatting>
  <conditionalFormatting sqref="I34">
    <cfRule type="cellIs" dxfId="1945" priority="1930" operator="lessThan">
      <formula>0</formula>
    </cfRule>
  </conditionalFormatting>
  <conditionalFormatting sqref="I34">
    <cfRule type="cellIs" dxfId="1944" priority="1929" operator="lessThan">
      <formula>0</formula>
    </cfRule>
  </conditionalFormatting>
  <conditionalFormatting sqref="I34">
    <cfRule type="cellIs" dxfId="1943" priority="1928" operator="lessThan">
      <formula>0</formula>
    </cfRule>
  </conditionalFormatting>
  <conditionalFormatting sqref="I34">
    <cfRule type="cellIs" dxfId="1942" priority="1927" operator="lessThan">
      <formula>0</formula>
    </cfRule>
  </conditionalFormatting>
  <conditionalFormatting sqref="I34">
    <cfRule type="cellIs" dxfId="1941" priority="1926" operator="lessThan">
      <formula>0</formula>
    </cfRule>
  </conditionalFormatting>
  <conditionalFormatting sqref="I34">
    <cfRule type="cellIs" dxfId="1940" priority="1925" operator="lessThan">
      <formula>0</formula>
    </cfRule>
  </conditionalFormatting>
  <conditionalFormatting sqref="I34">
    <cfRule type="cellIs" dxfId="1939" priority="1924" operator="lessThan">
      <formula>0</formula>
    </cfRule>
  </conditionalFormatting>
  <conditionalFormatting sqref="I34">
    <cfRule type="cellIs" dxfId="1938" priority="1923" operator="lessThan">
      <formula>0</formula>
    </cfRule>
  </conditionalFormatting>
  <conditionalFormatting sqref="I34">
    <cfRule type="cellIs" dxfId="1937" priority="1922" operator="lessThan">
      <formula>0</formula>
    </cfRule>
  </conditionalFormatting>
  <conditionalFormatting sqref="I34">
    <cfRule type="cellIs" dxfId="1936" priority="1921" operator="lessThan">
      <formula>0</formula>
    </cfRule>
  </conditionalFormatting>
  <conditionalFormatting sqref="I34">
    <cfRule type="cellIs" dxfId="1935" priority="1920" operator="lessThan">
      <formula>0</formula>
    </cfRule>
  </conditionalFormatting>
  <conditionalFormatting sqref="I34">
    <cfRule type="cellIs" dxfId="1934" priority="1919" operator="lessThan">
      <formula>0</formula>
    </cfRule>
  </conditionalFormatting>
  <conditionalFormatting sqref="I34">
    <cfRule type="cellIs" dxfId="1933" priority="1918" operator="lessThan">
      <formula>0</formula>
    </cfRule>
  </conditionalFormatting>
  <conditionalFormatting sqref="I34">
    <cfRule type="cellIs" dxfId="1932" priority="1917" operator="lessThan">
      <formula>0</formula>
    </cfRule>
  </conditionalFormatting>
  <conditionalFormatting sqref="I34">
    <cfRule type="cellIs" dxfId="1931" priority="1916" operator="lessThan">
      <formula>0</formula>
    </cfRule>
  </conditionalFormatting>
  <conditionalFormatting sqref="I34">
    <cfRule type="cellIs" dxfId="1930" priority="1915" operator="lessThan">
      <formula>0</formula>
    </cfRule>
  </conditionalFormatting>
  <conditionalFormatting sqref="I34">
    <cfRule type="cellIs" dxfId="1929" priority="1914" operator="lessThan">
      <formula>0</formula>
    </cfRule>
  </conditionalFormatting>
  <conditionalFormatting sqref="I34">
    <cfRule type="cellIs" dxfId="1928" priority="1913" operator="lessThan">
      <formula>0</formula>
    </cfRule>
  </conditionalFormatting>
  <conditionalFormatting sqref="I34">
    <cfRule type="cellIs" dxfId="1927" priority="1912" operator="lessThan">
      <formula>0</formula>
    </cfRule>
  </conditionalFormatting>
  <conditionalFormatting sqref="I34">
    <cfRule type="cellIs" dxfId="1926" priority="1911" operator="lessThan">
      <formula>0</formula>
    </cfRule>
  </conditionalFormatting>
  <conditionalFormatting sqref="I34">
    <cfRule type="cellIs" dxfId="1925" priority="1910" operator="lessThan">
      <formula>0</formula>
    </cfRule>
  </conditionalFormatting>
  <conditionalFormatting sqref="I34">
    <cfRule type="cellIs" dxfId="1924" priority="1909" operator="lessThan">
      <formula>0</formula>
    </cfRule>
  </conditionalFormatting>
  <conditionalFormatting sqref="I34">
    <cfRule type="cellIs" dxfId="1923" priority="1908" operator="lessThan">
      <formula>0</formula>
    </cfRule>
  </conditionalFormatting>
  <conditionalFormatting sqref="I34">
    <cfRule type="cellIs" dxfId="1922" priority="1907" operator="lessThan">
      <formula>0</formula>
    </cfRule>
  </conditionalFormatting>
  <conditionalFormatting sqref="I34">
    <cfRule type="cellIs" dxfId="1921" priority="1906" operator="lessThan">
      <formula>0</formula>
    </cfRule>
  </conditionalFormatting>
  <conditionalFormatting sqref="I34">
    <cfRule type="cellIs" dxfId="1920" priority="1905" operator="lessThan">
      <formula>0</formula>
    </cfRule>
  </conditionalFormatting>
  <conditionalFormatting sqref="I34">
    <cfRule type="cellIs" dxfId="1919" priority="1904" operator="lessThan">
      <formula>0</formula>
    </cfRule>
  </conditionalFormatting>
  <conditionalFormatting sqref="I34">
    <cfRule type="cellIs" dxfId="1918" priority="1903" operator="lessThan">
      <formula>0</formula>
    </cfRule>
  </conditionalFormatting>
  <conditionalFormatting sqref="I34">
    <cfRule type="cellIs" dxfId="1917" priority="1902" operator="lessThan">
      <formula>0</formula>
    </cfRule>
  </conditionalFormatting>
  <conditionalFormatting sqref="I34">
    <cfRule type="cellIs" dxfId="1916" priority="1901" operator="lessThan">
      <formula>0</formula>
    </cfRule>
  </conditionalFormatting>
  <conditionalFormatting sqref="I34">
    <cfRule type="cellIs" dxfId="1915" priority="1900" operator="lessThan">
      <formula>0</formula>
    </cfRule>
  </conditionalFormatting>
  <conditionalFormatting sqref="I34">
    <cfRule type="cellIs" dxfId="1914" priority="1899" operator="lessThan">
      <formula>0</formula>
    </cfRule>
  </conditionalFormatting>
  <conditionalFormatting sqref="I34">
    <cfRule type="cellIs" dxfId="1913" priority="1898" operator="lessThan">
      <formula>0</formula>
    </cfRule>
  </conditionalFormatting>
  <conditionalFormatting sqref="I34">
    <cfRule type="cellIs" dxfId="1912" priority="1897" operator="lessThan">
      <formula>0</formula>
    </cfRule>
  </conditionalFormatting>
  <conditionalFormatting sqref="I34">
    <cfRule type="cellIs" dxfId="1911" priority="1896" operator="lessThan">
      <formula>0</formula>
    </cfRule>
  </conditionalFormatting>
  <conditionalFormatting sqref="I34">
    <cfRule type="cellIs" dxfId="1910" priority="1895" operator="lessThan">
      <formula>0</formula>
    </cfRule>
  </conditionalFormatting>
  <conditionalFormatting sqref="I34">
    <cfRule type="cellIs" dxfId="1909" priority="1894" operator="lessThan">
      <formula>0</formula>
    </cfRule>
  </conditionalFormatting>
  <conditionalFormatting sqref="I34">
    <cfRule type="cellIs" dxfId="1908" priority="1893" operator="lessThan">
      <formula>0</formula>
    </cfRule>
  </conditionalFormatting>
  <conditionalFormatting sqref="I34">
    <cfRule type="cellIs" dxfId="1907" priority="1892" operator="lessThan">
      <formula>0</formula>
    </cfRule>
  </conditionalFormatting>
  <conditionalFormatting sqref="I34">
    <cfRule type="cellIs" dxfId="1906" priority="1891" operator="lessThan">
      <formula>0</formula>
    </cfRule>
  </conditionalFormatting>
  <conditionalFormatting sqref="I34">
    <cfRule type="cellIs" dxfId="1905" priority="1890" operator="lessThan">
      <formula>0</formula>
    </cfRule>
  </conditionalFormatting>
  <conditionalFormatting sqref="I34">
    <cfRule type="cellIs" dxfId="1904" priority="1889" operator="lessThan">
      <formula>0</formula>
    </cfRule>
  </conditionalFormatting>
  <conditionalFormatting sqref="I34">
    <cfRule type="cellIs" dxfId="1903" priority="1888" operator="lessThan">
      <formula>0</formula>
    </cfRule>
  </conditionalFormatting>
  <conditionalFormatting sqref="I34">
    <cfRule type="cellIs" dxfId="1902" priority="1887" operator="lessThan">
      <formula>0</formula>
    </cfRule>
  </conditionalFormatting>
  <conditionalFormatting sqref="I34">
    <cfRule type="cellIs" dxfId="1901" priority="1886" operator="lessThan">
      <formula>0</formula>
    </cfRule>
  </conditionalFormatting>
  <conditionalFormatting sqref="I34">
    <cfRule type="cellIs" dxfId="1900" priority="1885" operator="lessThan">
      <formula>0</formula>
    </cfRule>
  </conditionalFormatting>
  <conditionalFormatting sqref="I34">
    <cfRule type="cellIs" dxfId="1899" priority="1884" operator="lessThan">
      <formula>0</formula>
    </cfRule>
  </conditionalFormatting>
  <conditionalFormatting sqref="I34">
    <cfRule type="cellIs" dxfId="1898" priority="1883" operator="lessThan">
      <formula>0</formula>
    </cfRule>
  </conditionalFormatting>
  <conditionalFormatting sqref="I34">
    <cfRule type="cellIs" dxfId="1897" priority="1882" operator="lessThan">
      <formula>0</formula>
    </cfRule>
  </conditionalFormatting>
  <conditionalFormatting sqref="I34">
    <cfRule type="cellIs" dxfId="1896" priority="1881" operator="lessThan">
      <formula>0</formula>
    </cfRule>
  </conditionalFormatting>
  <conditionalFormatting sqref="I34">
    <cfRule type="cellIs" dxfId="1895" priority="1880" operator="lessThan">
      <formula>0</formula>
    </cfRule>
  </conditionalFormatting>
  <conditionalFormatting sqref="I34">
    <cfRule type="cellIs" dxfId="1894" priority="1879" operator="lessThan">
      <formula>0</formula>
    </cfRule>
  </conditionalFormatting>
  <conditionalFormatting sqref="I34">
    <cfRule type="cellIs" dxfId="1893" priority="1878" operator="lessThan">
      <formula>0</formula>
    </cfRule>
  </conditionalFormatting>
  <conditionalFormatting sqref="I34">
    <cfRule type="cellIs" dxfId="1892" priority="1877" operator="lessThan">
      <formula>0</formula>
    </cfRule>
  </conditionalFormatting>
  <conditionalFormatting sqref="I34">
    <cfRule type="cellIs" dxfId="1891" priority="1876" operator="lessThan">
      <formula>0</formula>
    </cfRule>
  </conditionalFormatting>
  <conditionalFormatting sqref="I34">
    <cfRule type="cellIs" dxfId="1890" priority="1875" operator="lessThan">
      <formula>0</formula>
    </cfRule>
  </conditionalFormatting>
  <conditionalFormatting sqref="I34">
    <cfRule type="cellIs" dxfId="1889" priority="1874" operator="lessThan">
      <formula>0</formula>
    </cfRule>
  </conditionalFormatting>
  <conditionalFormatting sqref="I34">
    <cfRule type="cellIs" dxfId="1888" priority="1873" operator="lessThan">
      <formula>0</formula>
    </cfRule>
  </conditionalFormatting>
  <conditionalFormatting sqref="I34">
    <cfRule type="cellIs" dxfId="1887" priority="1872" operator="lessThan">
      <formula>0</formula>
    </cfRule>
  </conditionalFormatting>
  <conditionalFormatting sqref="I34">
    <cfRule type="cellIs" dxfId="1886" priority="1871" operator="lessThan">
      <formula>0</formula>
    </cfRule>
  </conditionalFormatting>
  <conditionalFormatting sqref="I34">
    <cfRule type="cellIs" dxfId="1885" priority="1870" operator="lessThan">
      <formula>0</formula>
    </cfRule>
  </conditionalFormatting>
  <conditionalFormatting sqref="I34">
    <cfRule type="cellIs" dxfId="1884" priority="1869" operator="lessThan">
      <formula>0</formula>
    </cfRule>
  </conditionalFormatting>
  <conditionalFormatting sqref="I34">
    <cfRule type="cellIs" dxfId="1883" priority="1868" operator="lessThan">
      <formula>0</formula>
    </cfRule>
  </conditionalFormatting>
  <conditionalFormatting sqref="I34">
    <cfRule type="cellIs" dxfId="1882" priority="1867" operator="lessThan">
      <formula>0</formula>
    </cfRule>
  </conditionalFormatting>
  <conditionalFormatting sqref="I34">
    <cfRule type="cellIs" dxfId="1881" priority="1866" operator="lessThan">
      <formula>0</formula>
    </cfRule>
  </conditionalFormatting>
  <conditionalFormatting sqref="I34">
    <cfRule type="cellIs" dxfId="1880" priority="1865" operator="lessThan">
      <formula>0</formula>
    </cfRule>
  </conditionalFormatting>
  <conditionalFormatting sqref="I34">
    <cfRule type="cellIs" dxfId="1879" priority="1864" operator="lessThan">
      <formula>0</formula>
    </cfRule>
  </conditionalFormatting>
  <conditionalFormatting sqref="I34">
    <cfRule type="cellIs" dxfId="1878" priority="1863" operator="lessThan">
      <formula>0</formula>
    </cfRule>
  </conditionalFormatting>
  <conditionalFormatting sqref="I34">
    <cfRule type="cellIs" dxfId="1877" priority="1862" operator="lessThan">
      <formula>0</formula>
    </cfRule>
  </conditionalFormatting>
  <conditionalFormatting sqref="I34">
    <cfRule type="cellIs" dxfId="1876" priority="1861" operator="lessThan">
      <formula>0</formula>
    </cfRule>
  </conditionalFormatting>
  <conditionalFormatting sqref="I34">
    <cfRule type="cellIs" dxfId="1875" priority="1860" operator="lessThan">
      <formula>0</formula>
    </cfRule>
  </conditionalFormatting>
  <conditionalFormatting sqref="I34">
    <cfRule type="cellIs" dxfId="1874" priority="1859" operator="lessThan">
      <formula>0</formula>
    </cfRule>
  </conditionalFormatting>
  <conditionalFormatting sqref="I34">
    <cfRule type="cellIs" dxfId="1873" priority="1858" operator="lessThan">
      <formula>0</formula>
    </cfRule>
  </conditionalFormatting>
  <conditionalFormatting sqref="I34">
    <cfRule type="cellIs" dxfId="1872" priority="1857" operator="lessThan">
      <formula>0</formula>
    </cfRule>
  </conditionalFormatting>
  <conditionalFormatting sqref="I34">
    <cfRule type="cellIs" dxfId="1871" priority="1856" operator="lessThan">
      <formula>0</formula>
    </cfRule>
  </conditionalFormatting>
  <conditionalFormatting sqref="I34">
    <cfRule type="cellIs" dxfId="1870" priority="1855" operator="lessThan">
      <formula>0</formula>
    </cfRule>
  </conditionalFormatting>
  <conditionalFormatting sqref="I34">
    <cfRule type="cellIs" dxfId="1869" priority="1854" operator="lessThan">
      <formula>0</formula>
    </cfRule>
  </conditionalFormatting>
  <conditionalFormatting sqref="I34">
    <cfRule type="cellIs" dxfId="1868" priority="1853" operator="lessThan">
      <formula>0</formula>
    </cfRule>
  </conditionalFormatting>
  <conditionalFormatting sqref="I34">
    <cfRule type="cellIs" dxfId="1867" priority="1852" operator="lessThan">
      <formula>0</formula>
    </cfRule>
  </conditionalFormatting>
  <conditionalFormatting sqref="I34">
    <cfRule type="cellIs" dxfId="1866" priority="1851" operator="lessThan">
      <formula>0</formula>
    </cfRule>
  </conditionalFormatting>
  <conditionalFormatting sqref="I34">
    <cfRule type="cellIs" dxfId="1865" priority="1850" operator="lessThan">
      <formula>0</formula>
    </cfRule>
  </conditionalFormatting>
  <conditionalFormatting sqref="I34">
    <cfRule type="cellIs" dxfId="1864" priority="1849" operator="lessThan">
      <formula>0</formula>
    </cfRule>
  </conditionalFormatting>
  <conditionalFormatting sqref="I34">
    <cfRule type="cellIs" dxfId="1863" priority="1848" operator="lessThan">
      <formula>0</formula>
    </cfRule>
  </conditionalFormatting>
  <conditionalFormatting sqref="I34">
    <cfRule type="cellIs" dxfId="1862" priority="1847" operator="lessThan">
      <formula>0</formula>
    </cfRule>
  </conditionalFormatting>
  <conditionalFormatting sqref="I34">
    <cfRule type="cellIs" dxfId="1861" priority="1846" operator="lessThan">
      <formula>0</formula>
    </cfRule>
  </conditionalFormatting>
  <conditionalFormatting sqref="I34">
    <cfRule type="cellIs" dxfId="1860" priority="1845" operator="lessThan">
      <formula>0</formula>
    </cfRule>
  </conditionalFormatting>
  <conditionalFormatting sqref="I34">
    <cfRule type="cellIs" dxfId="1859" priority="1844" operator="lessThan">
      <formula>0</formula>
    </cfRule>
  </conditionalFormatting>
  <conditionalFormatting sqref="I34">
    <cfRule type="cellIs" dxfId="1858" priority="1843" operator="lessThan">
      <formula>0</formula>
    </cfRule>
  </conditionalFormatting>
  <conditionalFormatting sqref="I34">
    <cfRule type="cellIs" dxfId="1857" priority="1842" operator="lessThan">
      <formula>0</formula>
    </cfRule>
  </conditionalFormatting>
  <conditionalFormatting sqref="I34">
    <cfRule type="cellIs" dxfId="1856" priority="1841" operator="lessThan">
      <formula>0</formula>
    </cfRule>
  </conditionalFormatting>
  <conditionalFormatting sqref="I34">
    <cfRule type="cellIs" dxfId="1855" priority="1840" operator="lessThan">
      <formula>0</formula>
    </cfRule>
  </conditionalFormatting>
  <conditionalFormatting sqref="I34">
    <cfRule type="cellIs" dxfId="1854" priority="1839" operator="lessThan">
      <formula>0</formula>
    </cfRule>
  </conditionalFormatting>
  <conditionalFormatting sqref="I34">
    <cfRule type="cellIs" dxfId="1853" priority="1838" operator="lessThan">
      <formula>0</formula>
    </cfRule>
  </conditionalFormatting>
  <conditionalFormatting sqref="I34">
    <cfRule type="cellIs" dxfId="1852" priority="1837" operator="lessThan">
      <formula>0</formula>
    </cfRule>
  </conditionalFormatting>
  <conditionalFormatting sqref="I34">
    <cfRule type="cellIs" dxfId="1851" priority="1836" operator="lessThan">
      <formula>0</formula>
    </cfRule>
  </conditionalFormatting>
  <conditionalFormatting sqref="I34">
    <cfRule type="cellIs" dxfId="1850" priority="1835" operator="lessThan">
      <formula>0</formula>
    </cfRule>
  </conditionalFormatting>
  <conditionalFormatting sqref="I34">
    <cfRule type="cellIs" dxfId="1849" priority="1834" operator="lessThan">
      <formula>0</formula>
    </cfRule>
  </conditionalFormatting>
  <conditionalFormatting sqref="I34">
    <cfRule type="cellIs" dxfId="1848" priority="1833" operator="lessThan">
      <formula>0</formula>
    </cfRule>
  </conditionalFormatting>
  <conditionalFormatting sqref="I34">
    <cfRule type="cellIs" dxfId="1847" priority="1832" operator="lessThan">
      <formula>0</formula>
    </cfRule>
  </conditionalFormatting>
  <conditionalFormatting sqref="I34">
    <cfRule type="cellIs" dxfId="1846" priority="1831" operator="lessThan">
      <formula>0</formula>
    </cfRule>
  </conditionalFormatting>
  <conditionalFormatting sqref="I34">
    <cfRule type="cellIs" dxfId="1845" priority="1830" operator="lessThan">
      <formula>0</formula>
    </cfRule>
  </conditionalFormatting>
  <conditionalFormatting sqref="I34">
    <cfRule type="cellIs" dxfId="1844" priority="1829" operator="lessThan">
      <formula>0</formula>
    </cfRule>
  </conditionalFormatting>
  <conditionalFormatting sqref="I34">
    <cfRule type="cellIs" dxfId="1843" priority="1828" operator="lessThan">
      <formula>0</formula>
    </cfRule>
  </conditionalFormatting>
  <conditionalFormatting sqref="I34">
    <cfRule type="cellIs" dxfId="1842" priority="1827" operator="lessThan">
      <formula>0</formula>
    </cfRule>
  </conditionalFormatting>
  <conditionalFormatting sqref="I34">
    <cfRule type="cellIs" dxfId="1841" priority="1826" operator="lessThan">
      <formula>0</formula>
    </cfRule>
  </conditionalFormatting>
  <conditionalFormatting sqref="I34">
    <cfRule type="cellIs" dxfId="1840" priority="1825" operator="lessThan">
      <formula>0</formula>
    </cfRule>
  </conditionalFormatting>
  <conditionalFormatting sqref="I34">
    <cfRule type="cellIs" dxfId="1839" priority="1824" operator="lessThan">
      <formula>0</formula>
    </cfRule>
  </conditionalFormatting>
  <conditionalFormatting sqref="I34">
    <cfRule type="cellIs" dxfId="1838" priority="1823" operator="lessThan">
      <formula>0</formula>
    </cfRule>
  </conditionalFormatting>
  <conditionalFormatting sqref="I34">
    <cfRule type="cellIs" dxfId="1837" priority="1822" operator="lessThan">
      <formula>0</formula>
    </cfRule>
  </conditionalFormatting>
  <conditionalFormatting sqref="I34">
    <cfRule type="cellIs" dxfId="1836" priority="1821" operator="lessThan">
      <formula>0</formula>
    </cfRule>
  </conditionalFormatting>
  <conditionalFormatting sqref="I34">
    <cfRule type="cellIs" dxfId="1835" priority="1820" operator="lessThan">
      <formula>0</formula>
    </cfRule>
  </conditionalFormatting>
  <conditionalFormatting sqref="I34">
    <cfRule type="cellIs" dxfId="1834" priority="1819" operator="lessThan">
      <formula>0</formula>
    </cfRule>
  </conditionalFormatting>
  <conditionalFormatting sqref="I34">
    <cfRule type="cellIs" dxfId="1833" priority="1818" operator="lessThan">
      <formula>0</formula>
    </cfRule>
  </conditionalFormatting>
  <conditionalFormatting sqref="I34">
    <cfRule type="cellIs" dxfId="1832" priority="1817" operator="lessThan">
      <formula>0</formula>
    </cfRule>
  </conditionalFormatting>
  <conditionalFormatting sqref="I34">
    <cfRule type="cellIs" dxfId="1831" priority="1816" operator="lessThan">
      <formula>0</formula>
    </cfRule>
  </conditionalFormatting>
  <conditionalFormatting sqref="I34">
    <cfRule type="cellIs" dxfId="1830" priority="1815" operator="lessThan">
      <formula>0</formula>
    </cfRule>
  </conditionalFormatting>
  <conditionalFormatting sqref="I34">
    <cfRule type="cellIs" dxfId="1829" priority="1814" operator="lessThan">
      <formula>0</formula>
    </cfRule>
  </conditionalFormatting>
  <conditionalFormatting sqref="I34">
    <cfRule type="cellIs" dxfId="1828" priority="1813" operator="lessThan">
      <formula>0</formula>
    </cfRule>
  </conditionalFormatting>
  <conditionalFormatting sqref="I34">
    <cfRule type="cellIs" dxfId="1827" priority="1812" operator="lessThan">
      <formula>0</formula>
    </cfRule>
  </conditionalFormatting>
  <conditionalFormatting sqref="I34">
    <cfRule type="cellIs" dxfId="1826" priority="1811" operator="lessThan">
      <formula>0</formula>
    </cfRule>
  </conditionalFormatting>
  <conditionalFormatting sqref="I34">
    <cfRule type="cellIs" dxfId="1825" priority="1810" operator="lessThan">
      <formula>0</formula>
    </cfRule>
  </conditionalFormatting>
  <conditionalFormatting sqref="I34">
    <cfRule type="cellIs" dxfId="1824" priority="1809" operator="lessThan">
      <formula>0</formula>
    </cfRule>
  </conditionalFormatting>
  <conditionalFormatting sqref="I34">
    <cfRule type="cellIs" dxfId="1823" priority="1808" operator="lessThan">
      <formula>0</formula>
    </cfRule>
  </conditionalFormatting>
  <conditionalFormatting sqref="I34">
    <cfRule type="cellIs" dxfId="1822" priority="1807" operator="lessThan">
      <formula>0</formula>
    </cfRule>
  </conditionalFormatting>
  <conditionalFormatting sqref="I34">
    <cfRule type="cellIs" dxfId="1821" priority="1806" operator="lessThan">
      <formula>0</formula>
    </cfRule>
  </conditionalFormatting>
  <conditionalFormatting sqref="I34">
    <cfRule type="cellIs" dxfId="1820" priority="1805" operator="lessThan">
      <formula>0</formula>
    </cfRule>
  </conditionalFormatting>
  <conditionalFormatting sqref="I34">
    <cfRule type="cellIs" dxfId="1819" priority="1804" operator="lessThan">
      <formula>0</formula>
    </cfRule>
  </conditionalFormatting>
  <conditionalFormatting sqref="I34">
    <cfRule type="cellIs" dxfId="1818" priority="1803" operator="lessThan">
      <formula>0</formula>
    </cfRule>
  </conditionalFormatting>
  <conditionalFormatting sqref="I34">
    <cfRule type="cellIs" dxfId="1817" priority="1802" operator="lessThan">
      <formula>0</formula>
    </cfRule>
  </conditionalFormatting>
  <conditionalFormatting sqref="I34">
    <cfRule type="cellIs" dxfId="1816" priority="1801" operator="lessThan">
      <formula>0</formula>
    </cfRule>
  </conditionalFormatting>
  <conditionalFormatting sqref="I34">
    <cfRule type="cellIs" dxfId="1815" priority="1800" operator="lessThan">
      <formula>0</formula>
    </cfRule>
  </conditionalFormatting>
  <conditionalFormatting sqref="I34">
    <cfRule type="cellIs" dxfId="1814" priority="1799" operator="lessThan">
      <formula>0</formula>
    </cfRule>
  </conditionalFormatting>
  <conditionalFormatting sqref="I34">
    <cfRule type="cellIs" dxfId="1813" priority="1798" operator="lessThan">
      <formula>0</formula>
    </cfRule>
  </conditionalFormatting>
  <conditionalFormatting sqref="I34">
    <cfRule type="cellIs" dxfId="1812" priority="1797" operator="lessThan">
      <formula>0</formula>
    </cfRule>
  </conditionalFormatting>
  <conditionalFormatting sqref="I34">
    <cfRule type="cellIs" dxfId="1811" priority="1796" operator="lessThan">
      <formula>0</formula>
    </cfRule>
  </conditionalFormatting>
  <conditionalFormatting sqref="I34">
    <cfRule type="cellIs" dxfId="1810" priority="1795" operator="lessThan">
      <formula>0</formula>
    </cfRule>
  </conditionalFormatting>
  <conditionalFormatting sqref="I34">
    <cfRule type="cellIs" dxfId="1809" priority="1794" operator="lessThan">
      <formula>0</formula>
    </cfRule>
  </conditionalFormatting>
  <conditionalFormatting sqref="I34">
    <cfRule type="cellIs" dxfId="1808" priority="1793" operator="lessThan">
      <formula>0</formula>
    </cfRule>
  </conditionalFormatting>
  <conditionalFormatting sqref="I34">
    <cfRule type="cellIs" dxfId="1807" priority="1792" operator="lessThan">
      <formula>0</formula>
    </cfRule>
  </conditionalFormatting>
  <conditionalFormatting sqref="I34">
    <cfRule type="cellIs" dxfId="1806" priority="1791" operator="lessThan">
      <formula>0</formula>
    </cfRule>
  </conditionalFormatting>
  <conditionalFormatting sqref="I34">
    <cfRule type="cellIs" dxfId="1805" priority="1790" operator="lessThan">
      <formula>0</formula>
    </cfRule>
  </conditionalFormatting>
  <conditionalFormatting sqref="I34">
    <cfRule type="cellIs" dxfId="1804" priority="1789" operator="lessThan">
      <formula>0</formula>
    </cfRule>
  </conditionalFormatting>
  <conditionalFormatting sqref="I34">
    <cfRule type="cellIs" dxfId="1803" priority="1788" operator="lessThan">
      <formula>0</formula>
    </cfRule>
  </conditionalFormatting>
  <conditionalFormatting sqref="I34">
    <cfRule type="cellIs" dxfId="1802" priority="1787" operator="lessThan">
      <formula>0</formula>
    </cfRule>
  </conditionalFormatting>
  <conditionalFormatting sqref="I34">
    <cfRule type="cellIs" dxfId="1801" priority="1786" operator="lessThan">
      <formula>0</formula>
    </cfRule>
  </conditionalFormatting>
  <conditionalFormatting sqref="I34">
    <cfRule type="cellIs" dxfId="1800" priority="1785" operator="lessThan">
      <formula>0</formula>
    </cfRule>
  </conditionalFormatting>
  <conditionalFormatting sqref="I34">
    <cfRule type="cellIs" dxfId="1799" priority="1784" operator="lessThan">
      <formula>0</formula>
    </cfRule>
  </conditionalFormatting>
  <conditionalFormatting sqref="I34">
    <cfRule type="cellIs" dxfId="1798" priority="1783" operator="lessThan">
      <formula>0</formula>
    </cfRule>
  </conditionalFormatting>
  <conditionalFormatting sqref="I34">
    <cfRule type="cellIs" dxfId="1797" priority="1782" operator="lessThan">
      <formula>0</formula>
    </cfRule>
  </conditionalFormatting>
  <conditionalFormatting sqref="I34">
    <cfRule type="cellIs" dxfId="1796" priority="1781" operator="lessThan">
      <formula>0</formula>
    </cfRule>
  </conditionalFormatting>
  <conditionalFormatting sqref="I34">
    <cfRule type="cellIs" dxfId="1795" priority="1780" operator="lessThan">
      <formula>0</formula>
    </cfRule>
  </conditionalFormatting>
  <conditionalFormatting sqref="I34">
    <cfRule type="cellIs" dxfId="1794" priority="1779" operator="lessThan">
      <formula>0</formula>
    </cfRule>
  </conditionalFormatting>
  <conditionalFormatting sqref="I34">
    <cfRule type="cellIs" dxfId="1793" priority="1778" operator="lessThan">
      <formula>0</formula>
    </cfRule>
  </conditionalFormatting>
  <conditionalFormatting sqref="I34">
    <cfRule type="cellIs" dxfId="1792" priority="1777" operator="lessThan">
      <formula>0</formula>
    </cfRule>
  </conditionalFormatting>
  <conditionalFormatting sqref="I34">
    <cfRule type="cellIs" dxfId="1791" priority="1776" operator="lessThan">
      <formula>0</formula>
    </cfRule>
  </conditionalFormatting>
  <conditionalFormatting sqref="I34">
    <cfRule type="cellIs" dxfId="1790" priority="1775" operator="lessThan">
      <formula>0</formula>
    </cfRule>
  </conditionalFormatting>
  <conditionalFormatting sqref="I34">
    <cfRule type="cellIs" dxfId="1789" priority="1774" operator="lessThan">
      <formula>0</formula>
    </cfRule>
  </conditionalFormatting>
  <conditionalFormatting sqref="I34">
    <cfRule type="cellIs" dxfId="1788" priority="1773" operator="lessThan">
      <formula>0</formula>
    </cfRule>
  </conditionalFormatting>
  <conditionalFormatting sqref="I34">
    <cfRule type="cellIs" dxfId="1787" priority="1772" operator="lessThan">
      <formula>0</formula>
    </cfRule>
  </conditionalFormatting>
  <conditionalFormatting sqref="I34">
    <cfRule type="cellIs" dxfId="1786" priority="1771" operator="lessThan">
      <formula>0</formula>
    </cfRule>
  </conditionalFormatting>
  <conditionalFormatting sqref="I34">
    <cfRule type="cellIs" dxfId="1785" priority="1770" operator="lessThan">
      <formula>0</formula>
    </cfRule>
  </conditionalFormatting>
  <conditionalFormatting sqref="I34">
    <cfRule type="cellIs" dxfId="1784" priority="1769" operator="lessThan">
      <formula>0</formula>
    </cfRule>
  </conditionalFormatting>
  <conditionalFormatting sqref="I34">
    <cfRule type="cellIs" dxfId="1783" priority="1768" operator="lessThan">
      <formula>0</formula>
    </cfRule>
  </conditionalFormatting>
  <conditionalFormatting sqref="I34">
    <cfRule type="cellIs" dxfId="1782" priority="1767" operator="lessThan">
      <formula>0</formula>
    </cfRule>
  </conditionalFormatting>
  <conditionalFormatting sqref="I34">
    <cfRule type="cellIs" dxfId="1781" priority="1766" operator="lessThan">
      <formula>0</formula>
    </cfRule>
  </conditionalFormatting>
  <conditionalFormatting sqref="I34">
    <cfRule type="cellIs" dxfId="1780" priority="1765" operator="lessThan">
      <formula>0</formula>
    </cfRule>
  </conditionalFormatting>
  <conditionalFormatting sqref="I34">
    <cfRule type="cellIs" dxfId="1779" priority="1764" operator="lessThan">
      <formula>0</formula>
    </cfRule>
  </conditionalFormatting>
  <conditionalFormatting sqref="I34">
    <cfRule type="cellIs" dxfId="1778" priority="1763" operator="lessThan">
      <formula>0</formula>
    </cfRule>
  </conditionalFormatting>
  <conditionalFormatting sqref="I34">
    <cfRule type="cellIs" dxfId="1777" priority="1762" operator="lessThan">
      <formula>0</formula>
    </cfRule>
  </conditionalFormatting>
  <conditionalFormatting sqref="I34">
    <cfRule type="cellIs" dxfId="1776" priority="1761" operator="lessThan">
      <formula>0</formula>
    </cfRule>
  </conditionalFormatting>
  <conditionalFormatting sqref="I34">
    <cfRule type="cellIs" dxfId="1775" priority="1760" operator="lessThan">
      <formula>0</formula>
    </cfRule>
  </conditionalFormatting>
  <conditionalFormatting sqref="I34">
    <cfRule type="cellIs" dxfId="1774" priority="1759" operator="lessThan">
      <formula>0</formula>
    </cfRule>
  </conditionalFormatting>
  <conditionalFormatting sqref="I34">
    <cfRule type="cellIs" dxfId="1773" priority="1758" operator="lessThan">
      <formula>0</formula>
    </cfRule>
  </conditionalFormatting>
  <conditionalFormatting sqref="I34">
    <cfRule type="cellIs" dxfId="1772" priority="1757" operator="lessThan">
      <formula>0</formula>
    </cfRule>
  </conditionalFormatting>
  <conditionalFormatting sqref="I34">
    <cfRule type="cellIs" dxfId="1771" priority="1756" operator="lessThan">
      <formula>0</formula>
    </cfRule>
  </conditionalFormatting>
  <conditionalFormatting sqref="I34">
    <cfRule type="cellIs" dxfId="1770" priority="1755" operator="lessThan">
      <formula>0</formula>
    </cfRule>
  </conditionalFormatting>
  <conditionalFormatting sqref="I34">
    <cfRule type="cellIs" dxfId="1769" priority="1754" operator="lessThan">
      <formula>0</formula>
    </cfRule>
  </conditionalFormatting>
  <conditionalFormatting sqref="I34">
    <cfRule type="cellIs" dxfId="1768" priority="1753" operator="lessThan">
      <formula>0</formula>
    </cfRule>
  </conditionalFormatting>
  <conditionalFormatting sqref="I34">
    <cfRule type="cellIs" dxfId="1767" priority="1752" operator="lessThan">
      <formula>0</formula>
    </cfRule>
  </conditionalFormatting>
  <conditionalFormatting sqref="I34">
    <cfRule type="cellIs" dxfId="1766" priority="1751" operator="lessThan">
      <formula>0</formula>
    </cfRule>
  </conditionalFormatting>
  <conditionalFormatting sqref="I34">
    <cfRule type="cellIs" dxfId="1765" priority="1750" operator="lessThan">
      <formula>0</formula>
    </cfRule>
  </conditionalFormatting>
  <conditionalFormatting sqref="I34">
    <cfRule type="cellIs" dxfId="1764" priority="1749" operator="lessThan">
      <formula>0</formula>
    </cfRule>
  </conditionalFormatting>
  <conditionalFormatting sqref="I34">
    <cfRule type="cellIs" dxfId="1763" priority="1748" operator="lessThan">
      <formula>0</formula>
    </cfRule>
  </conditionalFormatting>
  <conditionalFormatting sqref="I34">
    <cfRule type="cellIs" dxfId="1762" priority="1747" operator="lessThan">
      <formula>0</formula>
    </cfRule>
  </conditionalFormatting>
  <conditionalFormatting sqref="I34">
    <cfRule type="cellIs" dxfId="1761" priority="1746" operator="lessThan">
      <formula>0</formula>
    </cfRule>
  </conditionalFormatting>
  <conditionalFormatting sqref="I34">
    <cfRule type="cellIs" dxfId="1760" priority="1745" operator="lessThan">
      <formula>0</formula>
    </cfRule>
  </conditionalFormatting>
  <conditionalFormatting sqref="I34">
    <cfRule type="cellIs" dxfId="1759" priority="1744" operator="lessThan">
      <formula>0</formula>
    </cfRule>
  </conditionalFormatting>
  <conditionalFormatting sqref="I34">
    <cfRule type="cellIs" dxfId="1758" priority="1743" operator="lessThan">
      <formula>0</formula>
    </cfRule>
  </conditionalFormatting>
  <conditionalFormatting sqref="I34">
    <cfRule type="cellIs" dxfId="1757" priority="1742" operator="lessThan">
      <formula>0</formula>
    </cfRule>
  </conditionalFormatting>
  <conditionalFormatting sqref="I34">
    <cfRule type="cellIs" dxfId="1756" priority="1741" operator="lessThan">
      <formula>0</formula>
    </cfRule>
  </conditionalFormatting>
  <conditionalFormatting sqref="I34">
    <cfRule type="cellIs" dxfId="1755" priority="1740" operator="lessThan">
      <formula>0</formula>
    </cfRule>
  </conditionalFormatting>
  <conditionalFormatting sqref="I34">
    <cfRule type="cellIs" dxfId="1754" priority="1739" operator="lessThan">
      <formula>0</formula>
    </cfRule>
  </conditionalFormatting>
  <conditionalFormatting sqref="I34">
    <cfRule type="cellIs" dxfId="1753" priority="1738" operator="lessThan">
      <formula>0</formula>
    </cfRule>
  </conditionalFormatting>
  <conditionalFormatting sqref="I34">
    <cfRule type="cellIs" dxfId="1752" priority="1737" operator="lessThan">
      <formula>0</formula>
    </cfRule>
  </conditionalFormatting>
  <conditionalFormatting sqref="I34">
    <cfRule type="cellIs" dxfId="1751" priority="1736" operator="lessThan">
      <formula>0</formula>
    </cfRule>
  </conditionalFormatting>
  <conditionalFormatting sqref="I34">
    <cfRule type="cellIs" dxfId="1750" priority="1735" operator="lessThan">
      <formula>0</formula>
    </cfRule>
  </conditionalFormatting>
  <conditionalFormatting sqref="I34">
    <cfRule type="cellIs" dxfId="1749" priority="1734" operator="lessThan">
      <formula>0</formula>
    </cfRule>
  </conditionalFormatting>
  <conditionalFormatting sqref="I34">
    <cfRule type="cellIs" dxfId="1748" priority="1733" operator="lessThan">
      <formula>0</formula>
    </cfRule>
  </conditionalFormatting>
  <conditionalFormatting sqref="I34">
    <cfRule type="cellIs" dxfId="1747" priority="1732" operator="lessThan">
      <formula>0</formula>
    </cfRule>
  </conditionalFormatting>
  <conditionalFormatting sqref="I34">
    <cfRule type="cellIs" dxfId="1746" priority="1731" operator="lessThan">
      <formula>0</formula>
    </cfRule>
  </conditionalFormatting>
  <conditionalFormatting sqref="I34">
    <cfRule type="cellIs" dxfId="1745" priority="1730" operator="lessThan">
      <formula>0</formula>
    </cfRule>
  </conditionalFormatting>
  <conditionalFormatting sqref="I34">
    <cfRule type="cellIs" dxfId="1744" priority="1729" operator="lessThan">
      <formula>0</formula>
    </cfRule>
  </conditionalFormatting>
  <conditionalFormatting sqref="I34">
    <cfRule type="cellIs" dxfId="1743" priority="1728" operator="lessThan">
      <formula>0</formula>
    </cfRule>
  </conditionalFormatting>
  <conditionalFormatting sqref="I34">
    <cfRule type="cellIs" dxfId="1742" priority="1727" operator="lessThan">
      <formula>0</formula>
    </cfRule>
  </conditionalFormatting>
  <conditionalFormatting sqref="I34">
    <cfRule type="cellIs" dxfId="1741" priority="1726" operator="lessThan">
      <formula>0</formula>
    </cfRule>
  </conditionalFormatting>
  <conditionalFormatting sqref="I34">
    <cfRule type="cellIs" dxfId="1740" priority="1725" operator="lessThan">
      <formula>0</formula>
    </cfRule>
  </conditionalFormatting>
  <conditionalFormatting sqref="I34">
    <cfRule type="cellIs" dxfId="1739" priority="1724" operator="lessThan">
      <formula>0</formula>
    </cfRule>
  </conditionalFormatting>
  <conditionalFormatting sqref="I34">
    <cfRule type="cellIs" dxfId="1738" priority="1723" operator="lessThan">
      <formula>0</formula>
    </cfRule>
  </conditionalFormatting>
  <conditionalFormatting sqref="I34">
    <cfRule type="cellIs" dxfId="1737" priority="1722" operator="lessThan">
      <formula>0</formula>
    </cfRule>
  </conditionalFormatting>
  <conditionalFormatting sqref="I34">
    <cfRule type="cellIs" dxfId="1736" priority="1721" operator="lessThan">
      <formula>0</formula>
    </cfRule>
  </conditionalFormatting>
  <conditionalFormatting sqref="I34">
    <cfRule type="cellIs" dxfId="1735" priority="1720" operator="lessThan">
      <formula>0</formula>
    </cfRule>
  </conditionalFormatting>
  <conditionalFormatting sqref="I34">
    <cfRule type="cellIs" dxfId="1734" priority="1719" operator="lessThan">
      <formula>0</formula>
    </cfRule>
  </conditionalFormatting>
  <conditionalFormatting sqref="I34">
    <cfRule type="cellIs" dxfId="1733" priority="1718" operator="lessThan">
      <formula>0</formula>
    </cfRule>
  </conditionalFormatting>
  <conditionalFormatting sqref="I34">
    <cfRule type="cellIs" dxfId="1732" priority="1717" operator="lessThan">
      <formula>0</formula>
    </cfRule>
  </conditionalFormatting>
  <conditionalFormatting sqref="I34">
    <cfRule type="cellIs" dxfId="1731" priority="1716" operator="lessThan">
      <formula>0</formula>
    </cfRule>
  </conditionalFormatting>
  <conditionalFormatting sqref="I34">
    <cfRule type="cellIs" dxfId="1730" priority="1715" operator="lessThan">
      <formula>0</formula>
    </cfRule>
  </conditionalFormatting>
  <conditionalFormatting sqref="I34">
    <cfRule type="cellIs" dxfId="1729" priority="1714" operator="lessThan">
      <formula>0</formula>
    </cfRule>
  </conditionalFormatting>
  <conditionalFormatting sqref="I34">
    <cfRule type="cellIs" dxfId="1728" priority="1713" operator="lessThan">
      <formula>0</formula>
    </cfRule>
  </conditionalFormatting>
  <conditionalFormatting sqref="I34">
    <cfRule type="cellIs" dxfId="1727" priority="1712" operator="lessThan">
      <formula>0</formula>
    </cfRule>
  </conditionalFormatting>
  <conditionalFormatting sqref="I34">
    <cfRule type="cellIs" dxfId="1726" priority="1711" operator="lessThan">
      <formula>0</formula>
    </cfRule>
  </conditionalFormatting>
  <conditionalFormatting sqref="I34">
    <cfRule type="cellIs" dxfId="1725" priority="1710" operator="lessThan">
      <formula>0</formula>
    </cfRule>
  </conditionalFormatting>
  <conditionalFormatting sqref="I34">
    <cfRule type="cellIs" dxfId="1724" priority="1709" operator="lessThan">
      <formula>0</formula>
    </cfRule>
  </conditionalFormatting>
  <conditionalFormatting sqref="I34">
    <cfRule type="cellIs" dxfId="1723" priority="1708" operator="lessThan">
      <formula>0</formula>
    </cfRule>
  </conditionalFormatting>
  <conditionalFormatting sqref="I34">
    <cfRule type="cellIs" dxfId="1722" priority="1707" operator="lessThan">
      <formula>0</formula>
    </cfRule>
  </conditionalFormatting>
  <conditionalFormatting sqref="I34">
    <cfRule type="cellIs" dxfId="1721" priority="1706" operator="lessThan">
      <formula>0</formula>
    </cfRule>
  </conditionalFormatting>
  <conditionalFormatting sqref="I34">
    <cfRule type="cellIs" dxfId="1720" priority="1705" operator="lessThan">
      <formula>0</formula>
    </cfRule>
  </conditionalFormatting>
  <conditionalFormatting sqref="I34">
    <cfRule type="cellIs" dxfId="1719" priority="1704" operator="lessThan">
      <formula>0</formula>
    </cfRule>
  </conditionalFormatting>
  <conditionalFormatting sqref="I34">
    <cfRule type="cellIs" dxfId="1718" priority="1703" operator="lessThan">
      <formula>0</formula>
    </cfRule>
  </conditionalFormatting>
  <conditionalFormatting sqref="I34">
    <cfRule type="cellIs" dxfId="1717" priority="1702" operator="lessThan">
      <formula>0</formula>
    </cfRule>
  </conditionalFormatting>
  <conditionalFormatting sqref="I34">
    <cfRule type="cellIs" dxfId="1716" priority="1701" operator="lessThan">
      <formula>0</formula>
    </cfRule>
  </conditionalFormatting>
  <conditionalFormatting sqref="I34">
    <cfRule type="cellIs" dxfId="1715" priority="1700" operator="lessThan">
      <formula>0</formula>
    </cfRule>
  </conditionalFormatting>
  <conditionalFormatting sqref="I34">
    <cfRule type="cellIs" dxfId="1714" priority="1699" operator="lessThan">
      <formula>0</formula>
    </cfRule>
  </conditionalFormatting>
  <conditionalFormatting sqref="I34">
    <cfRule type="cellIs" dxfId="1713" priority="1698" operator="lessThan">
      <formula>0</formula>
    </cfRule>
  </conditionalFormatting>
  <conditionalFormatting sqref="I34">
    <cfRule type="cellIs" dxfId="1712" priority="1697" operator="lessThan">
      <formula>0</formula>
    </cfRule>
  </conditionalFormatting>
  <conditionalFormatting sqref="I34">
    <cfRule type="cellIs" dxfId="1711" priority="1696" operator="lessThan">
      <formula>0</formula>
    </cfRule>
  </conditionalFormatting>
  <conditionalFormatting sqref="I34">
    <cfRule type="cellIs" dxfId="1710" priority="1695" operator="lessThan">
      <formula>0</formula>
    </cfRule>
  </conditionalFormatting>
  <conditionalFormatting sqref="I34">
    <cfRule type="cellIs" dxfId="1709" priority="1694" operator="lessThan">
      <formula>0</formula>
    </cfRule>
  </conditionalFormatting>
  <conditionalFormatting sqref="I34">
    <cfRule type="cellIs" dxfId="1708" priority="1693" operator="lessThan">
      <formula>0</formula>
    </cfRule>
  </conditionalFormatting>
  <conditionalFormatting sqref="I34">
    <cfRule type="cellIs" dxfId="1707" priority="1692" operator="lessThan">
      <formula>0</formula>
    </cfRule>
  </conditionalFormatting>
  <conditionalFormatting sqref="I34">
    <cfRule type="cellIs" dxfId="1706" priority="1691" operator="lessThan">
      <formula>0</formula>
    </cfRule>
  </conditionalFormatting>
  <conditionalFormatting sqref="I34">
    <cfRule type="cellIs" dxfId="1705" priority="1690" operator="lessThan">
      <formula>0</formula>
    </cfRule>
  </conditionalFormatting>
  <conditionalFormatting sqref="I34">
    <cfRule type="cellIs" dxfId="1704" priority="1689" operator="lessThan">
      <formula>0</formula>
    </cfRule>
  </conditionalFormatting>
  <conditionalFormatting sqref="I34">
    <cfRule type="cellIs" dxfId="1703" priority="1688" operator="lessThan">
      <formula>0</formula>
    </cfRule>
  </conditionalFormatting>
  <conditionalFormatting sqref="I34">
    <cfRule type="cellIs" dxfId="1702" priority="1687" operator="lessThan">
      <formula>0</formula>
    </cfRule>
  </conditionalFormatting>
  <conditionalFormatting sqref="I34">
    <cfRule type="cellIs" dxfId="1701" priority="1686" operator="lessThan">
      <formula>0</formula>
    </cfRule>
  </conditionalFormatting>
  <conditionalFormatting sqref="I34">
    <cfRule type="cellIs" dxfId="1700" priority="1685" operator="lessThan">
      <formula>0</formula>
    </cfRule>
  </conditionalFormatting>
  <conditionalFormatting sqref="I34">
    <cfRule type="cellIs" dxfId="1699" priority="1684" operator="lessThan">
      <formula>0</formula>
    </cfRule>
  </conditionalFormatting>
  <conditionalFormatting sqref="I34">
    <cfRule type="cellIs" dxfId="1698" priority="1683" operator="lessThan">
      <formula>0</formula>
    </cfRule>
  </conditionalFormatting>
  <conditionalFormatting sqref="I34">
    <cfRule type="cellIs" dxfId="1697" priority="1682" operator="lessThan">
      <formula>0</formula>
    </cfRule>
  </conditionalFormatting>
  <conditionalFormatting sqref="I34">
    <cfRule type="cellIs" dxfId="1696" priority="1681" operator="lessThan">
      <formula>0</formula>
    </cfRule>
  </conditionalFormatting>
  <conditionalFormatting sqref="I34">
    <cfRule type="cellIs" dxfId="1695" priority="1680" operator="lessThan">
      <formula>0</formula>
    </cfRule>
  </conditionalFormatting>
  <conditionalFormatting sqref="I34">
    <cfRule type="cellIs" dxfId="1694" priority="1679" operator="lessThan">
      <formula>0</formula>
    </cfRule>
  </conditionalFormatting>
  <conditionalFormatting sqref="I34">
    <cfRule type="cellIs" dxfId="1693" priority="1678" operator="lessThan">
      <formula>0</formula>
    </cfRule>
  </conditionalFormatting>
  <conditionalFormatting sqref="I34">
    <cfRule type="cellIs" dxfId="1692" priority="1677" operator="lessThan">
      <formula>0</formula>
    </cfRule>
  </conditionalFormatting>
  <conditionalFormatting sqref="I34">
    <cfRule type="cellIs" dxfId="1691" priority="1676" operator="lessThan">
      <formula>0</formula>
    </cfRule>
  </conditionalFormatting>
  <conditionalFormatting sqref="I34">
    <cfRule type="cellIs" dxfId="1690" priority="1675" operator="lessThan">
      <formula>0</formula>
    </cfRule>
  </conditionalFormatting>
  <conditionalFormatting sqref="I34">
    <cfRule type="cellIs" dxfId="1689" priority="1674" operator="lessThan">
      <formula>0</formula>
    </cfRule>
  </conditionalFormatting>
  <conditionalFormatting sqref="I34">
    <cfRule type="cellIs" dxfId="1688" priority="1673" operator="lessThan">
      <formula>0</formula>
    </cfRule>
  </conditionalFormatting>
  <conditionalFormatting sqref="I34">
    <cfRule type="cellIs" dxfId="1687" priority="1672" operator="lessThan">
      <formula>0</formula>
    </cfRule>
  </conditionalFormatting>
  <conditionalFormatting sqref="I34">
    <cfRule type="cellIs" dxfId="1686" priority="1671" operator="lessThan">
      <formula>0</formula>
    </cfRule>
  </conditionalFormatting>
  <conditionalFormatting sqref="I34">
    <cfRule type="cellIs" dxfId="1685" priority="1670" operator="lessThan">
      <formula>0</formula>
    </cfRule>
  </conditionalFormatting>
  <conditionalFormatting sqref="I34">
    <cfRule type="cellIs" dxfId="1684" priority="1669" operator="lessThan">
      <formula>0</formula>
    </cfRule>
  </conditionalFormatting>
  <conditionalFormatting sqref="I34">
    <cfRule type="cellIs" dxfId="1683" priority="1668" operator="lessThan">
      <formula>0</formula>
    </cfRule>
  </conditionalFormatting>
  <conditionalFormatting sqref="I34">
    <cfRule type="cellIs" dxfId="1682" priority="1667" operator="lessThan">
      <formula>0</formula>
    </cfRule>
  </conditionalFormatting>
  <conditionalFormatting sqref="I34">
    <cfRule type="cellIs" dxfId="1681" priority="1666" operator="lessThan">
      <formula>0</formula>
    </cfRule>
  </conditionalFormatting>
  <conditionalFormatting sqref="I34">
    <cfRule type="cellIs" dxfId="1680" priority="1665" operator="lessThan">
      <formula>0</formula>
    </cfRule>
  </conditionalFormatting>
  <conditionalFormatting sqref="I34">
    <cfRule type="cellIs" dxfId="1679" priority="1664" operator="lessThan">
      <formula>0</formula>
    </cfRule>
  </conditionalFormatting>
  <conditionalFormatting sqref="I34">
    <cfRule type="cellIs" dxfId="1678" priority="1663" operator="lessThan">
      <formula>0</formula>
    </cfRule>
  </conditionalFormatting>
  <conditionalFormatting sqref="I34">
    <cfRule type="cellIs" dxfId="1677" priority="1662" operator="lessThan">
      <formula>0</formula>
    </cfRule>
  </conditionalFormatting>
  <conditionalFormatting sqref="I34">
    <cfRule type="cellIs" dxfId="1676" priority="1661" operator="lessThan">
      <formula>0</formula>
    </cfRule>
  </conditionalFormatting>
  <conditionalFormatting sqref="I34">
    <cfRule type="cellIs" dxfId="1675" priority="1660" operator="lessThan">
      <formula>0</formula>
    </cfRule>
  </conditionalFormatting>
  <conditionalFormatting sqref="I34">
    <cfRule type="cellIs" dxfId="1674" priority="1659" operator="lessThan">
      <formula>0</formula>
    </cfRule>
  </conditionalFormatting>
  <conditionalFormatting sqref="I34">
    <cfRule type="cellIs" dxfId="1673" priority="1658" operator="lessThan">
      <formula>0</formula>
    </cfRule>
  </conditionalFormatting>
  <conditionalFormatting sqref="I34">
    <cfRule type="cellIs" dxfId="1672" priority="1657" operator="lessThan">
      <formula>0</formula>
    </cfRule>
  </conditionalFormatting>
  <conditionalFormatting sqref="I34">
    <cfRule type="cellIs" dxfId="1671" priority="1656" operator="lessThan">
      <formula>0</formula>
    </cfRule>
  </conditionalFormatting>
  <conditionalFormatting sqref="I34">
    <cfRule type="cellIs" dxfId="1670" priority="1655" operator="lessThan">
      <formula>0</formula>
    </cfRule>
  </conditionalFormatting>
  <conditionalFormatting sqref="I34">
    <cfRule type="cellIs" dxfId="1669" priority="1654" operator="lessThan">
      <formula>0</formula>
    </cfRule>
  </conditionalFormatting>
  <conditionalFormatting sqref="I34">
    <cfRule type="cellIs" dxfId="1668" priority="1653" operator="lessThan">
      <formula>0</formula>
    </cfRule>
  </conditionalFormatting>
  <conditionalFormatting sqref="I34">
    <cfRule type="cellIs" dxfId="1667" priority="1652" operator="lessThan">
      <formula>0</formula>
    </cfRule>
  </conditionalFormatting>
  <conditionalFormatting sqref="I34">
    <cfRule type="cellIs" dxfId="1666" priority="1651" operator="lessThan">
      <formula>0</formula>
    </cfRule>
  </conditionalFormatting>
  <conditionalFormatting sqref="I34">
    <cfRule type="cellIs" dxfId="1665" priority="1650" operator="lessThan">
      <formula>0</formula>
    </cfRule>
  </conditionalFormatting>
  <conditionalFormatting sqref="I34">
    <cfRule type="cellIs" dxfId="1664" priority="1649" operator="lessThan">
      <formula>0</formula>
    </cfRule>
  </conditionalFormatting>
  <conditionalFormatting sqref="I34">
    <cfRule type="cellIs" dxfId="1663" priority="1648" operator="lessThan">
      <formula>0</formula>
    </cfRule>
  </conditionalFormatting>
  <conditionalFormatting sqref="I34">
    <cfRule type="cellIs" dxfId="1662" priority="1647" operator="lessThan">
      <formula>0</formula>
    </cfRule>
  </conditionalFormatting>
  <conditionalFormatting sqref="I34">
    <cfRule type="cellIs" dxfId="1661" priority="1646" operator="lessThan">
      <formula>0</formula>
    </cfRule>
  </conditionalFormatting>
  <conditionalFormatting sqref="I34">
    <cfRule type="cellIs" dxfId="1660" priority="1645" operator="lessThan">
      <formula>0</formula>
    </cfRule>
  </conditionalFormatting>
  <conditionalFormatting sqref="I34">
    <cfRule type="cellIs" dxfId="1659" priority="1644" operator="lessThan">
      <formula>0</formula>
    </cfRule>
  </conditionalFormatting>
  <conditionalFormatting sqref="I34">
    <cfRule type="cellIs" dxfId="1658" priority="1643" operator="lessThan">
      <formula>0</formula>
    </cfRule>
  </conditionalFormatting>
  <conditionalFormatting sqref="I34">
    <cfRule type="cellIs" dxfId="1657" priority="1642" operator="lessThan">
      <formula>0</formula>
    </cfRule>
  </conditionalFormatting>
  <conditionalFormatting sqref="I34">
    <cfRule type="cellIs" dxfId="1656" priority="1641" operator="lessThan">
      <formula>0</formula>
    </cfRule>
  </conditionalFormatting>
  <conditionalFormatting sqref="I34">
    <cfRule type="cellIs" dxfId="1655" priority="1640" operator="lessThan">
      <formula>0</formula>
    </cfRule>
  </conditionalFormatting>
  <conditionalFormatting sqref="I34">
    <cfRule type="cellIs" dxfId="1654" priority="1639" operator="lessThan">
      <formula>0</formula>
    </cfRule>
  </conditionalFormatting>
  <conditionalFormatting sqref="I34">
    <cfRule type="cellIs" dxfId="1653" priority="1638" operator="lessThan">
      <formula>0</formula>
    </cfRule>
  </conditionalFormatting>
  <conditionalFormatting sqref="I34">
    <cfRule type="cellIs" dxfId="1652" priority="1637" operator="lessThan">
      <formula>0</formula>
    </cfRule>
  </conditionalFormatting>
  <conditionalFormatting sqref="I34">
    <cfRule type="cellIs" dxfId="1651" priority="1636" operator="lessThan">
      <formula>0</formula>
    </cfRule>
  </conditionalFormatting>
  <conditionalFormatting sqref="I34">
    <cfRule type="cellIs" dxfId="1650" priority="1635" operator="lessThan">
      <formula>0</formula>
    </cfRule>
  </conditionalFormatting>
  <conditionalFormatting sqref="I34">
    <cfRule type="cellIs" dxfId="1649" priority="1634" operator="lessThan">
      <formula>0</formula>
    </cfRule>
  </conditionalFormatting>
  <conditionalFormatting sqref="I34">
    <cfRule type="cellIs" dxfId="1648" priority="1633" operator="lessThan">
      <formula>0</formula>
    </cfRule>
  </conditionalFormatting>
  <conditionalFormatting sqref="I34">
    <cfRule type="cellIs" dxfId="1647" priority="1632" operator="lessThan">
      <formula>0</formula>
    </cfRule>
  </conditionalFormatting>
  <conditionalFormatting sqref="I34">
    <cfRule type="cellIs" dxfId="1646" priority="1631" operator="lessThan">
      <formula>0</formula>
    </cfRule>
  </conditionalFormatting>
  <conditionalFormatting sqref="I34">
    <cfRule type="cellIs" dxfId="1645" priority="1630" operator="lessThan">
      <formula>0</formula>
    </cfRule>
  </conditionalFormatting>
  <conditionalFormatting sqref="I34">
    <cfRule type="cellIs" dxfId="1644" priority="1629" operator="lessThan">
      <formula>0</formula>
    </cfRule>
  </conditionalFormatting>
  <conditionalFormatting sqref="I34">
    <cfRule type="cellIs" dxfId="1643" priority="1628" operator="lessThan">
      <formula>0</formula>
    </cfRule>
  </conditionalFormatting>
  <conditionalFormatting sqref="I34">
    <cfRule type="cellIs" dxfId="1642" priority="1627" operator="lessThan">
      <formula>0</formula>
    </cfRule>
  </conditionalFormatting>
  <conditionalFormatting sqref="I34">
    <cfRule type="cellIs" dxfId="1641" priority="1626" operator="lessThan">
      <formula>0</formula>
    </cfRule>
  </conditionalFormatting>
  <conditionalFormatting sqref="I34">
    <cfRule type="cellIs" dxfId="1640" priority="1625" operator="lessThan">
      <formula>0</formula>
    </cfRule>
  </conditionalFormatting>
  <conditionalFormatting sqref="I34">
    <cfRule type="cellIs" dxfId="1639" priority="1624" operator="lessThan">
      <formula>0</formula>
    </cfRule>
  </conditionalFormatting>
  <conditionalFormatting sqref="I34">
    <cfRule type="cellIs" dxfId="1638" priority="1623" operator="lessThan">
      <formula>0</formula>
    </cfRule>
  </conditionalFormatting>
  <conditionalFormatting sqref="I34">
    <cfRule type="cellIs" dxfId="1637" priority="1622" operator="lessThan">
      <formula>0</formula>
    </cfRule>
  </conditionalFormatting>
  <conditionalFormatting sqref="I34">
    <cfRule type="cellIs" dxfId="1636" priority="1621" operator="lessThan">
      <formula>0</formula>
    </cfRule>
  </conditionalFormatting>
  <conditionalFormatting sqref="I34">
    <cfRule type="cellIs" dxfId="1635" priority="1620" operator="lessThan">
      <formula>0</formula>
    </cfRule>
  </conditionalFormatting>
  <conditionalFormatting sqref="I34">
    <cfRule type="cellIs" dxfId="1634" priority="1619" operator="lessThan">
      <formula>0</formula>
    </cfRule>
  </conditionalFormatting>
  <conditionalFormatting sqref="I34">
    <cfRule type="cellIs" dxfId="1633" priority="1618" operator="lessThan">
      <formula>0</formula>
    </cfRule>
  </conditionalFormatting>
  <conditionalFormatting sqref="I34">
    <cfRule type="cellIs" dxfId="1632" priority="1617" operator="lessThan">
      <formula>0</formula>
    </cfRule>
  </conditionalFormatting>
  <conditionalFormatting sqref="I34">
    <cfRule type="cellIs" dxfId="1631" priority="1616" operator="lessThan">
      <formula>0</formula>
    </cfRule>
  </conditionalFormatting>
  <conditionalFormatting sqref="I34">
    <cfRule type="cellIs" dxfId="1630" priority="1615" operator="lessThan">
      <formula>0</formula>
    </cfRule>
  </conditionalFormatting>
  <conditionalFormatting sqref="I34">
    <cfRule type="cellIs" dxfId="1629" priority="1614" operator="lessThan">
      <formula>0</formula>
    </cfRule>
  </conditionalFormatting>
  <conditionalFormatting sqref="I34">
    <cfRule type="cellIs" dxfId="1628" priority="1613" operator="lessThan">
      <formula>0</formula>
    </cfRule>
  </conditionalFormatting>
  <conditionalFormatting sqref="I34">
    <cfRule type="cellIs" dxfId="1627" priority="1612" operator="lessThan">
      <formula>0</formula>
    </cfRule>
  </conditionalFormatting>
  <conditionalFormatting sqref="I34">
    <cfRule type="cellIs" dxfId="1626" priority="1611" operator="lessThan">
      <formula>0</formula>
    </cfRule>
  </conditionalFormatting>
  <conditionalFormatting sqref="I34">
    <cfRule type="cellIs" dxfId="1625" priority="1610" operator="lessThan">
      <formula>0</formula>
    </cfRule>
  </conditionalFormatting>
  <conditionalFormatting sqref="I34">
    <cfRule type="cellIs" dxfId="1624" priority="1609" operator="lessThan">
      <formula>0</formula>
    </cfRule>
  </conditionalFormatting>
  <conditionalFormatting sqref="I34">
    <cfRule type="cellIs" dxfId="1623" priority="1608" operator="lessThan">
      <formula>0</formula>
    </cfRule>
  </conditionalFormatting>
  <conditionalFormatting sqref="I34">
    <cfRule type="cellIs" dxfId="1622" priority="1607" operator="lessThan">
      <formula>0</formula>
    </cfRule>
  </conditionalFormatting>
  <conditionalFormatting sqref="I34">
    <cfRule type="cellIs" dxfId="1621" priority="1606" operator="lessThan">
      <formula>0</formula>
    </cfRule>
  </conditionalFormatting>
  <conditionalFormatting sqref="I34">
    <cfRule type="cellIs" dxfId="1620" priority="1605" operator="lessThan">
      <formula>0</formula>
    </cfRule>
  </conditionalFormatting>
  <conditionalFormatting sqref="I34">
    <cfRule type="cellIs" dxfId="1619" priority="1604" operator="lessThan">
      <formula>0</formula>
    </cfRule>
  </conditionalFormatting>
  <conditionalFormatting sqref="I34">
    <cfRule type="cellIs" dxfId="1618" priority="1603" operator="lessThan">
      <formula>0</formula>
    </cfRule>
  </conditionalFormatting>
  <conditionalFormatting sqref="I34">
    <cfRule type="cellIs" dxfId="1617" priority="1602" operator="lessThan">
      <formula>0</formula>
    </cfRule>
  </conditionalFormatting>
  <conditionalFormatting sqref="I34">
    <cfRule type="cellIs" dxfId="1616" priority="1601" operator="lessThan">
      <formula>0</formula>
    </cfRule>
  </conditionalFormatting>
  <conditionalFormatting sqref="I34">
    <cfRule type="cellIs" dxfId="1615" priority="1600" operator="lessThan">
      <formula>0</formula>
    </cfRule>
  </conditionalFormatting>
  <conditionalFormatting sqref="I34">
    <cfRule type="cellIs" dxfId="1614" priority="1599" operator="lessThan">
      <formula>0</formula>
    </cfRule>
  </conditionalFormatting>
  <conditionalFormatting sqref="I34">
    <cfRule type="cellIs" dxfId="1613" priority="1598" operator="lessThan">
      <formula>0</formula>
    </cfRule>
  </conditionalFormatting>
  <conditionalFormatting sqref="I34">
    <cfRule type="cellIs" dxfId="1612" priority="1597" operator="lessThan">
      <formula>0</formula>
    </cfRule>
  </conditionalFormatting>
  <conditionalFormatting sqref="I34">
    <cfRule type="cellIs" dxfId="1611" priority="1596" operator="lessThan">
      <formula>0</formula>
    </cfRule>
  </conditionalFormatting>
  <conditionalFormatting sqref="I34">
    <cfRule type="cellIs" dxfId="1610" priority="1595" operator="lessThan">
      <formula>0</formula>
    </cfRule>
  </conditionalFormatting>
  <conditionalFormatting sqref="I34">
    <cfRule type="cellIs" dxfId="1609" priority="1594" operator="lessThan">
      <formula>0</formula>
    </cfRule>
  </conditionalFormatting>
  <conditionalFormatting sqref="I34">
    <cfRule type="cellIs" dxfId="1608" priority="1593" operator="lessThan">
      <formula>0</formula>
    </cfRule>
  </conditionalFormatting>
  <conditionalFormatting sqref="I34">
    <cfRule type="cellIs" dxfId="1607" priority="1592" operator="lessThan">
      <formula>0</formula>
    </cfRule>
  </conditionalFormatting>
  <conditionalFormatting sqref="I34">
    <cfRule type="cellIs" dxfId="1606" priority="1591" operator="lessThan">
      <formula>0</formula>
    </cfRule>
  </conditionalFormatting>
  <conditionalFormatting sqref="I34">
    <cfRule type="cellIs" dxfId="1605" priority="1590" operator="lessThan">
      <formula>0</formula>
    </cfRule>
  </conditionalFormatting>
  <conditionalFormatting sqref="I34">
    <cfRule type="cellIs" dxfId="1604" priority="1589" operator="lessThan">
      <formula>0</formula>
    </cfRule>
  </conditionalFormatting>
  <conditionalFormatting sqref="I34">
    <cfRule type="cellIs" dxfId="1603" priority="1588" operator="lessThan">
      <formula>0</formula>
    </cfRule>
  </conditionalFormatting>
  <conditionalFormatting sqref="I34">
    <cfRule type="cellIs" dxfId="1602" priority="1587" operator="lessThan">
      <formula>0</formula>
    </cfRule>
  </conditionalFormatting>
  <conditionalFormatting sqref="I34">
    <cfRule type="cellIs" dxfId="1601" priority="1586" operator="lessThan">
      <formula>0</formula>
    </cfRule>
  </conditionalFormatting>
  <conditionalFormatting sqref="I34">
    <cfRule type="cellIs" dxfId="1600" priority="1585" operator="lessThan">
      <formula>0</formula>
    </cfRule>
  </conditionalFormatting>
  <conditionalFormatting sqref="I34">
    <cfRule type="cellIs" dxfId="1599" priority="1584" operator="lessThan">
      <formula>0</formula>
    </cfRule>
  </conditionalFormatting>
  <conditionalFormatting sqref="I34">
    <cfRule type="cellIs" dxfId="1598" priority="1583" operator="lessThan">
      <formula>0</formula>
    </cfRule>
  </conditionalFormatting>
  <conditionalFormatting sqref="I34">
    <cfRule type="cellIs" dxfId="1597" priority="1582" operator="lessThan">
      <formula>0</formula>
    </cfRule>
  </conditionalFormatting>
  <conditionalFormatting sqref="I34">
    <cfRule type="cellIs" dxfId="1596" priority="1581" operator="lessThan">
      <formula>0</formula>
    </cfRule>
  </conditionalFormatting>
  <conditionalFormatting sqref="I34">
    <cfRule type="cellIs" dxfId="1595" priority="1580" operator="lessThan">
      <formula>0</formula>
    </cfRule>
  </conditionalFormatting>
  <conditionalFormatting sqref="I34">
    <cfRule type="cellIs" dxfId="1594" priority="1579" operator="lessThan">
      <formula>0</formula>
    </cfRule>
  </conditionalFormatting>
  <conditionalFormatting sqref="I34">
    <cfRule type="cellIs" dxfId="1593" priority="1578" operator="lessThan">
      <formula>0</formula>
    </cfRule>
  </conditionalFormatting>
  <conditionalFormatting sqref="I34">
    <cfRule type="cellIs" dxfId="1592" priority="1577" operator="lessThan">
      <formula>0</formula>
    </cfRule>
  </conditionalFormatting>
  <conditionalFormatting sqref="I34">
    <cfRule type="cellIs" dxfId="1591" priority="1576" operator="lessThan">
      <formula>0</formula>
    </cfRule>
  </conditionalFormatting>
  <conditionalFormatting sqref="I34">
    <cfRule type="cellIs" dxfId="1590" priority="1575" operator="lessThan">
      <formula>0</formula>
    </cfRule>
  </conditionalFormatting>
  <conditionalFormatting sqref="I34">
    <cfRule type="cellIs" dxfId="1589" priority="1574" operator="lessThan">
      <formula>0</formula>
    </cfRule>
  </conditionalFormatting>
  <conditionalFormatting sqref="I34">
    <cfRule type="cellIs" dxfId="1588" priority="1573" operator="lessThan">
      <formula>0</formula>
    </cfRule>
  </conditionalFormatting>
  <conditionalFormatting sqref="I34">
    <cfRule type="cellIs" dxfId="1587" priority="1572" operator="lessThan">
      <formula>0</formula>
    </cfRule>
  </conditionalFormatting>
  <conditionalFormatting sqref="I34">
    <cfRule type="cellIs" dxfId="1586" priority="1571" operator="lessThan">
      <formula>0</formula>
    </cfRule>
  </conditionalFormatting>
  <conditionalFormatting sqref="I34">
    <cfRule type="cellIs" dxfId="1585" priority="1570" operator="lessThan">
      <formula>0</formula>
    </cfRule>
  </conditionalFormatting>
  <conditionalFormatting sqref="I34">
    <cfRule type="cellIs" dxfId="1584" priority="1569" operator="lessThan">
      <formula>0</formula>
    </cfRule>
  </conditionalFormatting>
  <conditionalFormatting sqref="I34">
    <cfRule type="cellIs" dxfId="1583" priority="1568" operator="lessThan">
      <formula>0</formula>
    </cfRule>
  </conditionalFormatting>
  <conditionalFormatting sqref="I34">
    <cfRule type="cellIs" dxfId="1582" priority="1567" operator="lessThan">
      <formula>0</formula>
    </cfRule>
  </conditionalFormatting>
  <conditionalFormatting sqref="I34">
    <cfRule type="cellIs" dxfId="1581" priority="1566" operator="lessThan">
      <formula>0</formula>
    </cfRule>
  </conditionalFormatting>
  <conditionalFormatting sqref="I34">
    <cfRule type="cellIs" dxfId="1580" priority="1565" operator="lessThan">
      <formula>0</formula>
    </cfRule>
  </conditionalFormatting>
  <conditionalFormatting sqref="I34">
    <cfRule type="cellIs" dxfId="1579" priority="1564" operator="lessThan">
      <formula>0</formula>
    </cfRule>
  </conditionalFormatting>
  <conditionalFormatting sqref="I34">
    <cfRule type="cellIs" dxfId="1578" priority="1563" operator="lessThan">
      <formula>0</formula>
    </cfRule>
  </conditionalFormatting>
  <conditionalFormatting sqref="I34">
    <cfRule type="cellIs" dxfId="1577" priority="1562" operator="lessThan">
      <formula>0</formula>
    </cfRule>
  </conditionalFormatting>
  <conditionalFormatting sqref="I34">
    <cfRule type="cellIs" dxfId="1576" priority="1561" operator="lessThan">
      <formula>0</formula>
    </cfRule>
  </conditionalFormatting>
  <conditionalFormatting sqref="I34">
    <cfRule type="cellIs" dxfId="1575" priority="1560" operator="lessThan">
      <formula>0</formula>
    </cfRule>
  </conditionalFormatting>
  <conditionalFormatting sqref="I34">
    <cfRule type="cellIs" dxfId="1574" priority="1559" operator="lessThan">
      <formula>0</formula>
    </cfRule>
  </conditionalFormatting>
  <conditionalFormatting sqref="I34">
    <cfRule type="cellIs" dxfId="1573" priority="1558" operator="lessThan">
      <formula>0</formula>
    </cfRule>
  </conditionalFormatting>
  <conditionalFormatting sqref="I34">
    <cfRule type="cellIs" dxfId="1572" priority="1557" operator="lessThan">
      <formula>0</formula>
    </cfRule>
  </conditionalFormatting>
  <conditionalFormatting sqref="I34">
    <cfRule type="cellIs" dxfId="1571" priority="1556" operator="lessThan">
      <formula>0</formula>
    </cfRule>
  </conditionalFormatting>
  <conditionalFormatting sqref="I34">
    <cfRule type="cellIs" dxfId="1570" priority="1555" operator="lessThan">
      <formula>0</formula>
    </cfRule>
  </conditionalFormatting>
  <conditionalFormatting sqref="I34">
    <cfRule type="cellIs" dxfId="1569" priority="1554" operator="lessThan">
      <formula>0</formula>
    </cfRule>
  </conditionalFormatting>
  <conditionalFormatting sqref="I34">
    <cfRule type="cellIs" dxfId="1568" priority="1553" operator="lessThan">
      <formula>0</formula>
    </cfRule>
  </conditionalFormatting>
  <conditionalFormatting sqref="I34">
    <cfRule type="cellIs" dxfId="1567" priority="1552" operator="lessThan">
      <formula>0</formula>
    </cfRule>
  </conditionalFormatting>
  <conditionalFormatting sqref="I34">
    <cfRule type="cellIs" dxfId="1566" priority="1551" operator="lessThan">
      <formula>0</formula>
    </cfRule>
  </conditionalFormatting>
  <conditionalFormatting sqref="I34">
    <cfRule type="cellIs" dxfId="1565" priority="1550" operator="lessThan">
      <formula>0</formula>
    </cfRule>
  </conditionalFormatting>
  <conditionalFormatting sqref="I34">
    <cfRule type="cellIs" dxfId="1564" priority="1549" operator="lessThan">
      <formula>0</formula>
    </cfRule>
  </conditionalFormatting>
  <conditionalFormatting sqref="I34">
    <cfRule type="cellIs" dxfId="1563" priority="1548" operator="lessThan">
      <formula>0</formula>
    </cfRule>
  </conditionalFormatting>
  <conditionalFormatting sqref="I34">
    <cfRule type="cellIs" dxfId="1562" priority="1547" operator="lessThan">
      <formula>0</formula>
    </cfRule>
  </conditionalFormatting>
  <conditionalFormatting sqref="I34">
    <cfRule type="cellIs" dxfId="1561" priority="1546" operator="lessThan">
      <formula>0</formula>
    </cfRule>
  </conditionalFormatting>
  <conditionalFormatting sqref="I34">
    <cfRule type="cellIs" dxfId="1560" priority="1545" operator="lessThan">
      <formula>0</formula>
    </cfRule>
  </conditionalFormatting>
  <conditionalFormatting sqref="I34">
    <cfRule type="cellIs" dxfId="1559" priority="1544" operator="lessThan">
      <formula>0</formula>
    </cfRule>
  </conditionalFormatting>
  <conditionalFormatting sqref="I34">
    <cfRule type="cellIs" dxfId="1558" priority="1543" operator="lessThan">
      <formula>0</formula>
    </cfRule>
  </conditionalFormatting>
  <conditionalFormatting sqref="I34">
    <cfRule type="cellIs" dxfId="1557" priority="1542" operator="lessThan">
      <formula>0</formula>
    </cfRule>
  </conditionalFormatting>
  <conditionalFormatting sqref="I34">
    <cfRule type="cellIs" dxfId="1556" priority="1541" operator="lessThan">
      <formula>0</formula>
    </cfRule>
  </conditionalFormatting>
  <conditionalFormatting sqref="I34">
    <cfRule type="cellIs" dxfId="1555" priority="1540" operator="lessThan">
      <formula>0</formula>
    </cfRule>
  </conditionalFormatting>
  <conditionalFormatting sqref="I34">
    <cfRule type="cellIs" dxfId="1554" priority="1539" operator="lessThan">
      <formula>0</formula>
    </cfRule>
  </conditionalFormatting>
  <conditionalFormatting sqref="I34">
    <cfRule type="cellIs" dxfId="1553" priority="1538" operator="lessThan">
      <formula>0</formula>
    </cfRule>
  </conditionalFormatting>
  <conditionalFormatting sqref="I34">
    <cfRule type="cellIs" dxfId="1552" priority="1537" operator="lessThan">
      <formula>0</formula>
    </cfRule>
  </conditionalFormatting>
  <conditionalFormatting sqref="I34">
    <cfRule type="cellIs" dxfId="1551" priority="1536" operator="lessThan">
      <formula>0</formula>
    </cfRule>
  </conditionalFormatting>
  <conditionalFormatting sqref="I34">
    <cfRule type="cellIs" dxfId="1550" priority="1535" operator="lessThan">
      <formula>0</formula>
    </cfRule>
  </conditionalFormatting>
  <conditionalFormatting sqref="I34">
    <cfRule type="cellIs" dxfId="1549" priority="1534" operator="lessThan">
      <formula>0</formula>
    </cfRule>
  </conditionalFormatting>
  <conditionalFormatting sqref="I34">
    <cfRule type="cellIs" dxfId="1548" priority="1533" operator="lessThan">
      <formula>0</formula>
    </cfRule>
  </conditionalFormatting>
  <conditionalFormatting sqref="I34">
    <cfRule type="cellIs" dxfId="1547" priority="1532" operator="lessThan">
      <formula>0</formula>
    </cfRule>
  </conditionalFormatting>
  <conditionalFormatting sqref="I34">
    <cfRule type="cellIs" dxfId="1546" priority="1531" operator="lessThan">
      <formula>0</formula>
    </cfRule>
  </conditionalFormatting>
  <conditionalFormatting sqref="I34">
    <cfRule type="cellIs" dxfId="1545" priority="1530" operator="lessThan">
      <formula>0</formula>
    </cfRule>
  </conditionalFormatting>
  <conditionalFormatting sqref="I34">
    <cfRule type="cellIs" dxfId="1544" priority="1529" operator="lessThan">
      <formula>0</formula>
    </cfRule>
  </conditionalFormatting>
  <conditionalFormatting sqref="I34">
    <cfRule type="cellIs" dxfId="1543" priority="1528" operator="lessThan">
      <formula>0</formula>
    </cfRule>
  </conditionalFormatting>
  <conditionalFormatting sqref="I34">
    <cfRule type="cellIs" dxfId="1542" priority="1527" operator="lessThan">
      <formula>0</formula>
    </cfRule>
  </conditionalFormatting>
  <conditionalFormatting sqref="I34">
    <cfRule type="cellIs" dxfId="1541" priority="1526" operator="lessThan">
      <formula>0</formula>
    </cfRule>
  </conditionalFormatting>
  <conditionalFormatting sqref="I34">
    <cfRule type="cellIs" dxfId="1540" priority="1525" operator="lessThan">
      <formula>0</formula>
    </cfRule>
  </conditionalFormatting>
  <conditionalFormatting sqref="I34">
    <cfRule type="cellIs" dxfId="1539" priority="1524" operator="lessThan">
      <formula>0</formula>
    </cfRule>
  </conditionalFormatting>
  <conditionalFormatting sqref="I34">
    <cfRule type="cellIs" dxfId="1538" priority="1523" operator="lessThan">
      <formula>0</formula>
    </cfRule>
  </conditionalFormatting>
  <conditionalFormatting sqref="I34">
    <cfRule type="cellIs" dxfId="1537" priority="1522" operator="lessThan">
      <formula>0</formula>
    </cfRule>
  </conditionalFormatting>
  <conditionalFormatting sqref="I34">
    <cfRule type="cellIs" dxfId="1536" priority="1521" operator="lessThan">
      <formula>0</formula>
    </cfRule>
  </conditionalFormatting>
  <conditionalFormatting sqref="I34">
    <cfRule type="cellIs" dxfId="1535" priority="1520" operator="lessThan">
      <formula>0</formula>
    </cfRule>
  </conditionalFormatting>
  <conditionalFormatting sqref="I34">
    <cfRule type="cellIs" dxfId="1534" priority="1519" operator="lessThan">
      <formula>0</formula>
    </cfRule>
  </conditionalFormatting>
  <conditionalFormatting sqref="I34">
    <cfRule type="cellIs" dxfId="1533" priority="1518" operator="lessThan">
      <formula>0</formula>
    </cfRule>
  </conditionalFormatting>
  <conditionalFormatting sqref="I34">
    <cfRule type="cellIs" dxfId="1532" priority="1517" operator="lessThan">
      <formula>0</formula>
    </cfRule>
  </conditionalFormatting>
  <conditionalFormatting sqref="I34">
    <cfRule type="cellIs" dxfId="1531" priority="1516" operator="lessThan">
      <formula>0</formula>
    </cfRule>
  </conditionalFormatting>
  <conditionalFormatting sqref="I34">
    <cfRule type="cellIs" dxfId="1530" priority="1515" operator="lessThan">
      <formula>0</formula>
    </cfRule>
  </conditionalFormatting>
  <conditionalFormatting sqref="I34">
    <cfRule type="cellIs" dxfId="1529" priority="1514" operator="lessThan">
      <formula>0</formula>
    </cfRule>
  </conditionalFormatting>
  <conditionalFormatting sqref="I34">
    <cfRule type="cellIs" dxfId="1528" priority="1513" operator="lessThan">
      <formula>0</formula>
    </cfRule>
  </conditionalFormatting>
  <conditionalFormatting sqref="I34">
    <cfRule type="cellIs" dxfId="1527" priority="1512" operator="lessThan">
      <formula>0</formula>
    </cfRule>
  </conditionalFormatting>
  <conditionalFormatting sqref="I34">
    <cfRule type="cellIs" dxfId="1526" priority="1511" operator="lessThan">
      <formula>0</formula>
    </cfRule>
  </conditionalFormatting>
  <conditionalFormatting sqref="I34">
    <cfRule type="cellIs" dxfId="1525" priority="1510" operator="lessThan">
      <formula>0</formula>
    </cfRule>
  </conditionalFormatting>
  <conditionalFormatting sqref="I34">
    <cfRule type="cellIs" dxfId="1524" priority="1509" operator="lessThan">
      <formula>0</formula>
    </cfRule>
  </conditionalFormatting>
  <conditionalFormatting sqref="I34">
    <cfRule type="cellIs" dxfId="1523" priority="1508" operator="lessThan">
      <formula>0</formula>
    </cfRule>
  </conditionalFormatting>
  <conditionalFormatting sqref="I34">
    <cfRule type="cellIs" dxfId="1522" priority="1507" operator="lessThan">
      <formula>0</formula>
    </cfRule>
  </conditionalFormatting>
  <conditionalFormatting sqref="I34">
    <cfRule type="cellIs" dxfId="1521" priority="1506" operator="lessThan">
      <formula>0</formula>
    </cfRule>
  </conditionalFormatting>
  <conditionalFormatting sqref="I34">
    <cfRule type="cellIs" dxfId="1520" priority="1505" operator="lessThan">
      <formula>0</formula>
    </cfRule>
  </conditionalFormatting>
  <conditionalFormatting sqref="I34">
    <cfRule type="cellIs" dxfId="1519" priority="1504" operator="lessThan">
      <formula>0</formula>
    </cfRule>
  </conditionalFormatting>
  <conditionalFormatting sqref="I34">
    <cfRule type="cellIs" dxfId="1518" priority="1503" operator="lessThan">
      <formula>0</formula>
    </cfRule>
  </conditionalFormatting>
  <conditionalFormatting sqref="I34">
    <cfRule type="cellIs" dxfId="1517" priority="1502" operator="lessThan">
      <formula>0</formula>
    </cfRule>
  </conditionalFormatting>
  <conditionalFormatting sqref="I34">
    <cfRule type="cellIs" dxfId="1516" priority="1501" operator="lessThan">
      <formula>0</formula>
    </cfRule>
  </conditionalFormatting>
  <conditionalFormatting sqref="I34">
    <cfRule type="cellIs" dxfId="1515" priority="1500" operator="lessThan">
      <formula>0</formula>
    </cfRule>
  </conditionalFormatting>
  <conditionalFormatting sqref="I34">
    <cfRule type="cellIs" dxfId="1514" priority="1499" operator="lessThan">
      <formula>0</formula>
    </cfRule>
  </conditionalFormatting>
  <conditionalFormatting sqref="I34">
    <cfRule type="cellIs" dxfId="1513" priority="1498" operator="lessThan">
      <formula>0</formula>
    </cfRule>
  </conditionalFormatting>
  <conditionalFormatting sqref="I34">
    <cfRule type="cellIs" dxfId="1512" priority="1497" operator="lessThan">
      <formula>0</formula>
    </cfRule>
  </conditionalFormatting>
  <conditionalFormatting sqref="I34">
    <cfRule type="cellIs" dxfId="1511" priority="1496" operator="lessThan">
      <formula>0</formula>
    </cfRule>
  </conditionalFormatting>
  <conditionalFormatting sqref="I34">
    <cfRule type="cellIs" dxfId="1510" priority="1495" operator="lessThan">
      <formula>0</formula>
    </cfRule>
  </conditionalFormatting>
  <conditionalFormatting sqref="I34">
    <cfRule type="cellIs" dxfId="1509" priority="1494" operator="lessThan">
      <formula>0</formula>
    </cfRule>
  </conditionalFormatting>
  <conditionalFormatting sqref="I34">
    <cfRule type="cellIs" dxfId="1508" priority="1493" operator="lessThan">
      <formula>0</formula>
    </cfRule>
  </conditionalFormatting>
  <conditionalFormatting sqref="I34">
    <cfRule type="cellIs" dxfId="1507" priority="1492" operator="lessThan">
      <formula>0</formula>
    </cfRule>
  </conditionalFormatting>
  <conditionalFormatting sqref="I34">
    <cfRule type="cellIs" dxfId="1506" priority="1491" operator="lessThan">
      <formula>0</formula>
    </cfRule>
  </conditionalFormatting>
  <conditionalFormatting sqref="I34">
    <cfRule type="cellIs" dxfId="1505" priority="1490" operator="lessThan">
      <formula>0</formula>
    </cfRule>
  </conditionalFormatting>
  <conditionalFormatting sqref="I34">
    <cfRule type="cellIs" dxfId="1504" priority="1489" operator="lessThan">
      <formula>0</formula>
    </cfRule>
  </conditionalFormatting>
  <conditionalFormatting sqref="I34">
    <cfRule type="cellIs" dxfId="1503" priority="1488" operator="lessThan">
      <formula>0</formula>
    </cfRule>
  </conditionalFormatting>
  <conditionalFormatting sqref="I34">
    <cfRule type="cellIs" dxfId="1502" priority="1487" operator="lessThan">
      <formula>0</formula>
    </cfRule>
  </conditionalFormatting>
  <conditionalFormatting sqref="I34">
    <cfRule type="cellIs" dxfId="1501" priority="1486" operator="lessThan">
      <formula>0</formula>
    </cfRule>
  </conditionalFormatting>
  <conditionalFormatting sqref="I34">
    <cfRule type="cellIs" dxfId="1500" priority="1485" operator="lessThan">
      <formula>0</formula>
    </cfRule>
  </conditionalFormatting>
  <conditionalFormatting sqref="I34">
    <cfRule type="cellIs" dxfId="1499" priority="1484" operator="lessThan">
      <formula>0</formula>
    </cfRule>
  </conditionalFormatting>
  <conditionalFormatting sqref="I34">
    <cfRule type="cellIs" dxfId="1498" priority="1483" operator="lessThan">
      <formula>0</formula>
    </cfRule>
  </conditionalFormatting>
  <conditionalFormatting sqref="I34">
    <cfRule type="cellIs" dxfId="1497" priority="1482" operator="lessThan">
      <formula>0</formula>
    </cfRule>
  </conditionalFormatting>
  <conditionalFormatting sqref="I34">
    <cfRule type="cellIs" dxfId="1496" priority="1481" operator="lessThan">
      <formula>0</formula>
    </cfRule>
  </conditionalFormatting>
  <conditionalFormatting sqref="I34">
    <cfRule type="cellIs" dxfId="1495" priority="1480" operator="lessThan">
      <formula>0</formula>
    </cfRule>
  </conditionalFormatting>
  <conditionalFormatting sqref="I34">
    <cfRule type="cellIs" dxfId="1494" priority="1479" operator="lessThan">
      <formula>0</formula>
    </cfRule>
  </conditionalFormatting>
  <conditionalFormatting sqref="I34">
    <cfRule type="cellIs" dxfId="1493" priority="1478" operator="lessThan">
      <formula>0</formula>
    </cfRule>
  </conditionalFormatting>
  <conditionalFormatting sqref="I34">
    <cfRule type="cellIs" dxfId="1492" priority="1477" operator="lessThan">
      <formula>0</formula>
    </cfRule>
  </conditionalFormatting>
  <conditionalFormatting sqref="I34">
    <cfRule type="cellIs" dxfId="1491" priority="1476" operator="lessThan">
      <formula>0</formula>
    </cfRule>
  </conditionalFormatting>
  <conditionalFormatting sqref="I34">
    <cfRule type="cellIs" dxfId="1490" priority="1475" operator="lessThan">
      <formula>0</formula>
    </cfRule>
  </conditionalFormatting>
  <conditionalFormatting sqref="I34">
    <cfRule type="cellIs" dxfId="1489" priority="1474" operator="lessThan">
      <formula>0</formula>
    </cfRule>
  </conditionalFormatting>
  <conditionalFormatting sqref="I34">
    <cfRule type="cellIs" dxfId="1488" priority="1473" operator="lessThan">
      <formula>0</formula>
    </cfRule>
  </conditionalFormatting>
  <conditionalFormatting sqref="I34">
    <cfRule type="cellIs" dxfId="1487" priority="1472" operator="lessThan">
      <formula>0</formula>
    </cfRule>
  </conditionalFormatting>
  <conditionalFormatting sqref="I34">
    <cfRule type="cellIs" dxfId="1486" priority="1471" operator="lessThan">
      <formula>0</formula>
    </cfRule>
  </conditionalFormatting>
  <conditionalFormatting sqref="I34">
    <cfRule type="cellIs" dxfId="1485" priority="1470" operator="lessThan">
      <formula>0</formula>
    </cfRule>
  </conditionalFormatting>
  <conditionalFormatting sqref="I34">
    <cfRule type="cellIs" dxfId="1484" priority="1469" operator="lessThan">
      <formula>0</formula>
    </cfRule>
  </conditionalFormatting>
  <conditionalFormatting sqref="I34">
    <cfRule type="cellIs" dxfId="1483" priority="1468" operator="lessThan">
      <formula>0</formula>
    </cfRule>
  </conditionalFormatting>
  <conditionalFormatting sqref="I34">
    <cfRule type="cellIs" dxfId="1482" priority="1467" operator="lessThan">
      <formula>0</formula>
    </cfRule>
  </conditionalFormatting>
  <conditionalFormatting sqref="I34">
    <cfRule type="cellIs" dxfId="1481" priority="1466" operator="lessThan">
      <formula>0</formula>
    </cfRule>
  </conditionalFormatting>
  <conditionalFormatting sqref="I34">
    <cfRule type="cellIs" dxfId="1480" priority="1465" operator="lessThan">
      <formula>0</formula>
    </cfRule>
  </conditionalFormatting>
  <conditionalFormatting sqref="I34">
    <cfRule type="cellIs" dxfId="1479" priority="1464" operator="lessThan">
      <formula>0</formula>
    </cfRule>
  </conditionalFormatting>
  <conditionalFormatting sqref="I34">
    <cfRule type="cellIs" dxfId="1478" priority="1463" operator="lessThan">
      <formula>0</formula>
    </cfRule>
  </conditionalFormatting>
  <conditionalFormatting sqref="I34">
    <cfRule type="cellIs" dxfId="1477" priority="1462" operator="lessThan">
      <formula>0</formula>
    </cfRule>
  </conditionalFormatting>
  <conditionalFormatting sqref="I34">
    <cfRule type="cellIs" dxfId="1476" priority="1461" operator="lessThan">
      <formula>0</formula>
    </cfRule>
  </conditionalFormatting>
  <conditionalFormatting sqref="I34">
    <cfRule type="cellIs" dxfId="1475" priority="1460" operator="lessThan">
      <formula>0</formula>
    </cfRule>
  </conditionalFormatting>
  <conditionalFormatting sqref="I34">
    <cfRule type="cellIs" dxfId="1474" priority="1459" operator="lessThan">
      <formula>0</formula>
    </cfRule>
  </conditionalFormatting>
  <conditionalFormatting sqref="I34">
    <cfRule type="cellIs" dxfId="1473" priority="1458" operator="lessThan">
      <formula>0</formula>
    </cfRule>
  </conditionalFormatting>
  <conditionalFormatting sqref="I34">
    <cfRule type="cellIs" dxfId="1472" priority="1457" operator="lessThan">
      <formula>0</formula>
    </cfRule>
  </conditionalFormatting>
  <conditionalFormatting sqref="I34">
    <cfRule type="cellIs" dxfId="1471" priority="1456" operator="lessThan">
      <formula>0</formula>
    </cfRule>
  </conditionalFormatting>
  <conditionalFormatting sqref="I34">
    <cfRule type="cellIs" dxfId="1470" priority="1455" operator="lessThan">
      <formula>0</formula>
    </cfRule>
  </conditionalFormatting>
  <conditionalFormatting sqref="I34">
    <cfRule type="cellIs" dxfId="1469" priority="1454" operator="lessThan">
      <formula>0</formula>
    </cfRule>
  </conditionalFormatting>
  <conditionalFormatting sqref="I34">
    <cfRule type="cellIs" dxfId="1468" priority="1453" operator="lessThan">
      <formula>0</formula>
    </cfRule>
  </conditionalFormatting>
  <conditionalFormatting sqref="I34">
    <cfRule type="cellIs" dxfId="1467" priority="1452" operator="lessThan">
      <formula>0</formula>
    </cfRule>
  </conditionalFormatting>
  <conditionalFormatting sqref="I34">
    <cfRule type="cellIs" dxfId="1466" priority="1451" operator="lessThan">
      <formula>0</formula>
    </cfRule>
  </conditionalFormatting>
  <conditionalFormatting sqref="I34">
    <cfRule type="cellIs" dxfId="1465" priority="1450" operator="lessThan">
      <formula>0</formula>
    </cfRule>
  </conditionalFormatting>
  <conditionalFormatting sqref="I34">
    <cfRule type="cellIs" dxfId="1464" priority="1449" operator="lessThan">
      <formula>0</formula>
    </cfRule>
  </conditionalFormatting>
  <conditionalFormatting sqref="I34">
    <cfRule type="cellIs" dxfId="1463" priority="1448" operator="lessThan">
      <formula>0</formula>
    </cfRule>
  </conditionalFormatting>
  <conditionalFormatting sqref="I34">
    <cfRule type="cellIs" dxfId="1462" priority="1447" operator="lessThan">
      <formula>0</formula>
    </cfRule>
  </conditionalFormatting>
  <conditionalFormatting sqref="I34">
    <cfRule type="cellIs" dxfId="1461" priority="1446" operator="lessThan">
      <formula>0</formula>
    </cfRule>
  </conditionalFormatting>
  <conditionalFormatting sqref="I34">
    <cfRule type="cellIs" dxfId="1460" priority="1445" operator="lessThan">
      <formula>0</formula>
    </cfRule>
  </conditionalFormatting>
  <conditionalFormatting sqref="I34">
    <cfRule type="cellIs" dxfId="1459" priority="1444" operator="lessThan">
      <formula>0</formula>
    </cfRule>
  </conditionalFormatting>
  <conditionalFormatting sqref="I34">
    <cfRule type="cellIs" dxfId="1458" priority="1443" operator="lessThan">
      <formula>0</formula>
    </cfRule>
  </conditionalFormatting>
  <conditionalFormatting sqref="I34">
    <cfRule type="cellIs" dxfId="1457" priority="1442" operator="lessThan">
      <formula>0</formula>
    </cfRule>
  </conditionalFormatting>
  <conditionalFormatting sqref="I34">
    <cfRule type="cellIs" dxfId="1456" priority="1441" operator="lessThan">
      <formula>0</formula>
    </cfRule>
  </conditionalFormatting>
  <conditionalFormatting sqref="I34">
    <cfRule type="cellIs" dxfId="1455" priority="1440" operator="lessThan">
      <formula>0</formula>
    </cfRule>
  </conditionalFormatting>
  <conditionalFormatting sqref="I34">
    <cfRule type="cellIs" dxfId="1454" priority="1439" operator="lessThan">
      <formula>0</formula>
    </cfRule>
  </conditionalFormatting>
  <conditionalFormatting sqref="I34">
    <cfRule type="cellIs" dxfId="1453" priority="1438" operator="lessThan">
      <formula>0</formula>
    </cfRule>
  </conditionalFormatting>
  <conditionalFormatting sqref="I34">
    <cfRule type="cellIs" dxfId="1452" priority="1437" operator="lessThan">
      <formula>0</formula>
    </cfRule>
  </conditionalFormatting>
  <conditionalFormatting sqref="I34">
    <cfRule type="cellIs" dxfId="1451" priority="1436" operator="lessThan">
      <formula>0</formula>
    </cfRule>
  </conditionalFormatting>
  <conditionalFormatting sqref="I34">
    <cfRule type="cellIs" dxfId="1450" priority="1435" operator="lessThan">
      <formula>0</formula>
    </cfRule>
  </conditionalFormatting>
  <conditionalFormatting sqref="I34">
    <cfRule type="cellIs" dxfId="1449" priority="1434" operator="lessThan">
      <formula>0</formula>
    </cfRule>
  </conditionalFormatting>
  <conditionalFormatting sqref="I34">
    <cfRule type="cellIs" dxfId="1448" priority="1433" operator="lessThan">
      <formula>0</formula>
    </cfRule>
  </conditionalFormatting>
  <conditionalFormatting sqref="I34">
    <cfRule type="cellIs" dxfId="1447" priority="1432" operator="lessThan">
      <formula>0</formula>
    </cfRule>
  </conditionalFormatting>
  <conditionalFormatting sqref="I34">
    <cfRule type="cellIs" dxfId="1446" priority="1431" operator="lessThan">
      <formula>0</formula>
    </cfRule>
  </conditionalFormatting>
  <conditionalFormatting sqref="I34">
    <cfRule type="cellIs" dxfId="1445" priority="1430" operator="lessThan">
      <formula>0</formula>
    </cfRule>
  </conditionalFormatting>
  <conditionalFormatting sqref="I34">
    <cfRule type="cellIs" dxfId="1444" priority="1429" operator="lessThan">
      <formula>0</formula>
    </cfRule>
  </conditionalFormatting>
  <conditionalFormatting sqref="I34">
    <cfRule type="cellIs" dxfId="1443" priority="1428" operator="lessThan">
      <formula>0</formula>
    </cfRule>
  </conditionalFormatting>
  <conditionalFormatting sqref="I34">
    <cfRule type="cellIs" dxfId="1442" priority="1427" operator="lessThan">
      <formula>0</formula>
    </cfRule>
  </conditionalFormatting>
  <conditionalFormatting sqref="I34">
    <cfRule type="cellIs" dxfId="1441" priority="1426" operator="lessThan">
      <formula>0</formula>
    </cfRule>
  </conditionalFormatting>
  <conditionalFormatting sqref="I34">
    <cfRule type="cellIs" dxfId="1440" priority="1425" operator="lessThan">
      <formula>0</formula>
    </cfRule>
  </conditionalFormatting>
  <conditionalFormatting sqref="I34">
    <cfRule type="cellIs" dxfId="1439" priority="1424" operator="lessThan">
      <formula>0</formula>
    </cfRule>
  </conditionalFormatting>
  <conditionalFormatting sqref="I34">
    <cfRule type="cellIs" dxfId="1438" priority="1423" operator="lessThan">
      <formula>0</formula>
    </cfRule>
  </conditionalFormatting>
  <conditionalFormatting sqref="I34">
    <cfRule type="cellIs" dxfId="1437" priority="1422" operator="lessThan">
      <formula>0</formula>
    </cfRule>
  </conditionalFormatting>
  <conditionalFormatting sqref="I34">
    <cfRule type="cellIs" dxfId="1436" priority="1421" operator="lessThan">
      <formula>0</formula>
    </cfRule>
  </conditionalFormatting>
  <conditionalFormatting sqref="I34">
    <cfRule type="cellIs" dxfId="1435" priority="1420" operator="lessThan">
      <formula>0</formula>
    </cfRule>
  </conditionalFormatting>
  <conditionalFormatting sqref="I34">
    <cfRule type="cellIs" dxfId="1434" priority="1419" operator="lessThan">
      <formula>0</formula>
    </cfRule>
  </conditionalFormatting>
  <conditionalFormatting sqref="I34">
    <cfRule type="cellIs" dxfId="1433" priority="1418" operator="lessThan">
      <formula>0</formula>
    </cfRule>
  </conditionalFormatting>
  <conditionalFormatting sqref="I34">
    <cfRule type="cellIs" dxfId="1432" priority="1417" operator="lessThan">
      <formula>0</formula>
    </cfRule>
  </conditionalFormatting>
  <conditionalFormatting sqref="I34">
    <cfRule type="cellIs" dxfId="1431" priority="1416" operator="lessThan">
      <formula>0</formula>
    </cfRule>
  </conditionalFormatting>
  <conditionalFormatting sqref="I34">
    <cfRule type="cellIs" dxfId="1430" priority="1415" operator="lessThan">
      <formula>0</formula>
    </cfRule>
  </conditionalFormatting>
  <conditionalFormatting sqref="I34">
    <cfRule type="cellIs" dxfId="1429" priority="1414" operator="lessThan">
      <formula>0</formula>
    </cfRule>
  </conditionalFormatting>
  <conditionalFormatting sqref="I34">
    <cfRule type="cellIs" dxfId="1428" priority="1413" operator="lessThan">
      <formula>0</formula>
    </cfRule>
  </conditionalFormatting>
  <conditionalFormatting sqref="I34">
    <cfRule type="cellIs" dxfId="1427" priority="1412" operator="lessThan">
      <formula>0</formula>
    </cfRule>
  </conditionalFormatting>
  <conditionalFormatting sqref="I34">
    <cfRule type="cellIs" dxfId="1426" priority="1411" operator="lessThan">
      <formula>0</formula>
    </cfRule>
  </conditionalFormatting>
  <conditionalFormatting sqref="I34">
    <cfRule type="cellIs" dxfId="1425" priority="1410" operator="lessThan">
      <formula>0</formula>
    </cfRule>
  </conditionalFormatting>
  <conditionalFormatting sqref="I34">
    <cfRule type="cellIs" dxfId="1424" priority="1409" operator="lessThan">
      <formula>0</formula>
    </cfRule>
  </conditionalFormatting>
  <conditionalFormatting sqref="I34">
    <cfRule type="cellIs" dxfId="1423" priority="1408" operator="lessThan">
      <formula>0</formula>
    </cfRule>
  </conditionalFormatting>
  <conditionalFormatting sqref="I34">
    <cfRule type="cellIs" dxfId="1422" priority="1407" operator="lessThan">
      <formula>0</formula>
    </cfRule>
  </conditionalFormatting>
  <conditionalFormatting sqref="I34">
    <cfRule type="cellIs" dxfId="1421" priority="1406" operator="lessThan">
      <formula>0</formula>
    </cfRule>
  </conditionalFormatting>
  <conditionalFormatting sqref="I34">
    <cfRule type="cellIs" dxfId="1420" priority="1405" operator="lessThan">
      <formula>0</formula>
    </cfRule>
  </conditionalFormatting>
  <conditionalFormatting sqref="I34">
    <cfRule type="cellIs" dxfId="1419" priority="1404" operator="lessThan">
      <formula>0</formula>
    </cfRule>
  </conditionalFormatting>
  <conditionalFormatting sqref="I34">
    <cfRule type="cellIs" dxfId="1418" priority="1403" operator="lessThan">
      <formula>0</formula>
    </cfRule>
  </conditionalFormatting>
  <conditionalFormatting sqref="I34">
    <cfRule type="cellIs" dxfId="1417" priority="1402" operator="lessThan">
      <formula>0</formula>
    </cfRule>
  </conditionalFormatting>
  <conditionalFormatting sqref="I34">
    <cfRule type="cellIs" dxfId="1416" priority="1401" operator="lessThan">
      <formula>0</formula>
    </cfRule>
  </conditionalFormatting>
  <conditionalFormatting sqref="I34">
    <cfRule type="cellIs" dxfId="1415" priority="1400" operator="lessThan">
      <formula>0</formula>
    </cfRule>
  </conditionalFormatting>
  <conditionalFormatting sqref="I34">
    <cfRule type="cellIs" dxfId="1414" priority="1399" operator="lessThan">
      <formula>0</formula>
    </cfRule>
  </conditionalFormatting>
  <conditionalFormatting sqref="I34">
    <cfRule type="cellIs" dxfId="1413" priority="1398" operator="lessThan">
      <formula>0</formula>
    </cfRule>
  </conditionalFormatting>
  <conditionalFormatting sqref="I34">
    <cfRule type="cellIs" dxfId="1412" priority="1397" operator="lessThan">
      <formula>0</formula>
    </cfRule>
  </conditionalFormatting>
  <conditionalFormatting sqref="I34">
    <cfRule type="cellIs" dxfId="1411" priority="1396" operator="lessThan">
      <formula>0</formula>
    </cfRule>
  </conditionalFormatting>
  <conditionalFormatting sqref="I34">
    <cfRule type="cellIs" dxfId="1410" priority="1395" operator="lessThan">
      <formula>0</formula>
    </cfRule>
  </conditionalFormatting>
  <conditionalFormatting sqref="I34">
    <cfRule type="cellIs" dxfId="1409" priority="1394" operator="lessThan">
      <formula>0</formula>
    </cfRule>
  </conditionalFormatting>
  <conditionalFormatting sqref="I34">
    <cfRule type="cellIs" dxfId="1408" priority="1393" operator="lessThan">
      <formula>0</formula>
    </cfRule>
  </conditionalFormatting>
  <conditionalFormatting sqref="I34">
    <cfRule type="cellIs" dxfId="1407" priority="1392" operator="lessThan">
      <formula>0</formula>
    </cfRule>
  </conditionalFormatting>
  <conditionalFormatting sqref="I34">
    <cfRule type="cellIs" dxfId="1406" priority="1391" operator="lessThan">
      <formula>0</formula>
    </cfRule>
  </conditionalFormatting>
  <conditionalFormatting sqref="I34">
    <cfRule type="cellIs" dxfId="1405" priority="1390" operator="lessThan">
      <formula>0</formula>
    </cfRule>
  </conditionalFormatting>
  <conditionalFormatting sqref="I34">
    <cfRule type="cellIs" dxfId="1404" priority="1389" operator="lessThan">
      <formula>0</formula>
    </cfRule>
  </conditionalFormatting>
  <conditionalFormatting sqref="I34">
    <cfRule type="cellIs" dxfId="1403" priority="1388" operator="lessThan">
      <formula>0</formula>
    </cfRule>
  </conditionalFormatting>
  <conditionalFormatting sqref="I34">
    <cfRule type="cellIs" dxfId="1402" priority="1387" operator="lessThan">
      <formula>0</formula>
    </cfRule>
  </conditionalFormatting>
  <conditionalFormatting sqref="I34">
    <cfRule type="cellIs" dxfId="1401" priority="1386" operator="lessThan">
      <formula>0</formula>
    </cfRule>
  </conditionalFormatting>
  <conditionalFormatting sqref="I34">
    <cfRule type="cellIs" dxfId="1400" priority="1385" operator="lessThan">
      <formula>0</formula>
    </cfRule>
  </conditionalFormatting>
  <conditionalFormatting sqref="I34">
    <cfRule type="cellIs" dxfId="1399" priority="1384" operator="lessThan">
      <formula>0</formula>
    </cfRule>
  </conditionalFormatting>
  <conditionalFormatting sqref="I34">
    <cfRule type="cellIs" dxfId="1398" priority="1383" operator="lessThan">
      <formula>0</formula>
    </cfRule>
  </conditionalFormatting>
  <conditionalFormatting sqref="I34">
    <cfRule type="cellIs" dxfId="1397" priority="1382" operator="lessThan">
      <formula>0</formula>
    </cfRule>
  </conditionalFormatting>
  <conditionalFormatting sqref="I34">
    <cfRule type="cellIs" dxfId="1396" priority="1381" operator="lessThan">
      <formula>0</formula>
    </cfRule>
  </conditionalFormatting>
  <conditionalFormatting sqref="I34">
    <cfRule type="cellIs" dxfId="1395" priority="1380" operator="lessThan">
      <formula>0</formula>
    </cfRule>
  </conditionalFormatting>
  <conditionalFormatting sqref="I34">
    <cfRule type="cellIs" dxfId="1394" priority="1379" operator="lessThan">
      <formula>0</formula>
    </cfRule>
  </conditionalFormatting>
  <conditionalFormatting sqref="I34">
    <cfRule type="cellIs" dxfId="1393" priority="1378" operator="lessThan">
      <formula>0</formula>
    </cfRule>
  </conditionalFormatting>
  <conditionalFormatting sqref="I34">
    <cfRule type="cellIs" dxfId="1392" priority="1377" operator="lessThan">
      <formula>0</formula>
    </cfRule>
  </conditionalFormatting>
  <conditionalFormatting sqref="I34">
    <cfRule type="cellIs" dxfId="1391" priority="1376" operator="lessThan">
      <formula>0</formula>
    </cfRule>
  </conditionalFormatting>
  <conditionalFormatting sqref="I34">
    <cfRule type="cellIs" dxfId="1390" priority="1375" operator="lessThan">
      <formula>0</formula>
    </cfRule>
  </conditionalFormatting>
  <conditionalFormatting sqref="I34">
    <cfRule type="cellIs" dxfId="1389" priority="1374" operator="lessThan">
      <formula>0</formula>
    </cfRule>
  </conditionalFormatting>
  <conditionalFormatting sqref="I34">
    <cfRule type="cellIs" dxfId="1388" priority="1373" operator="lessThan">
      <formula>0</formula>
    </cfRule>
  </conditionalFormatting>
  <conditionalFormatting sqref="I34">
    <cfRule type="cellIs" dxfId="1387" priority="1372" operator="lessThan">
      <formula>0</formula>
    </cfRule>
  </conditionalFormatting>
  <conditionalFormatting sqref="I34">
    <cfRule type="cellIs" dxfId="1386" priority="1371" operator="lessThan">
      <formula>0</formula>
    </cfRule>
  </conditionalFormatting>
  <conditionalFormatting sqref="I34">
    <cfRule type="cellIs" dxfId="1385" priority="1370" operator="lessThan">
      <formula>0</formula>
    </cfRule>
  </conditionalFormatting>
  <conditionalFormatting sqref="I34">
    <cfRule type="cellIs" dxfId="1384" priority="1369" operator="lessThan">
      <formula>0</formula>
    </cfRule>
  </conditionalFormatting>
  <conditionalFormatting sqref="I34">
    <cfRule type="cellIs" dxfId="1383" priority="1368" operator="lessThan">
      <formula>0</formula>
    </cfRule>
  </conditionalFormatting>
  <conditionalFormatting sqref="I34">
    <cfRule type="cellIs" dxfId="1382" priority="1367" operator="lessThan">
      <formula>0</formula>
    </cfRule>
  </conditionalFormatting>
  <conditionalFormatting sqref="I34">
    <cfRule type="cellIs" dxfId="1381" priority="1366" operator="lessThan">
      <formula>0</formula>
    </cfRule>
  </conditionalFormatting>
  <conditionalFormatting sqref="I34">
    <cfRule type="cellIs" dxfId="1380" priority="1365" operator="lessThan">
      <formula>0</formula>
    </cfRule>
  </conditionalFormatting>
  <conditionalFormatting sqref="I34">
    <cfRule type="cellIs" dxfId="1379" priority="1364" operator="lessThan">
      <formula>0</formula>
    </cfRule>
  </conditionalFormatting>
  <conditionalFormatting sqref="I34">
    <cfRule type="cellIs" dxfId="1378" priority="1363" operator="lessThan">
      <formula>0</formula>
    </cfRule>
  </conditionalFormatting>
  <conditionalFormatting sqref="I34">
    <cfRule type="cellIs" dxfId="1377" priority="1362" operator="lessThan">
      <formula>0</formula>
    </cfRule>
  </conditionalFormatting>
  <conditionalFormatting sqref="I34">
    <cfRule type="cellIs" dxfId="1376" priority="1361" operator="lessThan">
      <formula>0</formula>
    </cfRule>
  </conditionalFormatting>
  <conditionalFormatting sqref="I34">
    <cfRule type="cellIs" dxfId="1375" priority="1360" operator="lessThan">
      <formula>0</formula>
    </cfRule>
  </conditionalFormatting>
  <conditionalFormatting sqref="I34">
    <cfRule type="cellIs" dxfId="1374" priority="1359" operator="lessThan">
      <formula>0</formula>
    </cfRule>
  </conditionalFormatting>
  <conditionalFormatting sqref="I34">
    <cfRule type="cellIs" dxfId="1373" priority="1358" operator="lessThan">
      <formula>0</formula>
    </cfRule>
  </conditionalFormatting>
  <conditionalFormatting sqref="I34">
    <cfRule type="cellIs" dxfId="1372" priority="1357" operator="lessThan">
      <formula>0</formula>
    </cfRule>
  </conditionalFormatting>
  <conditionalFormatting sqref="I34">
    <cfRule type="cellIs" dxfId="1371" priority="1356" operator="lessThan">
      <formula>0</formula>
    </cfRule>
  </conditionalFormatting>
  <conditionalFormatting sqref="I34">
    <cfRule type="cellIs" dxfId="1370" priority="1355" operator="lessThan">
      <formula>0</formula>
    </cfRule>
  </conditionalFormatting>
  <conditionalFormatting sqref="I34">
    <cfRule type="cellIs" dxfId="1369" priority="1354" operator="lessThan">
      <formula>0</formula>
    </cfRule>
  </conditionalFormatting>
  <conditionalFormatting sqref="I34">
    <cfRule type="cellIs" dxfId="1368" priority="1353" operator="lessThan">
      <formula>0</formula>
    </cfRule>
  </conditionalFormatting>
  <conditionalFormatting sqref="I34">
    <cfRule type="cellIs" dxfId="1367" priority="1352" operator="lessThan">
      <formula>0</formula>
    </cfRule>
  </conditionalFormatting>
  <conditionalFormatting sqref="I34">
    <cfRule type="cellIs" dxfId="1366" priority="1351" operator="lessThan">
      <formula>0</formula>
    </cfRule>
  </conditionalFormatting>
  <conditionalFormatting sqref="I34">
    <cfRule type="cellIs" dxfId="1365" priority="1350" operator="lessThan">
      <formula>0</formula>
    </cfRule>
  </conditionalFormatting>
  <conditionalFormatting sqref="I34">
    <cfRule type="cellIs" dxfId="1364" priority="1349" operator="lessThan">
      <formula>0</formula>
    </cfRule>
  </conditionalFormatting>
  <conditionalFormatting sqref="I34">
    <cfRule type="cellIs" dxfId="1363" priority="1348" operator="lessThan">
      <formula>0</formula>
    </cfRule>
  </conditionalFormatting>
  <conditionalFormatting sqref="I34">
    <cfRule type="cellIs" dxfId="1362" priority="1347" operator="lessThan">
      <formula>0</formula>
    </cfRule>
  </conditionalFormatting>
  <conditionalFormatting sqref="I34">
    <cfRule type="cellIs" dxfId="1361" priority="1346" operator="lessThan">
      <formula>0</formula>
    </cfRule>
  </conditionalFormatting>
  <conditionalFormatting sqref="I34">
    <cfRule type="cellIs" dxfId="1360" priority="1345" operator="lessThan">
      <formula>0</formula>
    </cfRule>
  </conditionalFormatting>
  <conditionalFormatting sqref="I34">
    <cfRule type="cellIs" dxfId="1359" priority="1344" operator="lessThan">
      <formula>0</formula>
    </cfRule>
  </conditionalFormatting>
  <conditionalFormatting sqref="I34">
    <cfRule type="cellIs" dxfId="1358" priority="1343" operator="lessThan">
      <formula>0</formula>
    </cfRule>
  </conditionalFormatting>
  <conditionalFormatting sqref="I34">
    <cfRule type="cellIs" dxfId="1357" priority="1342" operator="lessThan">
      <formula>0</formula>
    </cfRule>
  </conditionalFormatting>
  <conditionalFormatting sqref="I34">
    <cfRule type="cellIs" dxfId="1356" priority="1341" operator="lessThan">
      <formula>0</formula>
    </cfRule>
  </conditionalFormatting>
  <conditionalFormatting sqref="I34">
    <cfRule type="cellIs" dxfId="1355" priority="1340" operator="lessThan">
      <formula>0</formula>
    </cfRule>
  </conditionalFormatting>
  <conditionalFormatting sqref="I34">
    <cfRule type="cellIs" dxfId="1354" priority="1339" operator="lessThan">
      <formula>0</formula>
    </cfRule>
  </conditionalFormatting>
  <conditionalFormatting sqref="I34">
    <cfRule type="cellIs" dxfId="1353" priority="1338" operator="lessThan">
      <formula>0</formula>
    </cfRule>
  </conditionalFormatting>
  <conditionalFormatting sqref="I34">
    <cfRule type="cellIs" dxfId="1352" priority="1337" operator="lessThan">
      <formula>0</formula>
    </cfRule>
  </conditionalFormatting>
  <conditionalFormatting sqref="I34">
    <cfRule type="cellIs" dxfId="1351" priority="1336" operator="lessThan">
      <formula>0</formula>
    </cfRule>
  </conditionalFormatting>
  <conditionalFormatting sqref="I34">
    <cfRule type="cellIs" dxfId="1350" priority="1335" operator="lessThan">
      <formula>0</formula>
    </cfRule>
  </conditionalFormatting>
  <conditionalFormatting sqref="I34">
    <cfRule type="cellIs" dxfId="1349" priority="1334" operator="lessThan">
      <formula>0</formula>
    </cfRule>
  </conditionalFormatting>
  <conditionalFormatting sqref="I34">
    <cfRule type="cellIs" dxfId="1348" priority="1333" operator="lessThan">
      <formula>0</formula>
    </cfRule>
  </conditionalFormatting>
  <conditionalFormatting sqref="I34">
    <cfRule type="cellIs" dxfId="1347" priority="1332" operator="lessThan">
      <formula>0</formula>
    </cfRule>
  </conditionalFormatting>
  <conditionalFormatting sqref="I34">
    <cfRule type="cellIs" dxfId="1346" priority="1331" operator="lessThan">
      <formula>0</formula>
    </cfRule>
  </conditionalFormatting>
  <conditionalFormatting sqref="I34">
    <cfRule type="cellIs" dxfId="1345" priority="1330" operator="lessThan">
      <formula>0</formula>
    </cfRule>
  </conditionalFormatting>
  <conditionalFormatting sqref="I34">
    <cfRule type="cellIs" dxfId="1344" priority="1329" operator="lessThan">
      <formula>0</formula>
    </cfRule>
  </conditionalFormatting>
  <conditionalFormatting sqref="I34">
    <cfRule type="cellIs" dxfId="1343" priority="1328" operator="lessThan">
      <formula>0</formula>
    </cfRule>
  </conditionalFormatting>
  <conditionalFormatting sqref="I34">
    <cfRule type="cellIs" dxfId="1342" priority="1327" operator="lessThan">
      <formula>0</formula>
    </cfRule>
  </conditionalFormatting>
  <conditionalFormatting sqref="I34">
    <cfRule type="cellIs" dxfId="1341" priority="1326" operator="lessThan">
      <formula>0</formula>
    </cfRule>
  </conditionalFormatting>
  <conditionalFormatting sqref="I34">
    <cfRule type="cellIs" dxfId="1340" priority="1325" operator="lessThan">
      <formula>0</formula>
    </cfRule>
  </conditionalFormatting>
  <conditionalFormatting sqref="I34">
    <cfRule type="cellIs" dxfId="1339" priority="1324" operator="lessThan">
      <formula>0</formula>
    </cfRule>
  </conditionalFormatting>
  <conditionalFormatting sqref="I34">
    <cfRule type="cellIs" dxfId="1338" priority="1323" operator="lessThan">
      <formula>0</formula>
    </cfRule>
  </conditionalFormatting>
  <conditionalFormatting sqref="I34">
    <cfRule type="cellIs" dxfId="1337" priority="1322" operator="lessThan">
      <formula>0</formula>
    </cfRule>
  </conditionalFormatting>
  <conditionalFormatting sqref="I34">
    <cfRule type="cellIs" dxfId="1336" priority="1321" operator="lessThan">
      <formula>0</formula>
    </cfRule>
  </conditionalFormatting>
  <conditionalFormatting sqref="I34">
    <cfRule type="cellIs" dxfId="1335" priority="1320" operator="lessThan">
      <formula>0</formula>
    </cfRule>
  </conditionalFormatting>
  <conditionalFormatting sqref="I34">
    <cfRule type="cellIs" dxfId="1334" priority="1319" operator="lessThan">
      <formula>0</formula>
    </cfRule>
  </conditionalFormatting>
  <conditionalFormatting sqref="I34">
    <cfRule type="cellIs" dxfId="1333" priority="1318" operator="lessThan">
      <formula>0</formula>
    </cfRule>
  </conditionalFormatting>
  <conditionalFormatting sqref="I34">
    <cfRule type="cellIs" dxfId="1332" priority="1317" operator="lessThan">
      <formula>0</formula>
    </cfRule>
  </conditionalFormatting>
  <conditionalFormatting sqref="I34">
    <cfRule type="cellIs" dxfId="1331" priority="1316" operator="lessThan">
      <formula>0</formula>
    </cfRule>
  </conditionalFormatting>
  <conditionalFormatting sqref="I34">
    <cfRule type="cellIs" dxfId="1330" priority="1315" operator="lessThan">
      <formula>0</formula>
    </cfRule>
  </conditionalFormatting>
  <conditionalFormatting sqref="I34">
    <cfRule type="cellIs" dxfId="1329" priority="1314" operator="lessThan">
      <formula>0</formula>
    </cfRule>
  </conditionalFormatting>
  <conditionalFormatting sqref="I34">
    <cfRule type="cellIs" dxfId="1328" priority="1313" operator="lessThan">
      <formula>0</formula>
    </cfRule>
  </conditionalFormatting>
  <conditionalFormatting sqref="I34">
    <cfRule type="cellIs" dxfId="1327" priority="1312" operator="lessThan">
      <formula>0</formula>
    </cfRule>
  </conditionalFormatting>
  <conditionalFormatting sqref="I34">
    <cfRule type="cellIs" dxfId="1326" priority="1311" operator="lessThan">
      <formula>0</formula>
    </cfRule>
  </conditionalFormatting>
  <conditionalFormatting sqref="I34">
    <cfRule type="cellIs" dxfId="1325" priority="1310" operator="lessThan">
      <formula>0</formula>
    </cfRule>
  </conditionalFormatting>
  <conditionalFormatting sqref="I34">
    <cfRule type="cellIs" dxfId="1324" priority="1309" operator="lessThan">
      <formula>0</formula>
    </cfRule>
  </conditionalFormatting>
  <conditionalFormatting sqref="I34">
    <cfRule type="cellIs" dxfId="1323" priority="1308" operator="lessThan">
      <formula>0</formula>
    </cfRule>
  </conditionalFormatting>
  <conditionalFormatting sqref="I34">
    <cfRule type="cellIs" dxfId="1322" priority="1307" operator="lessThan">
      <formula>0</formula>
    </cfRule>
  </conditionalFormatting>
  <conditionalFormatting sqref="I34">
    <cfRule type="cellIs" dxfId="1321" priority="1306" operator="lessThan">
      <formula>0</formula>
    </cfRule>
  </conditionalFormatting>
  <conditionalFormatting sqref="I34">
    <cfRule type="cellIs" dxfId="1320" priority="1305" operator="lessThan">
      <formula>0</formula>
    </cfRule>
  </conditionalFormatting>
  <conditionalFormatting sqref="I34">
    <cfRule type="cellIs" dxfId="1319" priority="1304" operator="lessThan">
      <formula>0</formula>
    </cfRule>
  </conditionalFormatting>
  <conditionalFormatting sqref="I34">
    <cfRule type="cellIs" dxfId="1318" priority="1303" operator="lessThan">
      <formula>0</formula>
    </cfRule>
  </conditionalFormatting>
  <conditionalFormatting sqref="I34">
    <cfRule type="cellIs" dxfId="1317" priority="1302" operator="lessThan">
      <formula>0</formula>
    </cfRule>
  </conditionalFormatting>
  <conditionalFormatting sqref="I34">
    <cfRule type="cellIs" dxfId="1316" priority="1301" operator="lessThan">
      <formula>0</formula>
    </cfRule>
  </conditionalFormatting>
  <conditionalFormatting sqref="I34">
    <cfRule type="cellIs" dxfId="1315" priority="1300" operator="lessThan">
      <formula>0</formula>
    </cfRule>
  </conditionalFormatting>
  <conditionalFormatting sqref="I34">
    <cfRule type="cellIs" dxfId="1314" priority="1299" operator="lessThan">
      <formula>0</formula>
    </cfRule>
  </conditionalFormatting>
  <conditionalFormatting sqref="I34">
    <cfRule type="cellIs" dxfId="1313" priority="1298" operator="lessThan">
      <formula>0</formula>
    </cfRule>
  </conditionalFormatting>
  <conditionalFormatting sqref="I34">
    <cfRule type="cellIs" dxfId="1312" priority="1297" operator="lessThan">
      <formula>0</formula>
    </cfRule>
  </conditionalFormatting>
  <conditionalFormatting sqref="I34">
    <cfRule type="cellIs" dxfId="1311" priority="1296" operator="lessThan">
      <formula>0</formula>
    </cfRule>
  </conditionalFormatting>
  <conditionalFormatting sqref="I34">
    <cfRule type="cellIs" dxfId="1310" priority="1295" operator="lessThan">
      <formula>0</formula>
    </cfRule>
  </conditionalFormatting>
  <conditionalFormatting sqref="I34">
    <cfRule type="cellIs" dxfId="1309" priority="1294" operator="lessThan">
      <formula>0</formula>
    </cfRule>
  </conditionalFormatting>
  <conditionalFormatting sqref="I34">
    <cfRule type="cellIs" dxfId="1308" priority="1293" operator="lessThan">
      <formula>0</formula>
    </cfRule>
  </conditionalFormatting>
  <conditionalFormatting sqref="I34">
    <cfRule type="cellIs" dxfId="1307" priority="1292" operator="lessThan">
      <formula>0</formula>
    </cfRule>
  </conditionalFormatting>
  <conditionalFormatting sqref="I34">
    <cfRule type="cellIs" dxfId="1306" priority="1291" operator="lessThan">
      <formula>0</formula>
    </cfRule>
  </conditionalFormatting>
  <conditionalFormatting sqref="I34">
    <cfRule type="cellIs" dxfId="1305" priority="1290" operator="lessThan">
      <formula>0</formula>
    </cfRule>
  </conditionalFormatting>
  <conditionalFormatting sqref="I34">
    <cfRule type="cellIs" dxfId="1304" priority="1289" operator="lessThan">
      <formula>0</formula>
    </cfRule>
  </conditionalFormatting>
  <conditionalFormatting sqref="I34">
    <cfRule type="cellIs" dxfId="1303" priority="1288" operator="lessThan">
      <formula>0</formula>
    </cfRule>
  </conditionalFormatting>
  <conditionalFormatting sqref="I34">
    <cfRule type="cellIs" dxfId="1302" priority="1287" operator="lessThan">
      <formula>0</formula>
    </cfRule>
  </conditionalFormatting>
  <conditionalFormatting sqref="I34">
    <cfRule type="cellIs" dxfId="1301" priority="1286" operator="lessThan">
      <formula>0</formula>
    </cfRule>
  </conditionalFormatting>
  <conditionalFormatting sqref="I34">
    <cfRule type="cellIs" dxfId="1300" priority="1285" operator="lessThan">
      <formula>0</formula>
    </cfRule>
  </conditionalFormatting>
  <conditionalFormatting sqref="I34">
    <cfRule type="cellIs" dxfId="1299" priority="1284" operator="lessThan">
      <formula>0</formula>
    </cfRule>
  </conditionalFormatting>
  <conditionalFormatting sqref="I34">
    <cfRule type="cellIs" dxfId="1298" priority="1283" operator="lessThan">
      <formula>0</formula>
    </cfRule>
  </conditionalFormatting>
  <conditionalFormatting sqref="I34">
    <cfRule type="cellIs" dxfId="1297" priority="1282" operator="lessThan">
      <formula>0</formula>
    </cfRule>
  </conditionalFormatting>
  <conditionalFormatting sqref="I34">
    <cfRule type="cellIs" dxfId="1296" priority="1281" operator="lessThan">
      <formula>0</formula>
    </cfRule>
  </conditionalFormatting>
  <conditionalFormatting sqref="I34">
    <cfRule type="cellIs" dxfId="1295" priority="1280" operator="lessThan">
      <formula>0</formula>
    </cfRule>
  </conditionalFormatting>
  <conditionalFormatting sqref="I34">
    <cfRule type="cellIs" dxfId="1294" priority="1279" operator="lessThan">
      <formula>0</formula>
    </cfRule>
  </conditionalFormatting>
  <conditionalFormatting sqref="I34">
    <cfRule type="cellIs" dxfId="1293" priority="1278" operator="lessThan">
      <formula>0</formula>
    </cfRule>
  </conditionalFormatting>
  <conditionalFormatting sqref="I34">
    <cfRule type="cellIs" dxfId="1292" priority="1277" operator="lessThan">
      <formula>0</formula>
    </cfRule>
  </conditionalFormatting>
  <conditionalFormatting sqref="I34">
    <cfRule type="cellIs" dxfId="1291" priority="1276" operator="lessThan">
      <formula>0</formula>
    </cfRule>
  </conditionalFormatting>
  <conditionalFormatting sqref="I34">
    <cfRule type="cellIs" dxfId="1290" priority="1275" operator="lessThan">
      <formula>0</formula>
    </cfRule>
  </conditionalFormatting>
  <conditionalFormatting sqref="I34">
    <cfRule type="cellIs" dxfId="1289" priority="1274" operator="lessThan">
      <formula>0</formula>
    </cfRule>
  </conditionalFormatting>
  <conditionalFormatting sqref="I34">
    <cfRule type="cellIs" dxfId="1288" priority="1273" operator="lessThan">
      <formula>0</formula>
    </cfRule>
  </conditionalFormatting>
  <conditionalFormatting sqref="I34">
    <cfRule type="cellIs" dxfId="1287" priority="1272" operator="lessThan">
      <formula>0</formula>
    </cfRule>
  </conditionalFormatting>
  <conditionalFormatting sqref="I34">
    <cfRule type="cellIs" dxfId="1286" priority="1271" operator="lessThan">
      <formula>0</formula>
    </cfRule>
  </conditionalFormatting>
  <conditionalFormatting sqref="I34">
    <cfRule type="cellIs" dxfId="1285" priority="1270" operator="lessThan">
      <formula>0</formula>
    </cfRule>
  </conditionalFormatting>
  <conditionalFormatting sqref="I34">
    <cfRule type="cellIs" dxfId="1284" priority="1269" operator="lessThan">
      <formula>0</formula>
    </cfRule>
  </conditionalFormatting>
  <conditionalFormatting sqref="I34">
    <cfRule type="cellIs" dxfId="1283" priority="1268" operator="lessThan">
      <formula>0</formula>
    </cfRule>
  </conditionalFormatting>
  <conditionalFormatting sqref="I34">
    <cfRule type="cellIs" dxfId="1282" priority="1267" operator="lessThan">
      <formula>0</formula>
    </cfRule>
  </conditionalFormatting>
  <conditionalFormatting sqref="I34">
    <cfRule type="cellIs" dxfId="1281" priority="1266" operator="lessThan">
      <formula>0</formula>
    </cfRule>
  </conditionalFormatting>
  <conditionalFormatting sqref="I34">
    <cfRule type="cellIs" dxfId="1280" priority="1265" operator="lessThan">
      <formula>0</formula>
    </cfRule>
  </conditionalFormatting>
  <conditionalFormatting sqref="I34">
    <cfRule type="cellIs" dxfId="1279" priority="1264" operator="lessThan">
      <formula>0</formula>
    </cfRule>
  </conditionalFormatting>
  <conditionalFormatting sqref="I34">
    <cfRule type="cellIs" dxfId="1278" priority="1263" operator="lessThan">
      <formula>0</formula>
    </cfRule>
  </conditionalFormatting>
  <conditionalFormatting sqref="I34">
    <cfRule type="cellIs" dxfId="1277" priority="1262" operator="lessThan">
      <formula>0</formula>
    </cfRule>
  </conditionalFormatting>
  <conditionalFormatting sqref="I34">
    <cfRule type="cellIs" dxfId="1276" priority="1261" operator="lessThan">
      <formula>0</formula>
    </cfRule>
  </conditionalFormatting>
  <conditionalFormatting sqref="I34">
    <cfRule type="cellIs" dxfId="1275" priority="1260" operator="lessThan">
      <formula>0</formula>
    </cfRule>
  </conditionalFormatting>
  <conditionalFormatting sqref="I34">
    <cfRule type="cellIs" dxfId="1274" priority="1259" operator="lessThan">
      <formula>0</formula>
    </cfRule>
  </conditionalFormatting>
  <conditionalFormatting sqref="I34">
    <cfRule type="cellIs" dxfId="1273" priority="1258" operator="lessThan">
      <formula>0</formula>
    </cfRule>
  </conditionalFormatting>
  <conditionalFormatting sqref="I34">
    <cfRule type="cellIs" dxfId="1272" priority="1257" operator="lessThan">
      <formula>0</formula>
    </cfRule>
  </conditionalFormatting>
  <conditionalFormatting sqref="I34">
    <cfRule type="cellIs" dxfId="1271" priority="1256" operator="lessThan">
      <formula>0</formula>
    </cfRule>
  </conditionalFormatting>
  <conditionalFormatting sqref="I34">
    <cfRule type="cellIs" dxfId="1270" priority="1255" operator="lessThan">
      <formula>0</formula>
    </cfRule>
  </conditionalFormatting>
  <conditionalFormatting sqref="I34">
    <cfRule type="cellIs" dxfId="1269" priority="1254" operator="lessThan">
      <formula>0</formula>
    </cfRule>
  </conditionalFormatting>
  <conditionalFormatting sqref="I34">
    <cfRule type="cellIs" dxfId="1268" priority="1253" operator="lessThan">
      <formula>0</formula>
    </cfRule>
  </conditionalFormatting>
  <conditionalFormatting sqref="I34">
    <cfRule type="cellIs" dxfId="1267" priority="1252" operator="lessThan">
      <formula>0</formula>
    </cfRule>
  </conditionalFormatting>
  <conditionalFormatting sqref="I34">
    <cfRule type="cellIs" dxfId="1266" priority="1251" operator="lessThan">
      <formula>0</formula>
    </cfRule>
  </conditionalFormatting>
  <conditionalFormatting sqref="I34">
    <cfRule type="cellIs" dxfId="1265" priority="1250" operator="lessThan">
      <formula>0</formula>
    </cfRule>
  </conditionalFormatting>
  <conditionalFormatting sqref="I34">
    <cfRule type="cellIs" dxfId="1264" priority="1249" operator="lessThan">
      <formula>0</formula>
    </cfRule>
  </conditionalFormatting>
  <conditionalFormatting sqref="I34">
    <cfRule type="cellIs" dxfId="1263" priority="1248" operator="lessThan">
      <formula>0</formula>
    </cfRule>
  </conditionalFormatting>
  <conditionalFormatting sqref="I34">
    <cfRule type="cellIs" dxfId="1262" priority="1247" operator="lessThan">
      <formula>0</formula>
    </cfRule>
  </conditionalFormatting>
  <conditionalFormatting sqref="I34">
    <cfRule type="cellIs" dxfId="1261" priority="1246" operator="lessThan">
      <formula>0</formula>
    </cfRule>
  </conditionalFormatting>
  <conditionalFormatting sqref="I34">
    <cfRule type="cellIs" dxfId="1260" priority="1245" operator="lessThan">
      <formula>0</formula>
    </cfRule>
  </conditionalFormatting>
  <conditionalFormatting sqref="I34">
    <cfRule type="cellIs" dxfId="1259" priority="1244" operator="lessThan">
      <formula>0</formula>
    </cfRule>
  </conditionalFormatting>
  <conditionalFormatting sqref="I34">
    <cfRule type="cellIs" dxfId="1258" priority="1243" operator="lessThan">
      <formula>0</formula>
    </cfRule>
  </conditionalFormatting>
  <conditionalFormatting sqref="I34">
    <cfRule type="cellIs" dxfId="1257" priority="1242" operator="lessThan">
      <formula>0</formula>
    </cfRule>
  </conditionalFormatting>
  <conditionalFormatting sqref="I34">
    <cfRule type="cellIs" dxfId="1256" priority="1241" operator="lessThan">
      <formula>0</formula>
    </cfRule>
  </conditionalFormatting>
  <conditionalFormatting sqref="I34">
    <cfRule type="cellIs" dxfId="1255" priority="1240" operator="lessThan">
      <formula>0</formula>
    </cfRule>
  </conditionalFormatting>
  <conditionalFormatting sqref="I34">
    <cfRule type="cellIs" dxfId="1254" priority="1239" operator="lessThan">
      <formula>0</formula>
    </cfRule>
  </conditionalFormatting>
  <conditionalFormatting sqref="I34">
    <cfRule type="cellIs" dxfId="1253" priority="1238" operator="lessThan">
      <formula>0</formula>
    </cfRule>
  </conditionalFormatting>
  <conditionalFormatting sqref="I34">
    <cfRule type="cellIs" dxfId="1252" priority="1237" operator="lessThan">
      <formula>0</formula>
    </cfRule>
  </conditionalFormatting>
  <conditionalFormatting sqref="I34">
    <cfRule type="cellIs" dxfId="1251" priority="1236" operator="lessThan">
      <formula>0</formula>
    </cfRule>
  </conditionalFormatting>
  <conditionalFormatting sqref="I34">
    <cfRule type="cellIs" dxfId="1250" priority="1235" operator="lessThan">
      <formula>0</formula>
    </cfRule>
  </conditionalFormatting>
  <conditionalFormatting sqref="I34">
    <cfRule type="cellIs" dxfId="1249" priority="1234" operator="lessThan">
      <formula>0</formula>
    </cfRule>
  </conditionalFormatting>
  <conditionalFormatting sqref="I34">
    <cfRule type="cellIs" dxfId="1248" priority="1233" operator="lessThan">
      <formula>0</formula>
    </cfRule>
  </conditionalFormatting>
  <conditionalFormatting sqref="I34">
    <cfRule type="cellIs" dxfId="1247" priority="1232" operator="lessThan">
      <formula>0</formula>
    </cfRule>
  </conditionalFormatting>
  <conditionalFormatting sqref="I34">
    <cfRule type="cellIs" dxfId="1246" priority="1231" operator="lessThan">
      <formula>0</formula>
    </cfRule>
  </conditionalFormatting>
  <conditionalFormatting sqref="I34">
    <cfRule type="cellIs" dxfId="1245" priority="1230" operator="lessThan">
      <formula>0</formula>
    </cfRule>
  </conditionalFormatting>
  <conditionalFormatting sqref="I34">
    <cfRule type="cellIs" dxfId="1244" priority="1229" operator="lessThan">
      <formula>0</formula>
    </cfRule>
  </conditionalFormatting>
  <conditionalFormatting sqref="I34">
    <cfRule type="cellIs" dxfId="1243" priority="1228" operator="lessThan">
      <formula>0</formula>
    </cfRule>
  </conditionalFormatting>
  <conditionalFormatting sqref="I34">
    <cfRule type="cellIs" dxfId="1242" priority="1227" operator="lessThan">
      <formula>0</formula>
    </cfRule>
  </conditionalFormatting>
  <conditionalFormatting sqref="I34">
    <cfRule type="cellIs" dxfId="1241" priority="1226" operator="lessThan">
      <formula>0</formula>
    </cfRule>
  </conditionalFormatting>
  <conditionalFormatting sqref="I34">
    <cfRule type="cellIs" dxfId="1240" priority="1225" operator="lessThan">
      <formula>0</formula>
    </cfRule>
  </conditionalFormatting>
  <conditionalFormatting sqref="I34">
    <cfRule type="cellIs" dxfId="1239" priority="1224" operator="lessThan">
      <formula>0</formula>
    </cfRule>
  </conditionalFormatting>
  <conditionalFormatting sqref="I34">
    <cfRule type="cellIs" dxfId="1238" priority="1223" operator="lessThan">
      <formula>0</formula>
    </cfRule>
  </conditionalFormatting>
  <conditionalFormatting sqref="I34">
    <cfRule type="cellIs" dxfId="1237" priority="1222" operator="lessThan">
      <formula>0</formula>
    </cfRule>
  </conditionalFormatting>
  <conditionalFormatting sqref="I34">
    <cfRule type="cellIs" dxfId="1236" priority="1221" operator="lessThan">
      <formula>0</formula>
    </cfRule>
  </conditionalFormatting>
  <conditionalFormatting sqref="I34">
    <cfRule type="cellIs" dxfId="1235" priority="1220" operator="lessThan">
      <formula>0</formula>
    </cfRule>
  </conditionalFormatting>
  <conditionalFormatting sqref="I34">
    <cfRule type="cellIs" dxfId="1234" priority="1219" operator="lessThan">
      <formula>0</formula>
    </cfRule>
  </conditionalFormatting>
  <conditionalFormatting sqref="I34">
    <cfRule type="cellIs" dxfId="1233" priority="1218" operator="lessThan">
      <formula>0</formula>
    </cfRule>
  </conditionalFormatting>
  <conditionalFormatting sqref="I34">
    <cfRule type="cellIs" dxfId="1232" priority="1217" operator="lessThan">
      <formula>0</formula>
    </cfRule>
  </conditionalFormatting>
  <conditionalFormatting sqref="I34">
    <cfRule type="cellIs" dxfId="1231" priority="1216" operator="lessThan">
      <formula>0</formula>
    </cfRule>
  </conditionalFormatting>
  <conditionalFormatting sqref="I34">
    <cfRule type="cellIs" dxfId="1230" priority="1215" operator="lessThan">
      <formula>0</formula>
    </cfRule>
  </conditionalFormatting>
  <conditionalFormatting sqref="I34">
    <cfRule type="cellIs" dxfId="1229" priority="1214" operator="lessThan">
      <formula>0</formula>
    </cfRule>
  </conditionalFormatting>
  <conditionalFormatting sqref="I34">
    <cfRule type="cellIs" dxfId="1228" priority="1213" operator="lessThan">
      <formula>0</formula>
    </cfRule>
  </conditionalFormatting>
  <conditionalFormatting sqref="I34">
    <cfRule type="cellIs" dxfId="1227" priority="1212" operator="lessThan">
      <formula>0</formula>
    </cfRule>
  </conditionalFormatting>
  <conditionalFormatting sqref="I34">
    <cfRule type="cellIs" dxfId="1226" priority="1211" operator="lessThan">
      <formula>0</formula>
    </cfRule>
  </conditionalFormatting>
  <conditionalFormatting sqref="I34">
    <cfRule type="cellIs" dxfId="1225" priority="1210" operator="lessThan">
      <formula>0</formula>
    </cfRule>
  </conditionalFormatting>
  <conditionalFormatting sqref="I34">
    <cfRule type="cellIs" dxfId="1224" priority="1209" operator="lessThan">
      <formula>0</formula>
    </cfRule>
  </conditionalFormatting>
  <conditionalFormatting sqref="I34">
    <cfRule type="cellIs" dxfId="1223" priority="1208" operator="lessThan">
      <formula>0</formula>
    </cfRule>
  </conditionalFormatting>
  <conditionalFormatting sqref="I34">
    <cfRule type="cellIs" dxfId="1222" priority="1207" operator="lessThan">
      <formula>0</formula>
    </cfRule>
  </conditionalFormatting>
  <conditionalFormatting sqref="I34">
    <cfRule type="cellIs" dxfId="1221" priority="1206" operator="lessThan">
      <formula>0</formula>
    </cfRule>
  </conditionalFormatting>
  <conditionalFormatting sqref="I34">
    <cfRule type="cellIs" dxfId="1220" priority="1205" operator="lessThan">
      <formula>0</formula>
    </cfRule>
  </conditionalFormatting>
  <conditionalFormatting sqref="I34">
    <cfRule type="cellIs" dxfId="1219" priority="1204" operator="lessThan">
      <formula>0</formula>
    </cfRule>
  </conditionalFormatting>
  <conditionalFormatting sqref="I34">
    <cfRule type="cellIs" dxfId="1218" priority="1203" operator="lessThan">
      <formula>0</formula>
    </cfRule>
  </conditionalFormatting>
  <conditionalFormatting sqref="I34">
    <cfRule type="cellIs" dxfId="1217" priority="1202" operator="lessThan">
      <formula>0</formula>
    </cfRule>
  </conditionalFormatting>
  <conditionalFormatting sqref="I34">
    <cfRule type="cellIs" dxfId="1216" priority="1201" operator="lessThan">
      <formula>0</formula>
    </cfRule>
  </conditionalFormatting>
  <conditionalFormatting sqref="I34">
    <cfRule type="cellIs" dxfId="1215" priority="1200" operator="lessThan">
      <formula>0</formula>
    </cfRule>
  </conditionalFormatting>
  <conditionalFormatting sqref="I34">
    <cfRule type="cellIs" dxfId="1214" priority="1199" operator="lessThan">
      <formula>0</formula>
    </cfRule>
  </conditionalFormatting>
  <conditionalFormatting sqref="I34">
    <cfRule type="cellIs" dxfId="1213" priority="1198" operator="lessThan">
      <formula>0</formula>
    </cfRule>
  </conditionalFormatting>
  <conditionalFormatting sqref="I34">
    <cfRule type="cellIs" dxfId="1212" priority="1197" operator="lessThan">
      <formula>0</formula>
    </cfRule>
  </conditionalFormatting>
  <conditionalFormatting sqref="I34">
    <cfRule type="cellIs" dxfId="1211" priority="1196" operator="lessThan">
      <formula>0</formula>
    </cfRule>
  </conditionalFormatting>
  <conditionalFormatting sqref="I34">
    <cfRule type="cellIs" dxfId="1210" priority="1195" operator="lessThan">
      <formula>0</formula>
    </cfRule>
  </conditionalFormatting>
  <conditionalFormatting sqref="I34">
    <cfRule type="cellIs" dxfId="1209" priority="1194" operator="lessThan">
      <formula>0</formula>
    </cfRule>
  </conditionalFormatting>
  <conditionalFormatting sqref="I34">
    <cfRule type="cellIs" dxfId="1208" priority="1193" operator="lessThan">
      <formula>0</formula>
    </cfRule>
  </conditionalFormatting>
  <conditionalFormatting sqref="I34">
    <cfRule type="cellIs" dxfId="1207" priority="1192" operator="lessThan">
      <formula>0</formula>
    </cfRule>
  </conditionalFormatting>
  <conditionalFormatting sqref="I34">
    <cfRule type="cellIs" dxfId="1206" priority="1191" operator="lessThan">
      <formula>0</formula>
    </cfRule>
  </conditionalFormatting>
  <conditionalFormatting sqref="I34">
    <cfRule type="cellIs" dxfId="1205" priority="1190" operator="lessThan">
      <formula>0</formula>
    </cfRule>
  </conditionalFormatting>
  <conditionalFormatting sqref="I34">
    <cfRule type="cellIs" dxfId="1204" priority="1189" operator="lessThan">
      <formula>0</formula>
    </cfRule>
  </conditionalFormatting>
  <conditionalFormatting sqref="I34">
    <cfRule type="cellIs" dxfId="1203" priority="1188" operator="lessThan">
      <formula>0</formula>
    </cfRule>
  </conditionalFormatting>
  <conditionalFormatting sqref="I34">
    <cfRule type="cellIs" dxfId="1202" priority="1187" operator="lessThan">
      <formula>0</formula>
    </cfRule>
  </conditionalFormatting>
  <conditionalFormatting sqref="I34">
    <cfRule type="cellIs" dxfId="1201" priority="1186" operator="lessThan">
      <formula>0</formula>
    </cfRule>
  </conditionalFormatting>
  <conditionalFormatting sqref="I34">
    <cfRule type="cellIs" dxfId="1200" priority="1185" operator="lessThan">
      <formula>0</formula>
    </cfRule>
  </conditionalFormatting>
  <conditionalFormatting sqref="I34">
    <cfRule type="cellIs" dxfId="1199" priority="1184" operator="lessThan">
      <formula>0</formula>
    </cfRule>
  </conditionalFormatting>
  <conditionalFormatting sqref="I34">
    <cfRule type="cellIs" dxfId="1198" priority="1183" operator="lessThan">
      <formula>0</formula>
    </cfRule>
  </conditionalFormatting>
  <conditionalFormatting sqref="I34">
    <cfRule type="cellIs" dxfId="1197" priority="1182" operator="lessThan">
      <formula>0</formula>
    </cfRule>
  </conditionalFormatting>
  <conditionalFormatting sqref="I34">
    <cfRule type="cellIs" dxfId="1196" priority="1181" operator="lessThan">
      <formula>0</formula>
    </cfRule>
  </conditionalFormatting>
  <conditionalFormatting sqref="I34">
    <cfRule type="cellIs" dxfId="1195" priority="1180" operator="lessThan">
      <formula>0</formula>
    </cfRule>
  </conditionalFormatting>
  <conditionalFormatting sqref="I34">
    <cfRule type="cellIs" dxfId="1194" priority="1179" operator="lessThan">
      <formula>0</formula>
    </cfRule>
  </conditionalFormatting>
  <conditionalFormatting sqref="I34">
    <cfRule type="cellIs" dxfId="1193" priority="1178" operator="lessThan">
      <formula>0</formula>
    </cfRule>
  </conditionalFormatting>
  <conditionalFormatting sqref="I34">
    <cfRule type="cellIs" dxfId="1192" priority="1177" operator="lessThan">
      <formula>0</formula>
    </cfRule>
  </conditionalFormatting>
  <conditionalFormatting sqref="I34">
    <cfRule type="cellIs" dxfId="1191" priority="1176" operator="lessThan">
      <formula>0</formula>
    </cfRule>
  </conditionalFormatting>
  <conditionalFormatting sqref="I34">
    <cfRule type="cellIs" dxfId="1190" priority="1175" operator="lessThan">
      <formula>0</formula>
    </cfRule>
  </conditionalFormatting>
  <conditionalFormatting sqref="I34">
    <cfRule type="cellIs" dxfId="1189" priority="1174" operator="lessThan">
      <formula>0</formula>
    </cfRule>
  </conditionalFormatting>
  <conditionalFormatting sqref="I34">
    <cfRule type="cellIs" dxfId="1188" priority="1173" operator="lessThan">
      <formula>0</formula>
    </cfRule>
  </conditionalFormatting>
  <conditionalFormatting sqref="I34">
    <cfRule type="cellIs" dxfId="1187" priority="1172" operator="lessThan">
      <formula>0</formula>
    </cfRule>
  </conditionalFormatting>
  <conditionalFormatting sqref="I34">
    <cfRule type="cellIs" dxfId="1186" priority="1171" operator="lessThan">
      <formula>0</formula>
    </cfRule>
  </conditionalFormatting>
  <conditionalFormatting sqref="I34">
    <cfRule type="cellIs" dxfId="1185" priority="1170" operator="lessThan">
      <formula>0</formula>
    </cfRule>
  </conditionalFormatting>
  <conditionalFormatting sqref="I34">
    <cfRule type="cellIs" dxfId="1184" priority="1169" operator="lessThan">
      <formula>0</formula>
    </cfRule>
  </conditionalFormatting>
  <conditionalFormatting sqref="I34">
    <cfRule type="cellIs" dxfId="1183" priority="1168" operator="lessThan">
      <formula>0</formula>
    </cfRule>
  </conditionalFormatting>
  <conditionalFormatting sqref="I34">
    <cfRule type="cellIs" dxfId="1182" priority="1167" operator="lessThan">
      <formula>0</formula>
    </cfRule>
  </conditionalFormatting>
  <conditionalFormatting sqref="I34">
    <cfRule type="cellIs" dxfId="1181" priority="1166" operator="lessThan">
      <formula>0</formula>
    </cfRule>
  </conditionalFormatting>
  <conditionalFormatting sqref="I34">
    <cfRule type="cellIs" dxfId="1180" priority="1165" operator="lessThan">
      <formula>0</formula>
    </cfRule>
  </conditionalFormatting>
  <conditionalFormatting sqref="I34">
    <cfRule type="cellIs" dxfId="1179" priority="1164" operator="lessThan">
      <formula>0</formula>
    </cfRule>
  </conditionalFormatting>
  <conditionalFormatting sqref="I34">
    <cfRule type="cellIs" dxfId="1178" priority="1163" operator="lessThan">
      <formula>0</formula>
    </cfRule>
  </conditionalFormatting>
  <conditionalFormatting sqref="I34">
    <cfRule type="cellIs" dxfId="1177" priority="1162" operator="lessThan">
      <formula>0</formula>
    </cfRule>
  </conditionalFormatting>
  <conditionalFormatting sqref="I34">
    <cfRule type="cellIs" dxfId="1176" priority="1161" operator="lessThan">
      <formula>0</formula>
    </cfRule>
  </conditionalFormatting>
  <conditionalFormatting sqref="I34">
    <cfRule type="cellIs" dxfId="1175" priority="1160" operator="lessThan">
      <formula>0</formula>
    </cfRule>
  </conditionalFormatting>
  <conditionalFormatting sqref="I34">
    <cfRule type="cellIs" dxfId="1174" priority="1159" operator="lessThan">
      <formula>0</formula>
    </cfRule>
  </conditionalFormatting>
  <conditionalFormatting sqref="I34">
    <cfRule type="cellIs" dxfId="1173" priority="1158" operator="lessThan">
      <formula>0</formula>
    </cfRule>
  </conditionalFormatting>
  <conditionalFormatting sqref="I34">
    <cfRule type="cellIs" dxfId="1172" priority="1157" operator="lessThan">
      <formula>0</formula>
    </cfRule>
  </conditionalFormatting>
  <conditionalFormatting sqref="I34">
    <cfRule type="cellIs" dxfId="1171" priority="1156" operator="lessThan">
      <formula>0</formula>
    </cfRule>
  </conditionalFormatting>
  <conditionalFormatting sqref="I34">
    <cfRule type="cellIs" dxfId="1170" priority="1155" operator="lessThan">
      <formula>0</formula>
    </cfRule>
  </conditionalFormatting>
  <conditionalFormatting sqref="I34">
    <cfRule type="cellIs" dxfId="1169" priority="1154" operator="lessThan">
      <formula>0</formula>
    </cfRule>
  </conditionalFormatting>
  <conditionalFormatting sqref="I34">
    <cfRule type="cellIs" dxfId="1168" priority="1153" operator="lessThan">
      <formula>0</formula>
    </cfRule>
  </conditionalFormatting>
  <conditionalFormatting sqref="I34">
    <cfRule type="cellIs" dxfId="1167" priority="1152" operator="lessThan">
      <formula>0</formula>
    </cfRule>
  </conditionalFormatting>
  <conditionalFormatting sqref="I34">
    <cfRule type="cellIs" dxfId="1166" priority="1151" operator="lessThan">
      <formula>0</formula>
    </cfRule>
  </conditionalFormatting>
  <conditionalFormatting sqref="I34">
    <cfRule type="cellIs" dxfId="1165" priority="1150" operator="lessThan">
      <formula>0</formula>
    </cfRule>
  </conditionalFormatting>
  <conditionalFormatting sqref="I34">
    <cfRule type="cellIs" dxfId="1164" priority="1149" operator="lessThan">
      <formula>0</formula>
    </cfRule>
  </conditionalFormatting>
  <conditionalFormatting sqref="I34">
    <cfRule type="cellIs" dxfId="1163" priority="1148" operator="lessThan">
      <formula>0</formula>
    </cfRule>
  </conditionalFormatting>
  <conditionalFormatting sqref="I34">
    <cfRule type="cellIs" dxfId="1162" priority="1147" operator="lessThan">
      <formula>0</formula>
    </cfRule>
  </conditionalFormatting>
  <conditionalFormatting sqref="I34">
    <cfRule type="cellIs" dxfId="1161" priority="1146" operator="lessThan">
      <formula>0</formula>
    </cfRule>
  </conditionalFormatting>
  <conditionalFormatting sqref="I34">
    <cfRule type="cellIs" dxfId="1160" priority="1145" operator="lessThan">
      <formula>0</formula>
    </cfRule>
  </conditionalFormatting>
  <conditionalFormatting sqref="I34">
    <cfRule type="cellIs" dxfId="1159" priority="1144" operator="lessThan">
      <formula>0</formula>
    </cfRule>
  </conditionalFormatting>
  <conditionalFormatting sqref="I34">
    <cfRule type="cellIs" dxfId="1158" priority="1143" operator="lessThan">
      <formula>0</formula>
    </cfRule>
  </conditionalFormatting>
  <conditionalFormatting sqref="I34">
    <cfRule type="cellIs" dxfId="1157" priority="1142" operator="lessThan">
      <formula>0</formula>
    </cfRule>
  </conditionalFormatting>
  <conditionalFormatting sqref="I34">
    <cfRule type="cellIs" dxfId="1156" priority="1141" operator="lessThan">
      <formula>0</formula>
    </cfRule>
  </conditionalFormatting>
  <conditionalFormatting sqref="I34">
    <cfRule type="cellIs" dxfId="1155" priority="1140" operator="lessThan">
      <formula>0</formula>
    </cfRule>
  </conditionalFormatting>
  <conditionalFormatting sqref="I34">
    <cfRule type="cellIs" dxfId="1154" priority="1139" operator="lessThan">
      <formula>0</formula>
    </cfRule>
  </conditionalFormatting>
  <conditionalFormatting sqref="I34">
    <cfRule type="cellIs" dxfId="1153" priority="1138" operator="lessThan">
      <formula>0</formula>
    </cfRule>
  </conditionalFormatting>
  <conditionalFormatting sqref="I34">
    <cfRule type="cellIs" dxfId="1152" priority="1137" operator="lessThan">
      <formula>0</formula>
    </cfRule>
  </conditionalFormatting>
  <conditionalFormatting sqref="I34">
    <cfRule type="cellIs" dxfId="1151" priority="1136" operator="lessThan">
      <formula>0</formula>
    </cfRule>
  </conditionalFormatting>
  <conditionalFormatting sqref="I34">
    <cfRule type="cellIs" dxfId="1150" priority="1135" operator="lessThan">
      <formula>0</formula>
    </cfRule>
  </conditionalFormatting>
  <conditionalFormatting sqref="I34">
    <cfRule type="cellIs" dxfId="1149" priority="1134" operator="lessThan">
      <formula>0</formula>
    </cfRule>
  </conditionalFormatting>
  <conditionalFormatting sqref="I34">
    <cfRule type="cellIs" dxfId="1148" priority="1133" operator="lessThan">
      <formula>0</formula>
    </cfRule>
  </conditionalFormatting>
  <conditionalFormatting sqref="I34">
    <cfRule type="cellIs" dxfId="1147" priority="1132" operator="lessThan">
      <formula>0</formula>
    </cfRule>
  </conditionalFormatting>
  <conditionalFormatting sqref="I34">
    <cfRule type="cellIs" dxfId="1146" priority="1131" operator="lessThan">
      <formula>0</formula>
    </cfRule>
  </conditionalFormatting>
  <conditionalFormatting sqref="I34">
    <cfRule type="cellIs" dxfId="1145" priority="1130" operator="lessThan">
      <formula>0</formula>
    </cfRule>
  </conditionalFormatting>
  <conditionalFormatting sqref="I34">
    <cfRule type="cellIs" dxfId="1144" priority="1129" operator="lessThan">
      <formula>0</formula>
    </cfRule>
  </conditionalFormatting>
  <conditionalFormatting sqref="I34">
    <cfRule type="cellIs" dxfId="1143" priority="1128" operator="lessThan">
      <formula>0</formula>
    </cfRule>
  </conditionalFormatting>
  <conditionalFormatting sqref="I34">
    <cfRule type="cellIs" dxfId="1142" priority="1127" operator="lessThan">
      <formula>0</formula>
    </cfRule>
  </conditionalFormatting>
  <conditionalFormatting sqref="I34">
    <cfRule type="cellIs" dxfId="1141" priority="1126" operator="lessThan">
      <formula>0</formula>
    </cfRule>
  </conditionalFormatting>
  <conditionalFormatting sqref="I34">
    <cfRule type="cellIs" dxfId="1140" priority="1125" operator="lessThan">
      <formula>0</formula>
    </cfRule>
  </conditionalFormatting>
  <conditionalFormatting sqref="I34">
    <cfRule type="cellIs" dxfId="1139" priority="1124" operator="lessThan">
      <formula>0</formula>
    </cfRule>
  </conditionalFormatting>
  <conditionalFormatting sqref="I34">
    <cfRule type="cellIs" dxfId="1138" priority="1123" operator="lessThan">
      <formula>0</formula>
    </cfRule>
  </conditionalFormatting>
  <conditionalFormatting sqref="I34">
    <cfRule type="cellIs" dxfId="1137" priority="1122" operator="lessThan">
      <formula>0</formula>
    </cfRule>
  </conditionalFormatting>
  <conditionalFormatting sqref="I34">
    <cfRule type="cellIs" dxfId="1136" priority="1121" operator="lessThan">
      <formula>0</formula>
    </cfRule>
  </conditionalFormatting>
  <conditionalFormatting sqref="I34">
    <cfRule type="cellIs" dxfId="1135" priority="1120" operator="lessThan">
      <formula>0</formula>
    </cfRule>
  </conditionalFormatting>
  <conditionalFormatting sqref="I34">
    <cfRule type="cellIs" dxfId="1134" priority="1119" operator="lessThan">
      <formula>0</formula>
    </cfRule>
  </conditionalFormatting>
  <conditionalFormatting sqref="I34">
    <cfRule type="cellIs" dxfId="1133" priority="1118" operator="lessThan">
      <formula>0</formula>
    </cfRule>
  </conditionalFormatting>
  <conditionalFormatting sqref="I34">
    <cfRule type="cellIs" dxfId="1132" priority="1117" operator="lessThan">
      <formula>0</formula>
    </cfRule>
  </conditionalFormatting>
  <conditionalFormatting sqref="I34">
    <cfRule type="cellIs" dxfId="1131" priority="1116" operator="lessThan">
      <formula>0</formula>
    </cfRule>
  </conditionalFormatting>
  <conditionalFormatting sqref="I34">
    <cfRule type="cellIs" dxfId="1130" priority="1115" operator="lessThan">
      <formula>0</formula>
    </cfRule>
  </conditionalFormatting>
  <conditionalFormatting sqref="I34">
    <cfRule type="cellIs" dxfId="1129" priority="1114" operator="lessThan">
      <formula>0</formula>
    </cfRule>
  </conditionalFormatting>
  <conditionalFormatting sqref="I34">
    <cfRule type="cellIs" dxfId="1128" priority="1113" operator="lessThan">
      <formula>0</formula>
    </cfRule>
  </conditionalFormatting>
  <conditionalFormatting sqref="I34">
    <cfRule type="cellIs" dxfId="1127" priority="1112" operator="lessThan">
      <formula>0</formula>
    </cfRule>
  </conditionalFormatting>
  <conditionalFormatting sqref="I34">
    <cfRule type="cellIs" dxfId="1126" priority="1111" operator="lessThan">
      <formula>0</formula>
    </cfRule>
  </conditionalFormatting>
  <conditionalFormatting sqref="I34">
    <cfRule type="cellIs" dxfId="1125" priority="1110" operator="lessThan">
      <formula>0</formula>
    </cfRule>
  </conditionalFormatting>
  <conditionalFormatting sqref="I34">
    <cfRule type="cellIs" dxfId="1124" priority="1109" operator="lessThan">
      <formula>0</formula>
    </cfRule>
  </conditionalFormatting>
  <conditionalFormatting sqref="I34">
    <cfRule type="cellIs" dxfId="1123" priority="1108" operator="lessThan">
      <formula>0</formula>
    </cfRule>
  </conditionalFormatting>
  <conditionalFormatting sqref="I34">
    <cfRule type="cellIs" dxfId="1122" priority="1107" operator="lessThan">
      <formula>0</formula>
    </cfRule>
  </conditionalFormatting>
  <conditionalFormatting sqref="I34">
    <cfRule type="cellIs" dxfId="1121" priority="1106" operator="lessThan">
      <formula>0</formula>
    </cfRule>
  </conditionalFormatting>
  <conditionalFormatting sqref="I34">
    <cfRule type="cellIs" dxfId="1120" priority="1105" operator="lessThan">
      <formula>0</formula>
    </cfRule>
  </conditionalFormatting>
  <conditionalFormatting sqref="I34">
    <cfRule type="cellIs" dxfId="1119" priority="1104" operator="lessThan">
      <formula>0</formula>
    </cfRule>
  </conditionalFormatting>
  <conditionalFormatting sqref="I34">
    <cfRule type="cellIs" dxfId="1118" priority="1103" operator="lessThan">
      <formula>0</formula>
    </cfRule>
  </conditionalFormatting>
  <conditionalFormatting sqref="I34">
    <cfRule type="cellIs" dxfId="1117" priority="1102" operator="lessThan">
      <formula>0</formula>
    </cfRule>
  </conditionalFormatting>
  <conditionalFormatting sqref="I34">
    <cfRule type="cellIs" dxfId="1116" priority="1101" operator="lessThan">
      <formula>0</formula>
    </cfRule>
  </conditionalFormatting>
  <conditionalFormatting sqref="I34">
    <cfRule type="cellIs" dxfId="1115" priority="1100" operator="lessThan">
      <formula>0</formula>
    </cfRule>
  </conditionalFormatting>
  <conditionalFormatting sqref="I34">
    <cfRule type="cellIs" dxfId="1114" priority="1099" operator="lessThan">
      <formula>0</formula>
    </cfRule>
  </conditionalFormatting>
  <conditionalFormatting sqref="I34">
    <cfRule type="cellIs" dxfId="1113" priority="1098" operator="lessThan">
      <formula>0</formula>
    </cfRule>
  </conditionalFormatting>
  <conditionalFormatting sqref="I34">
    <cfRule type="cellIs" dxfId="1112" priority="1097" operator="lessThan">
      <formula>0</formula>
    </cfRule>
  </conditionalFormatting>
  <conditionalFormatting sqref="I34">
    <cfRule type="cellIs" dxfId="1111" priority="1096" operator="lessThan">
      <formula>0</formula>
    </cfRule>
  </conditionalFormatting>
  <conditionalFormatting sqref="I34">
    <cfRule type="cellIs" dxfId="1110" priority="1095" operator="lessThan">
      <formula>0</formula>
    </cfRule>
  </conditionalFormatting>
  <conditionalFormatting sqref="I34">
    <cfRule type="cellIs" dxfId="1109" priority="1094" operator="lessThan">
      <formula>0</formula>
    </cfRule>
  </conditionalFormatting>
  <conditionalFormatting sqref="I34">
    <cfRule type="cellIs" dxfId="1108" priority="1093" operator="lessThan">
      <formula>0</formula>
    </cfRule>
  </conditionalFormatting>
  <conditionalFormatting sqref="I34">
    <cfRule type="cellIs" dxfId="1107" priority="1092" operator="lessThan">
      <formula>0</formula>
    </cfRule>
  </conditionalFormatting>
  <conditionalFormatting sqref="I34">
    <cfRule type="cellIs" dxfId="1106" priority="1091" operator="lessThan">
      <formula>0</formula>
    </cfRule>
  </conditionalFormatting>
  <conditionalFormatting sqref="I34">
    <cfRule type="cellIs" dxfId="1105" priority="1090" operator="lessThan">
      <formula>0</formula>
    </cfRule>
  </conditionalFormatting>
  <conditionalFormatting sqref="I34">
    <cfRule type="cellIs" dxfId="1104" priority="1089" operator="lessThan">
      <formula>0</formula>
    </cfRule>
  </conditionalFormatting>
  <conditionalFormatting sqref="I34">
    <cfRule type="cellIs" dxfId="1103" priority="1088" operator="lessThan">
      <formula>0</formula>
    </cfRule>
  </conditionalFormatting>
  <conditionalFormatting sqref="I34">
    <cfRule type="cellIs" dxfId="1102" priority="1087" operator="lessThan">
      <formula>0</formula>
    </cfRule>
  </conditionalFormatting>
  <conditionalFormatting sqref="I34">
    <cfRule type="cellIs" dxfId="1101" priority="1086" operator="lessThan">
      <formula>0</formula>
    </cfRule>
  </conditionalFormatting>
  <conditionalFormatting sqref="I34">
    <cfRule type="cellIs" dxfId="1100" priority="1085" operator="lessThan">
      <formula>0</formula>
    </cfRule>
  </conditionalFormatting>
  <conditionalFormatting sqref="I34">
    <cfRule type="cellIs" dxfId="1099" priority="1084" operator="lessThan">
      <formula>0</formula>
    </cfRule>
  </conditionalFormatting>
  <conditionalFormatting sqref="I34">
    <cfRule type="cellIs" dxfId="1098" priority="1083" operator="lessThan">
      <formula>0</formula>
    </cfRule>
  </conditionalFormatting>
  <conditionalFormatting sqref="I34">
    <cfRule type="cellIs" dxfId="1097" priority="1082" operator="lessThan">
      <formula>0</formula>
    </cfRule>
  </conditionalFormatting>
  <conditionalFormatting sqref="I34">
    <cfRule type="cellIs" dxfId="1096" priority="1081" operator="lessThan">
      <formula>0</formula>
    </cfRule>
  </conditionalFormatting>
  <conditionalFormatting sqref="I34">
    <cfRule type="cellIs" dxfId="1095" priority="1080" operator="lessThan">
      <formula>0</formula>
    </cfRule>
  </conditionalFormatting>
  <conditionalFormatting sqref="I34">
    <cfRule type="cellIs" dxfId="1094" priority="1079" operator="lessThan">
      <formula>0</formula>
    </cfRule>
  </conditionalFormatting>
  <conditionalFormatting sqref="I34">
    <cfRule type="cellIs" dxfId="1093" priority="1078" operator="lessThan">
      <formula>0</formula>
    </cfRule>
  </conditionalFormatting>
  <conditionalFormatting sqref="I34">
    <cfRule type="cellIs" dxfId="1092" priority="1077" operator="lessThan">
      <formula>0</formula>
    </cfRule>
  </conditionalFormatting>
  <conditionalFormatting sqref="I34">
    <cfRule type="cellIs" dxfId="1091" priority="1076" operator="lessThan">
      <formula>0</formula>
    </cfRule>
  </conditionalFormatting>
  <conditionalFormatting sqref="I34">
    <cfRule type="cellIs" dxfId="1090" priority="1075" operator="lessThan">
      <formula>0</formula>
    </cfRule>
  </conditionalFormatting>
  <conditionalFormatting sqref="I34">
    <cfRule type="cellIs" dxfId="1089" priority="1074" operator="lessThan">
      <formula>0</formula>
    </cfRule>
  </conditionalFormatting>
  <conditionalFormatting sqref="I34">
    <cfRule type="cellIs" dxfId="1088" priority="1073" operator="lessThan">
      <formula>0</formula>
    </cfRule>
  </conditionalFormatting>
  <conditionalFormatting sqref="I34">
    <cfRule type="cellIs" dxfId="1087" priority="1072" operator="lessThan">
      <formula>0</formula>
    </cfRule>
  </conditionalFormatting>
  <conditionalFormatting sqref="I34">
    <cfRule type="cellIs" dxfId="1086" priority="1071" operator="lessThan">
      <formula>0</formula>
    </cfRule>
  </conditionalFormatting>
  <conditionalFormatting sqref="I34">
    <cfRule type="cellIs" dxfId="1085" priority="1070" operator="lessThan">
      <formula>0</formula>
    </cfRule>
  </conditionalFormatting>
  <conditionalFormatting sqref="I34">
    <cfRule type="cellIs" dxfId="1084" priority="1069" operator="lessThan">
      <formula>0</formula>
    </cfRule>
  </conditionalFormatting>
  <conditionalFormatting sqref="I34">
    <cfRule type="cellIs" dxfId="1083" priority="1068" operator="lessThan">
      <formula>0</formula>
    </cfRule>
  </conditionalFormatting>
  <conditionalFormatting sqref="I34">
    <cfRule type="cellIs" dxfId="1082" priority="1067" operator="lessThan">
      <formula>0</formula>
    </cfRule>
  </conditionalFormatting>
  <conditionalFormatting sqref="I34">
    <cfRule type="cellIs" dxfId="1081" priority="1066" operator="lessThan">
      <formula>0</formula>
    </cfRule>
  </conditionalFormatting>
  <conditionalFormatting sqref="I34">
    <cfRule type="cellIs" dxfId="1080" priority="1065" operator="lessThan">
      <formula>0</formula>
    </cfRule>
  </conditionalFormatting>
  <conditionalFormatting sqref="I34">
    <cfRule type="cellIs" dxfId="1079" priority="1064" operator="lessThan">
      <formula>0</formula>
    </cfRule>
  </conditionalFormatting>
  <conditionalFormatting sqref="I34">
    <cfRule type="cellIs" dxfId="1078" priority="1063" operator="lessThan">
      <formula>0</formula>
    </cfRule>
  </conditionalFormatting>
  <conditionalFormatting sqref="I34">
    <cfRule type="cellIs" dxfId="1077" priority="1062" operator="lessThan">
      <formula>0</formula>
    </cfRule>
  </conditionalFormatting>
  <conditionalFormatting sqref="I34">
    <cfRule type="cellIs" dxfId="1076" priority="1061" operator="lessThan">
      <formula>0</formula>
    </cfRule>
  </conditionalFormatting>
  <conditionalFormatting sqref="I34">
    <cfRule type="cellIs" dxfId="1075" priority="1060" operator="lessThan">
      <formula>0</formula>
    </cfRule>
  </conditionalFormatting>
  <conditionalFormatting sqref="I34">
    <cfRule type="cellIs" dxfId="1074" priority="1059" operator="lessThan">
      <formula>0</formula>
    </cfRule>
  </conditionalFormatting>
  <conditionalFormatting sqref="I34">
    <cfRule type="cellIs" dxfId="1073" priority="1058" operator="lessThan">
      <formula>0</formula>
    </cfRule>
  </conditionalFormatting>
  <conditionalFormatting sqref="I34">
    <cfRule type="cellIs" dxfId="1072" priority="1057" operator="lessThan">
      <formula>0</formula>
    </cfRule>
  </conditionalFormatting>
  <conditionalFormatting sqref="I34">
    <cfRule type="cellIs" dxfId="1071" priority="1056" operator="lessThan">
      <formula>0</formula>
    </cfRule>
  </conditionalFormatting>
  <conditionalFormatting sqref="I34">
    <cfRule type="cellIs" dxfId="1070" priority="1055" operator="lessThan">
      <formula>0</formula>
    </cfRule>
  </conditionalFormatting>
  <conditionalFormatting sqref="I34">
    <cfRule type="cellIs" dxfId="1069" priority="1054" operator="lessThan">
      <formula>0</formula>
    </cfRule>
  </conditionalFormatting>
  <conditionalFormatting sqref="I34">
    <cfRule type="cellIs" dxfId="1068" priority="1053" operator="lessThan">
      <formula>0</formula>
    </cfRule>
  </conditionalFormatting>
  <conditionalFormatting sqref="I34">
    <cfRule type="cellIs" dxfId="1067" priority="1052" operator="lessThan">
      <formula>0</formula>
    </cfRule>
  </conditionalFormatting>
  <conditionalFormatting sqref="I34">
    <cfRule type="cellIs" dxfId="1066" priority="1051" operator="lessThan">
      <formula>0</formula>
    </cfRule>
  </conditionalFormatting>
  <conditionalFormatting sqref="I34">
    <cfRule type="cellIs" dxfId="1065" priority="1050" operator="lessThan">
      <formula>0</formula>
    </cfRule>
  </conditionalFormatting>
  <conditionalFormatting sqref="I34">
    <cfRule type="cellIs" dxfId="1064" priority="1049" operator="lessThan">
      <formula>0</formula>
    </cfRule>
  </conditionalFormatting>
  <conditionalFormatting sqref="I34">
    <cfRule type="cellIs" dxfId="1063" priority="1048" operator="lessThan">
      <formula>0</formula>
    </cfRule>
  </conditionalFormatting>
  <conditionalFormatting sqref="I34">
    <cfRule type="cellIs" dxfId="1062" priority="1047" operator="lessThan">
      <formula>0</formula>
    </cfRule>
  </conditionalFormatting>
  <conditionalFormatting sqref="I34">
    <cfRule type="cellIs" dxfId="1061" priority="1046" operator="lessThan">
      <formula>0</formula>
    </cfRule>
  </conditionalFormatting>
  <conditionalFormatting sqref="I34">
    <cfRule type="cellIs" dxfId="1060" priority="1045" operator="lessThan">
      <formula>0</formula>
    </cfRule>
  </conditionalFormatting>
  <conditionalFormatting sqref="I34">
    <cfRule type="cellIs" dxfId="1059" priority="1044" operator="lessThan">
      <formula>0</formula>
    </cfRule>
  </conditionalFormatting>
  <conditionalFormatting sqref="I34">
    <cfRule type="cellIs" dxfId="1058" priority="1043" operator="lessThan">
      <formula>0</formula>
    </cfRule>
  </conditionalFormatting>
  <conditionalFormatting sqref="I34">
    <cfRule type="cellIs" dxfId="1057" priority="1042" operator="lessThan">
      <formula>0</formula>
    </cfRule>
  </conditionalFormatting>
  <conditionalFormatting sqref="I34">
    <cfRule type="cellIs" dxfId="1056" priority="1041" operator="lessThan">
      <formula>0</formula>
    </cfRule>
  </conditionalFormatting>
  <conditionalFormatting sqref="I34">
    <cfRule type="cellIs" dxfId="1055" priority="1040" operator="lessThan">
      <formula>0</formula>
    </cfRule>
  </conditionalFormatting>
  <conditionalFormatting sqref="I34">
    <cfRule type="cellIs" dxfId="1054" priority="1039" operator="lessThan">
      <formula>0</formula>
    </cfRule>
  </conditionalFormatting>
  <conditionalFormatting sqref="I34">
    <cfRule type="cellIs" dxfId="1053" priority="1038" operator="lessThan">
      <formula>0</formula>
    </cfRule>
  </conditionalFormatting>
  <conditionalFormatting sqref="I34">
    <cfRule type="cellIs" dxfId="1052" priority="1037" operator="lessThan">
      <formula>0</formula>
    </cfRule>
  </conditionalFormatting>
  <conditionalFormatting sqref="I34">
    <cfRule type="cellIs" dxfId="1051" priority="1036" operator="lessThan">
      <formula>0</formula>
    </cfRule>
  </conditionalFormatting>
  <conditionalFormatting sqref="I34">
    <cfRule type="cellIs" dxfId="1050" priority="1035" operator="lessThan">
      <formula>0</formula>
    </cfRule>
  </conditionalFormatting>
  <conditionalFormatting sqref="I34">
    <cfRule type="cellIs" dxfId="1049" priority="1034" operator="lessThan">
      <formula>0</formula>
    </cfRule>
  </conditionalFormatting>
  <conditionalFormatting sqref="I34">
    <cfRule type="cellIs" dxfId="1048" priority="1033" operator="lessThan">
      <formula>0</formula>
    </cfRule>
  </conditionalFormatting>
  <conditionalFormatting sqref="I34">
    <cfRule type="cellIs" dxfId="1047" priority="1032" operator="lessThan">
      <formula>0</formula>
    </cfRule>
  </conditionalFormatting>
  <conditionalFormatting sqref="I34">
    <cfRule type="cellIs" dxfId="1046" priority="1031" operator="lessThan">
      <formula>0</formula>
    </cfRule>
  </conditionalFormatting>
  <conditionalFormatting sqref="I34">
    <cfRule type="cellIs" dxfId="1045" priority="1030" operator="lessThan">
      <formula>0</formula>
    </cfRule>
  </conditionalFormatting>
  <conditionalFormatting sqref="I34">
    <cfRule type="cellIs" dxfId="1044" priority="1029" operator="lessThan">
      <formula>0</formula>
    </cfRule>
  </conditionalFormatting>
  <conditionalFormatting sqref="I34">
    <cfRule type="cellIs" dxfId="1043" priority="1028" operator="lessThan">
      <formula>0</formula>
    </cfRule>
  </conditionalFormatting>
  <conditionalFormatting sqref="I34">
    <cfRule type="cellIs" dxfId="1042" priority="1027" operator="lessThan">
      <formula>0</formula>
    </cfRule>
  </conditionalFormatting>
  <conditionalFormatting sqref="I34">
    <cfRule type="cellIs" dxfId="1041" priority="1026" operator="lessThan">
      <formula>0</formula>
    </cfRule>
  </conditionalFormatting>
  <conditionalFormatting sqref="I34">
    <cfRule type="cellIs" dxfId="1040" priority="1025" operator="lessThan">
      <formula>0</formula>
    </cfRule>
  </conditionalFormatting>
  <conditionalFormatting sqref="I34">
    <cfRule type="cellIs" dxfId="1039" priority="1024" operator="lessThan">
      <formula>0</formula>
    </cfRule>
  </conditionalFormatting>
  <conditionalFormatting sqref="I34">
    <cfRule type="cellIs" dxfId="1038" priority="1023" operator="lessThan">
      <formula>0</formula>
    </cfRule>
  </conditionalFormatting>
  <conditionalFormatting sqref="I34">
    <cfRule type="cellIs" dxfId="1037" priority="1022" operator="lessThan">
      <formula>0</formula>
    </cfRule>
  </conditionalFormatting>
  <conditionalFormatting sqref="I34">
    <cfRule type="cellIs" dxfId="1036" priority="1021" operator="lessThan">
      <formula>0</formula>
    </cfRule>
  </conditionalFormatting>
  <conditionalFormatting sqref="I34">
    <cfRule type="cellIs" dxfId="1035" priority="1020" operator="lessThan">
      <formula>0</formula>
    </cfRule>
  </conditionalFormatting>
  <conditionalFormatting sqref="I34">
    <cfRule type="cellIs" dxfId="1034" priority="1019" operator="lessThan">
      <formula>0</formula>
    </cfRule>
  </conditionalFormatting>
  <conditionalFormatting sqref="I34">
    <cfRule type="cellIs" dxfId="1033" priority="1018" operator="lessThan">
      <formula>0</formula>
    </cfRule>
  </conditionalFormatting>
  <conditionalFormatting sqref="I34">
    <cfRule type="cellIs" dxfId="1032" priority="1017" operator="lessThan">
      <formula>0</formula>
    </cfRule>
  </conditionalFormatting>
  <conditionalFormatting sqref="I34">
    <cfRule type="cellIs" dxfId="1031" priority="1016" operator="lessThan">
      <formula>0</formula>
    </cfRule>
  </conditionalFormatting>
  <conditionalFormatting sqref="I22:I29">
    <cfRule type="cellIs" dxfId="1030" priority="1015" operator="lessThan">
      <formula>0</formula>
    </cfRule>
  </conditionalFormatting>
  <conditionalFormatting sqref="I22:I29">
    <cfRule type="cellIs" dxfId="1029" priority="1014" operator="lessThan">
      <formula>0</formula>
    </cfRule>
  </conditionalFormatting>
  <conditionalFormatting sqref="I22:I29">
    <cfRule type="cellIs" dxfId="1028" priority="1013" operator="lessThan">
      <formula>0</formula>
    </cfRule>
  </conditionalFormatting>
  <conditionalFormatting sqref="I22:I29">
    <cfRule type="cellIs" dxfId="1027" priority="1012" operator="lessThan">
      <formula>0</formula>
    </cfRule>
  </conditionalFormatting>
  <conditionalFormatting sqref="I22:I29">
    <cfRule type="cellIs" dxfId="1026" priority="1011" operator="lessThan">
      <formula>0</formula>
    </cfRule>
  </conditionalFormatting>
  <conditionalFormatting sqref="I22:I29">
    <cfRule type="cellIs" dxfId="1025" priority="1010" operator="lessThan">
      <formula>0</formula>
    </cfRule>
  </conditionalFormatting>
  <conditionalFormatting sqref="I22:I29">
    <cfRule type="cellIs" dxfId="1024" priority="1009" operator="lessThan">
      <formula>0</formula>
    </cfRule>
  </conditionalFormatting>
  <conditionalFormatting sqref="I22:I29">
    <cfRule type="cellIs" dxfId="1023" priority="1008" operator="lessThan">
      <formula>0</formula>
    </cfRule>
  </conditionalFormatting>
  <conditionalFormatting sqref="I22:I29">
    <cfRule type="cellIs" dxfId="1022" priority="1007" operator="lessThan">
      <formula>0</formula>
    </cfRule>
  </conditionalFormatting>
  <conditionalFormatting sqref="I22:I29">
    <cfRule type="cellIs" dxfId="1021" priority="1006" operator="lessThan">
      <formula>0</formula>
    </cfRule>
  </conditionalFormatting>
  <conditionalFormatting sqref="I22:I29">
    <cfRule type="cellIs" dxfId="1020" priority="1005" operator="lessThan">
      <formula>0</formula>
    </cfRule>
  </conditionalFormatting>
  <conditionalFormatting sqref="I22:I29">
    <cfRule type="cellIs" dxfId="1019" priority="1004" operator="lessThan">
      <formula>0</formula>
    </cfRule>
  </conditionalFormatting>
  <conditionalFormatting sqref="I22:I29">
    <cfRule type="cellIs" dxfId="1018" priority="1003" operator="lessThan">
      <formula>0</formula>
    </cfRule>
  </conditionalFormatting>
  <conditionalFormatting sqref="I22:I29">
    <cfRule type="cellIs" dxfId="1017" priority="1002" operator="lessThan">
      <formula>0</formula>
    </cfRule>
  </conditionalFormatting>
  <conditionalFormatting sqref="I22:I29">
    <cfRule type="cellIs" dxfId="1016" priority="1001" operator="lessThan">
      <formula>0</formula>
    </cfRule>
  </conditionalFormatting>
  <conditionalFormatting sqref="I22:I29">
    <cfRule type="cellIs" dxfId="1015" priority="1000" operator="lessThan">
      <formula>0</formula>
    </cfRule>
  </conditionalFormatting>
  <conditionalFormatting sqref="I22:I29">
    <cfRule type="cellIs" dxfId="1014" priority="999" operator="lessThan">
      <formula>0</formula>
    </cfRule>
  </conditionalFormatting>
  <conditionalFormatting sqref="I22:I29">
    <cfRule type="cellIs" dxfId="1013" priority="998" operator="lessThan">
      <formula>0</formula>
    </cfRule>
  </conditionalFormatting>
  <conditionalFormatting sqref="I22:I29">
    <cfRule type="cellIs" dxfId="1012" priority="997" operator="lessThan">
      <formula>0</formula>
    </cfRule>
  </conditionalFormatting>
  <conditionalFormatting sqref="I22:I29">
    <cfRule type="cellIs" dxfId="1011" priority="996" operator="lessThan">
      <formula>0</formula>
    </cfRule>
  </conditionalFormatting>
  <conditionalFormatting sqref="I22:I29">
    <cfRule type="cellIs" dxfId="1010" priority="995" operator="lessThan">
      <formula>0</formula>
    </cfRule>
  </conditionalFormatting>
  <conditionalFormatting sqref="I22:I29">
    <cfRule type="cellIs" dxfId="1009" priority="994" operator="lessThan">
      <formula>0</formula>
    </cfRule>
  </conditionalFormatting>
  <conditionalFormatting sqref="I22:I29">
    <cfRule type="cellIs" dxfId="1008" priority="993" operator="lessThan">
      <formula>0</formula>
    </cfRule>
  </conditionalFormatting>
  <conditionalFormatting sqref="I22:I29">
    <cfRule type="cellIs" dxfId="1007" priority="992" operator="lessThan">
      <formula>0</formula>
    </cfRule>
  </conditionalFormatting>
  <conditionalFormatting sqref="I22:I29">
    <cfRule type="cellIs" dxfId="1006" priority="991" operator="lessThan">
      <formula>0</formula>
    </cfRule>
  </conditionalFormatting>
  <conditionalFormatting sqref="I22:I29">
    <cfRule type="cellIs" dxfId="1005" priority="990" operator="lessThan">
      <formula>0</formula>
    </cfRule>
  </conditionalFormatting>
  <conditionalFormatting sqref="I22:I29">
    <cfRule type="cellIs" dxfId="1004" priority="989" operator="lessThan">
      <formula>0</formula>
    </cfRule>
  </conditionalFormatting>
  <conditionalFormatting sqref="I22:I29">
    <cfRule type="cellIs" dxfId="1003" priority="988" operator="lessThan">
      <formula>0</formula>
    </cfRule>
  </conditionalFormatting>
  <conditionalFormatting sqref="I22:I29">
    <cfRule type="cellIs" dxfId="1002" priority="987" operator="lessThan">
      <formula>0</formula>
    </cfRule>
  </conditionalFormatting>
  <conditionalFormatting sqref="I22:I29">
    <cfRule type="cellIs" dxfId="1001" priority="986" operator="lessThan">
      <formula>0</formula>
    </cfRule>
  </conditionalFormatting>
  <conditionalFormatting sqref="I22:I29">
    <cfRule type="cellIs" dxfId="1000" priority="985" operator="lessThan">
      <formula>0</formula>
    </cfRule>
  </conditionalFormatting>
  <conditionalFormatting sqref="I22:I29">
    <cfRule type="cellIs" dxfId="999" priority="984" operator="lessThan">
      <formula>0</formula>
    </cfRule>
  </conditionalFormatting>
  <conditionalFormatting sqref="I22:I29">
    <cfRule type="cellIs" dxfId="998" priority="983" operator="lessThan">
      <formula>0</formula>
    </cfRule>
  </conditionalFormatting>
  <conditionalFormatting sqref="I22:I29">
    <cfRule type="cellIs" dxfId="997" priority="982" operator="lessThan">
      <formula>0</formula>
    </cfRule>
  </conditionalFormatting>
  <conditionalFormatting sqref="I22:I29">
    <cfRule type="cellIs" dxfId="996" priority="981" operator="lessThan">
      <formula>0</formula>
    </cfRule>
  </conditionalFormatting>
  <conditionalFormatting sqref="I22:I29">
    <cfRule type="cellIs" dxfId="995" priority="980" operator="lessThan">
      <formula>0</formula>
    </cfRule>
  </conditionalFormatting>
  <conditionalFormatting sqref="I22:I29">
    <cfRule type="cellIs" dxfId="994" priority="979" operator="lessThan">
      <formula>0</formula>
    </cfRule>
  </conditionalFormatting>
  <conditionalFormatting sqref="I22:I29">
    <cfRule type="cellIs" dxfId="993" priority="978" operator="lessThan">
      <formula>0</formula>
    </cfRule>
  </conditionalFormatting>
  <conditionalFormatting sqref="I22:I29">
    <cfRule type="cellIs" dxfId="992" priority="977" operator="lessThan">
      <formula>0</formula>
    </cfRule>
  </conditionalFormatting>
  <conditionalFormatting sqref="I22:I29">
    <cfRule type="cellIs" dxfId="991" priority="976" operator="lessThan">
      <formula>0</formula>
    </cfRule>
  </conditionalFormatting>
  <conditionalFormatting sqref="I22:I29">
    <cfRule type="cellIs" dxfId="990" priority="975" operator="lessThan">
      <formula>0</formula>
    </cfRule>
  </conditionalFormatting>
  <conditionalFormatting sqref="I22:I29">
    <cfRule type="cellIs" dxfId="989" priority="974" operator="lessThan">
      <formula>0</formula>
    </cfRule>
  </conditionalFormatting>
  <conditionalFormatting sqref="I22:I29">
    <cfRule type="cellIs" dxfId="988" priority="973" operator="lessThan">
      <formula>0</formula>
    </cfRule>
  </conditionalFormatting>
  <conditionalFormatting sqref="I22:I29">
    <cfRule type="cellIs" dxfId="987" priority="972" operator="lessThan">
      <formula>0</formula>
    </cfRule>
  </conditionalFormatting>
  <conditionalFormatting sqref="I22:I29">
    <cfRule type="cellIs" dxfId="986" priority="971" operator="lessThan">
      <formula>0</formula>
    </cfRule>
  </conditionalFormatting>
  <conditionalFormatting sqref="I22:I29">
    <cfRule type="cellIs" dxfId="985" priority="970" operator="lessThan">
      <formula>0</formula>
    </cfRule>
  </conditionalFormatting>
  <conditionalFormatting sqref="I22:I29">
    <cfRule type="cellIs" dxfId="984" priority="969" operator="lessThan">
      <formula>0</formula>
    </cfRule>
  </conditionalFormatting>
  <conditionalFormatting sqref="I22:I29">
    <cfRule type="cellIs" dxfId="983" priority="968" operator="lessThan">
      <formula>0</formula>
    </cfRule>
  </conditionalFormatting>
  <conditionalFormatting sqref="I22:I29">
    <cfRule type="cellIs" dxfId="982" priority="967" operator="lessThan">
      <formula>0</formula>
    </cfRule>
  </conditionalFormatting>
  <conditionalFormatting sqref="I22:I29">
    <cfRule type="cellIs" dxfId="981" priority="966" operator="lessThan">
      <formula>0</formula>
    </cfRule>
  </conditionalFormatting>
  <conditionalFormatting sqref="I22:I29">
    <cfRule type="cellIs" dxfId="980" priority="965" operator="lessThan">
      <formula>0</formula>
    </cfRule>
  </conditionalFormatting>
  <conditionalFormatting sqref="I22:I29">
    <cfRule type="cellIs" dxfId="979" priority="964" operator="lessThan">
      <formula>0</formula>
    </cfRule>
  </conditionalFormatting>
  <conditionalFormatting sqref="I22:I29">
    <cfRule type="cellIs" dxfId="978" priority="963" operator="lessThan">
      <formula>0</formula>
    </cfRule>
  </conditionalFormatting>
  <conditionalFormatting sqref="I22:I29">
    <cfRule type="cellIs" dxfId="977" priority="962" operator="lessThan">
      <formula>0</formula>
    </cfRule>
  </conditionalFormatting>
  <conditionalFormatting sqref="I22:I29">
    <cfRule type="cellIs" dxfId="976" priority="961" operator="lessThan">
      <formula>0</formula>
    </cfRule>
  </conditionalFormatting>
  <conditionalFormatting sqref="I22:I29">
    <cfRule type="cellIs" dxfId="975" priority="960" operator="lessThan">
      <formula>0</formula>
    </cfRule>
  </conditionalFormatting>
  <conditionalFormatting sqref="I22:I29">
    <cfRule type="cellIs" dxfId="974" priority="959" operator="lessThan">
      <formula>0</formula>
    </cfRule>
  </conditionalFormatting>
  <conditionalFormatting sqref="I22:I29">
    <cfRule type="cellIs" dxfId="973" priority="958" operator="lessThan">
      <formula>0</formula>
    </cfRule>
  </conditionalFormatting>
  <conditionalFormatting sqref="I22:I29">
    <cfRule type="cellIs" dxfId="972" priority="957" operator="lessThan">
      <formula>0</formula>
    </cfRule>
  </conditionalFormatting>
  <conditionalFormatting sqref="I22:I29">
    <cfRule type="cellIs" dxfId="971" priority="956" operator="lessThan">
      <formula>0</formula>
    </cfRule>
  </conditionalFormatting>
  <conditionalFormatting sqref="I22:I29">
    <cfRule type="cellIs" dxfId="970" priority="955" operator="lessThan">
      <formula>0</formula>
    </cfRule>
  </conditionalFormatting>
  <conditionalFormatting sqref="I22:I29">
    <cfRule type="cellIs" dxfId="969" priority="954" operator="lessThan">
      <formula>0</formula>
    </cfRule>
  </conditionalFormatting>
  <conditionalFormatting sqref="I22:I29">
    <cfRule type="cellIs" dxfId="968" priority="953" operator="lessThan">
      <formula>0</formula>
    </cfRule>
  </conditionalFormatting>
  <conditionalFormatting sqref="I22:I29">
    <cfRule type="cellIs" dxfId="967" priority="952" operator="lessThan">
      <formula>0</formula>
    </cfRule>
  </conditionalFormatting>
  <conditionalFormatting sqref="I22:I29">
    <cfRule type="cellIs" dxfId="966" priority="951" operator="lessThan">
      <formula>0</formula>
    </cfRule>
  </conditionalFormatting>
  <conditionalFormatting sqref="I22:I29">
    <cfRule type="cellIs" dxfId="965" priority="950" operator="lessThan">
      <formula>0</formula>
    </cfRule>
  </conditionalFormatting>
  <conditionalFormatting sqref="I22:I29">
    <cfRule type="cellIs" dxfId="964" priority="949" operator="lessThan">
      <formula>0</formula>
    </cfRule>
  </conditionalFormatting>
  <conditionalFormatting sqref="I22:I29">
    <cfRule type="cellIs" dxfId="963" priority="948" operator="lessThan">
      <formula>0</formula>
    </cfRule>
  </conditionalFormatting>
  <conditionalFormatting sqref="I22:I29">
    <cfRule type="cellIs" dxfId="962" priority="947" operator="lessThan">
      <formula>0</formula>
    </cfRule>
  </conditionalFormatting>
  <conditionalFormatting sqref="I22:I29">
    <cfRule type="cellIs" dxfId="961" priority="946" operator="lessThan">
      <formula>0</formula>
    </cfRule>
  </conditionalFormatting>
  <conditionalFormatting sqref="I22:I29">
    <cfRule type="cellIs" dxfId="960" priority="945" operator="lessThan">
      <formula>0</formula>
    </cfRule>
  </conditionalFormatting>
  <conditionalFormatting sqref="I22:I29">
    <cfRule type="cellIs" dxfId="959" priority="944" operator="lessThan">
      <formula>0</formula>
    </cfRule>
  </conditionalFormatting>
  <conditionalFormatting sqref="I22:I29">
    <cfRule type="cellIs" dxfId="958" priority="943" operator="lessThan">
      <formula>0</formula>
    </cfRule>
  </conditionalFormatting>
  <conditionalFormatting sqref="I22:I29">
    <cfRule type="cellIs" dxfId="957" priority="942" operator="lessThan">
      <formula>0</formula>
    </cfRule>
  </conditionalFormatting>
  <conditionalFormatting sqref="I22:I29">
    <cfRule type="cellIs" dxfId="956" priority="941" operator="lessThan">
      <formula>0</formula>
    </cfRule>
  </conditionalFormatting>
  <conditionalFormatting sqref="I22:I29">
    <cfRule type="cellIs" dxfId="955" priority="940" operator="lessThan">
      <formula>0</formula>
    </cfRule>
  </conditionalFormatting>
  <conditionalFormatting sqref="I22:I29">
    <cfRule type="cellIs" dxfId="954" priority="939" operator="lessThan">
      <formula>0</formula>
    </cfRule>
  </conditionalFormatting>
  <conditionalFormatting sqref="I22:I29">
    <cfRule type="cellIs" dxfId="953" priority="938" operator="lessThan">
      <formula>0</formula>
    </cfRule>
  </conditionalFormatting>
  <conditionalFormatting sqref="I22:I29">
    <cfRule type="cellIs" dxfId="952" priority="937" operator="lessThan">
      <formula>0</formula>
    </cfRule>
  </conditionalFormatting>
  <conditionalFormatting sqref="I22:I29">
    <cfRule type="cellIs" dxfId="951" priority="936" operator="lessThan">
      <formula>0</formula>
    </cfRule>
  </conditionalFormatting>
  <conditionalFormatting sqref="I22:I29">
    <cfRule type="cellIs" dxfId="950" priority="935" operator="lessThan">
      <formula>0</formula>
    </cfRule>
  </conditionalFormatting>
  <conditionalFormatting sqref="I22:I29">
    <cfRule type="cellIs" dxfId="949" priority="934" operator="lessThan">
      <formula>0</formula>
    </cfRule>
  </conditionalFormatting>
  <conditionalFormatting sqref="I22:I29">
    <cfRule type="cellIs" dxfId="948" priority="933" operator="lessThan">
      <formula>0</formula>
    </cfRule>
  </conditionalFormatting>
  <conditionalFormatting sqref="I22:I29">
    <cfRule type="cellIs" dxfId="947" priority="932" operator="lessThan">
      <formula>0</formula>
    </cfRule>
  </conditionalFormatting>
  <conditionalFormatting sqref="I22:I29">
    <cfRule type="cellIs" dxfId="946" priority="931" operator="lessThan">
      <formula>0</formula>
    </cfRule>
  </conditionalFormatting>
  <conditionalFormatting sqref="I22:I29">
    <cfRule type="cellIs" dxfId="945" priority="930" operator="lessThan">
      <formula>0</formula>
    </cfRule>
  </conditionalFormatting>
  <conditionalFormatting sqref="I22:I29">
    <cfRule type="cellIs" dxfId="944" priority="929" operator="lessThan">
      <formula>0</formula>
    </cfRule>
  </conditionalFormatting>
  <conditionalFormatting sqref="I22:I29">
    <cfRule type="cellIs" dxfId="943" priority="928" operator="lessThan">
      <formula>0</formula>
    </cfRule>
  </conditionalFormatting>
  <conditionalFormatting sqref="I22:I29">
    <cfRule type="cellIs" dxfId="942" priority="927" operator="lessThan">
      <formula>0</formula>
    </cfRule>
  </conditionalFormatting>
  <conditionalFormatting sqref="I22:I29">
    <cfRule type="cellIs" dxfId="941" priority="926" operator="lessThan">
      <formula>0</formula>
    </cfRule>
  </conditionalFormatting>
  <conditionalFormatting sqref="I22:I29">
    <cfRule type="cellIs" dxfId="940" priority="925" operator="lessThan">
      <formula>0</formula>
    </cfRule>
  </conditionalFormatting>
  <conditionalFormatting sqref="I22:I29">
    <cfRule type="cellIs" dxfId="939" priority="924" operator="lessThan">
      <formula>0</formula>
    </cfRule>
  </conditionalFormatting>
  <conditionalFormatting sqref="I22:I29">
    <cfRule type="cellIs" dxfId="938" priority="923" operator="lessThan">
      <formula>0</formula>
    </cfRule>
  </conditionalFormatting>
  <conditionalFormatting sqref="I22:I29">
    <cfRule type="cellIs" dxfId="937" priority="922" operator="lessThan">
      <formula>0</formula>
    </cfRule>
  </conditionalFormatting>
  <conditionalFormatting sqref="I22:I29">
    <cfRule type="cellIs" dxfId="936" priority="921" operator="lessThan">
      <formula>0</formula>
    </cfRule>
  </conditionalFormatting>
  <conditionalFormatting sqref="I22:I29">
    <cfRule type="cellIs" dxfId="935" priority="920" operator="lessThan">
      <formula>0</formula>
    </cfRule>
  </conditionalFormatting>
  <conditionalFormatting sqref="I22:I29">
    <cfRule type="cellIs" dxfId="934" priority="919" operator="lessThan">
      <formula>0</formula>
    </cfRule>
  </conditionalFormatting>
  <conditionalFormatting sqref="I22:I29">
    <cfRule type="cellIs" dxfId="933" priority="918" operator="lessThan">
      <formula>0</formula>
    </cfRule>
  </conditionalFormatting>
  <conditionalFormatting sqref="I22:I29">
    <cfRule type="cellIs" dxfId="932" priority="917" operator="lessThan">
      <formula>0</formula>
    </cfRule>
  </conditionalFormatting>
  <conditionalFormatting sqref="I22:I29">
    <cfRule type="cellIs" dxfId="931" priority="916" operator="lessThan">
      <formula>0</formula>
    </cfRule>
  </conditionalFormatting>
  <conditionalFormatting sqref="I22:I29">
    <cfRule type="cellIs" dxfId="930" priority="915" operator="lessThan">
      <formula>0</formula>
    </cfRule>
  </conditionalFormatting>
  <conditionalFormatting sqref="I22:I29">
    <cfRule type="cellIs" dxfId="929" priority="914" operator="lessThan">
      <formula>0</formula>
    </cfRule>
  </conditionalFormatting>
  <conditionalFormatting sqref="I22:I29">
    <cfRule type="cellIs" dxfId="928" priority="913" operator="lessThan">
      <formula>0</formula>
    </cfRule>
  </conditionalFormatting>
  <conditionalFormatting sqref="I22:I29">
    <cfRule type="cellIs" dxfId="927" priority="912" operator="lessThan">
      <formula>0</formula>
    </cfRule>
  </conditionalFormatting>
  <conditionalFormatting sqref="I22:I29">
    <cfRule type="cellIs" dxfId="926" priority="911" operator="lessThan">
      <formula>0</formula>
    </cfRule>
  </conditionalFormatting>
  <conditionalFormatting sqref="I22:I29">
    <cfRule type="cellIs" dxfId="925" priority="910" operator="lessThan">
      <formula>0</formula>
    </cfRule>
  </conditionalFormatting>
  <conditionalFormatting sqref="I22:I29">
    <cfRule type="cellIs" dxfId="924" priority="909" operator="lessThan">
      <formula>0</formula>
    </cfRule>
  </conditionalFormatting>
  <conditionalFormatting sqref="I22:I29">
    <cfRule type="cellIs" dxfId="923" priority="908" operator="lessThan">
      <formula>0</formula>
    </cfRule>
  </conditionalFormatting>
  <conditionalFormatting sqref="I22:I29">
    <cfRule type="cellIs" dxfId="922" priority="907" operator="lessThan">
      <formula>0</formula>
    </cfRule>
  </conditionalFormatting>
  <conditionalFormatting sqref="I22:I29">
    <cfRule type="cellIs" dxfId="921" priority="906" operator="lessThan">
      <formula>0</formula>
    </cfRule>
  </conditionalFormatting>
  <conditionalFormatting sqref="I22:I29">
    <cfRule type="cellIs" dxfId="920" priority="905" operator="lessThan">
      <formula>0</formula>
    </cfRule>
  </conditionalFormatting>
  <conditionalFormatting sqref="I22:I29">
    <cfRule type="cellIs" dxfId="919" priority="904" operator="lessThan">
      <formula>0</formula>
    </cfRule>
  </conditionalFormatting>
  <conditionalFormatting sqref="I22:I29">
    <cfRule type="cellIs" dxfId="918" priority="903" operator="lessThan">
      <formula>0</formula>
    </cfRule>
  </conditionalFormatting>
  <conditionalFormatting sqref="I22:I29">
    <cfRule type="cellIs" dxfId="917" priority="902" operator="lessThan">
      <formula>0</formula>
    </cfRule>
  </conditionalFormatting>
  <conditionalFormatting sqref="I22:I29">
    <cfRule type="cellIs" dxfId="916" priority="901" operator="lessThan">
      <formula>0</formula>
    </cfRule>
  </conditionalFormatting>
  <conditionalFormatting sqref="I22:I29">
    <cfRule type="cellIs" dxfId="915" priority="900" operator="lessThan">
      <formula>0</formula>
    </cfRule>
  </conditionalFormatting>
  <conditionalFormatting sqref="I22:I29">
    <cfRule type="cellIs" dxfId="914" priority="899" operator="lessThan">
      <formula>0</formula>
    </cfRule>
  </conditionalFormatting>
  <conditionalFormatting sqref="I22:I29">
    <cfRule type="cellIs" dxfId="913" priority="898" operator="lessThan">
      <formula>0</formula>
    </cfRule>
  </conditionalFormatting>
  <conditionalFormatting sqref="I22:I29">
    <cfRule type="cellIs" dxfId="912" priority="897" operator="lessThan">
      <formula>0</formula>
    </cfRule>
  </conditionalFormatting>
  <conditionalFormatting sqref="I22:I29">
    <cfRule type="cellIs" dxfId="911" priority="896" operator="lessThan">
      <formula>0</formula>
    </cfRule>
  </conditionalFormatting>
  <conditionalFormatting sqref="I22:I29">
    <cfRule type="cellIs" dxfId="910" priority="895" operator="lessThan">
      <formula>0</formula>
    </cfRule>
  </conditionalFormatting>
  <conditionalFormatting sqref="I22:I29">
    <cfRule type="cellIs" dxfId="909" priority="894" operator="lessThan">
      <formula>0</formula>
    </cfRule>
  </conditionalFormatting>
  <conditionalFormatting sqref="I22:I29">
    <cfRule type="cellIs" dxfId="908" priority="893" operator="lessThan">
      <formula>0</formula>
    </cfRule>
  </conditionalFormatting>
  <conditionalFormatting sqref="I22:I29">
    <cfRule type="cellIs" dxfId="907" priority="892" operator="lessThan">
      <formula>0</formula>
    </cfRule>
  </conditionalFormatting>
  <conditionalFormatting sqref="I22:I29">
    <cfRule type="cellIs" dxfId="906" priority="891" operator="lessThan">
      <formula>0</formula>
    </cfRule>
  </conditionalFormatting>
  <conditionalFormatting sqref="I22:I29">
    <cfRule type="cellIs" dxfId="905" priority="890" operator="lessThan">
      <formula>0</formula>
    </cfRule>
  </conditionalFormatting>
  <conditionalFormatting sqref="I22:I29">
    <cfRule type="cellIs" dxfId="904" priority="889" operator="lessThan">
      <formula>0</formula>
    </cfRule>
  </conditionalFormatting>
  <conditionalFormatting sqref="I22:I29">
    <cfRule type="cellIs" dxfId="903" priority="888" operator="lessThan">
      <formula>0</formula>
    </cfRule>
  </conditionalFormatting>
  <conditionalFormatting sqref="I22:I29">
    <cfRule type="cellIs" dxfId="902" priority="887" operator="lessThan">
      <formula>0</formula>
    </cfRule>
  </conditionalFormatting>
  <conditionalFormatting sqref="I22:I29">
    <cfRule type="cellIs" dxfId="901" priority="886" operator="lessThan">
      <formula>0</formula>
    </cfRule>
  </conditionalFormatting>
  <conditionalFormatting sqref="I22:I29">
    <cfRule type="cellIs" dxfId="900" priority="885" operator="lessThan">
      <formula>0</formula>
    </cfRule>
  </conditionalFormatting>
  <conditionalFormatting sqref="I22:I29">
    <cfRule type="cellIs" dxfId="899" priority="884" operator="lessThan">
      <formula>0</formula>
    </cfRule>
  </conditionalFormatting>
  <conditionalFormatting sqref="I22:I29">
    <cfRule type="cellIs" dxfId="898" priority="883" operator="lessThan">
      <formula>0</formula>
    </cfRule>
  </conditionalFormatting>
  <conditionalFormatting sqref="I22:I29">
    <cfRule type="cellIs" dxfId="897" priority="882" operator="lessThan">
      <formula>0</formula>
    </cfRule>
  </conditionalFormatting>
  <conditionalFormatting sqref="I22:I29">
    <cfRule type="cellIs" dxfId="896" priority="881" operator="lessThan">
      <formula>0</formula>
    </cfRule>
  </conditionalFormatting>
  <conditionalFormatting sqref="I22:I29">
    <cfRule type="cellIs" dxfId="895" priority="880" operator="lessThan">
      <formula>0</formula>
    </cfRule>
  </conditionalFormatting>
  <conditionalFormatting sqref="I22:I29">
    <cfRule type="cellIs" dxfId="894" priority="879" operator="lessThan">
      <formula>0</formula>
    </cfRule>
  </conditionalFormatting>
  <conditionalFormatting sqref="I22:I29">
    <cfRule type="cellIs" dxfId="893" priority="878" operator="lessThan">
      <formula>0</formula>
    </cfRule>
  </conditionalFormatting>
  <conditionalFormatting sqref="I22:I29">
    <cfRule type="cellIs" dxfId="892" priority="877" operator="lessThan">
      <formula>0</formula>
    </cfRule>
  </conditionalFormatting>
  <conditionalFormatting sqref="I22:I29">
    <cfRule type="cellIs" dxfId="891" priority="876" operator="lessThan">
      <formula>0</formula>
    </cfRule>
  </conditionalFormatting>
  <conditionalFormatting sqref="I22:I29">
    <cfRule type="cellIs" dxfId="890" priority="875" operator="lessThan">
      <formula>0</formula>
    </cfRule>
  </conditionalFormatting>
  <conditionalFormatting sqref="I22:I29">
    <cfRule type="cellIs" dxfId="889" priority="874" operator="lessThan">
      <formula>0</formula>
    </cfRule>
  </conditionalFormatting>
  <conditionalFormatting sqref="I22:I29">
    <cfRule type="cellIs" dxfId="888" priority="873" operator="lessThan">
      <formula>0</formula>
    </cfRule>
  </conditionalFormatting>
  <conditionalFormatting sqref="I22:I29">
    <cfRule type="cellIs" dxfId="887" priority="872" operator="lessThan">
      <formula>0</formula>
    </cfRule>
  </conditionalFormatting>
  <conditionalFormatting sqref="I22:I29">
    <cfRule type="cellIs" dxfId="886" priority="871" operator="lessThan">
      <formula>0</formula>
    </cfRule>
  </conditionalFormatting>
  <conditionalFormatting sqref="I22:I29">
    <cfRule type="cellIs" dxfId="885" priority="870" operator="lessThan">
      <formula>0</formula>
    </cfRule>
  </conditionalFormatting>
  <conditionalFormatting sqref="I22:I29">
    <cfRule type="cellIs" dxfId="884" priority="869" operator="lessThan">
      <formula>0</formula>
    </cfRule>
  </conditionalFormatting>
  <conditionalFormatting sqref="I22:I29">
    <cfRule type="cellIs" dxfId="883" priority="868" operator="lessThan">
      <formula>0</formula>
    </cfRule>
  </conditionalFormatting>
  <conditionalFormatting sqref="I22:I29">
    <cfRule type="cellIs" dxfId="882" priority="867" operator="lessThan">
      <formula>0</formula>
    </cfRule>
  </conditionalFormatting>
  <conditionalFormatting sqref="I22:I29">
    <cfRule type="cellIs" dxfId="881" priority="866" operator="lessThan">
      <formula>0</formula>
    </cfRule>
  </conditionalFormatting>
  <conditionalFormatting sqref="I22:I29">
    <cfRule type="cellIs" dxfId="880" priority="865" operator="lessThan">
      <formula>0</formula>
    </cfRule>
  </conditionalFormatting>
  <conditionalFormatting sqref="I22:I29">
    <cfRule type="cellIs" dxfId="879" priority="864" operator="lessThan">
      <formula>0</formula>
    </cfRule>
  </conditionalFormatting>
  <conditionalFormatting sqref="I22:I29">
    <cfRule type="cellIs" dxfId="878" priority="863" operator="lessThan">
      <formula>0</formula>
    </cfRule>
  </conditionalFormatting>
  <conditionalFormatting sqref="I22:I29">
    <cfRule type="cellIs" dxfId="877" priority="862" operator="lessThan">
      <formula>0</formula>
    </cfRule>
  </conditionalFormatting>
  <conditionalFormatting sqref="I22:I29">
    <cfRule type="cellIs" dxfId="876" priority="861" operator="lessThan">
      <formula>0</formula>
    </cfRule>
  </conditionalFormatting>
  <conditionalFormatting sqref="I22:I29">
    <cfRule type="cellIs" dxfId="875" priority="860" operator="lessThan">
      <formula>0</formula>
    </cfRule>
  </conditionalFormatting>
  <conditionalFormatting sqref="I22:I29">
    <cfRule type="cellIs" dxfId="874" priority="859" operator="lessThan">
      <formula>0</formula>
    </cfRule>
  </conditionalFormatting>
  <conditionalFormatting sqref="I22:I29">
    <cfRule type="cellIs" dxfId="873" priority="858" operator="lessThan">
      <formula>0</formula>
    </cfRule>
  </conditionalFormatting>
  <conditionalFormatting sqref="I22:I29">
    <cfRule type="cellIs" dxfId="872" priority="857" operator="lessThan">
      <formula>0</formula>
    </cfRule>
  </conditionalFormatting>
  <conditionalFormatting sqref="I22:I29">
    <cfRule type="cellIs" dxfId="871" priority="856" operator="lessThan">
      <formula>0</formula>
    </cfRule>
  </conditionalFormatting>
  <conditionalFormatting sqref="I22:I29">
    <cfRule type="cellIs" dxfId="870" priority="855" operator="lessThan">
      <formula>0</formula>
    </cfRule>
  </conditionalFormatting>
  <conditionalFormatting sqref="I22:I29">
    <cfRule type="cellIs" dxfId="869" priority="854" operator="lessThan">
      <formula>0</formula>
    </cfRule>
  </conditionalFormatting>
  <conditionalFormatting sqref="I22:I29">
    <cfRule type="cellIs" dxfId="868" priority="853" operator="lessThan">
      <formula>0</formula>
    </cfRule>
  </conditionalFormatting>
  <conditionalFormatting sqref="I22:I29">
    <cfRule type="cellIs" dxfId="867" priority="852" operator="lessThan">
      <formula>0</formula>
    </cfRule>
  </conditionalFormatting>
  <conditionalFormatting sqref="I22:I29">
    <cfRule type="cellIs" dxfId="866" priority="851" operator="lessThan">
      <formula>0</formula>
    </cfRule>
  </conditionalFormatting>
  <conditionalFormatting sqref="I22:I29">
    <cfRule type="cellIs" dxfId="865" priority="850" operator="lessThan">
      <formula>0</formula>
    </cfRule>
  </conditionalFormatting>
  <conditionalFormatting sqref="I22:I29">
    <cfRule type="cellIs" dxfId="864" priority="849" operator="lessThan">
      <formula>0</formula>
    </cfRule>
  </conditionalFormatting>
  <conditionalFormatting sqref="I22:I29">
    <cfRule type="cellIs" dxfId="863" priority="848" operator="lessThan">
      <formula>0</formula>
    </cfRule>
  </conditionalFormatting>
  <conditionalFormatting sqref="I22:I29">
    <cfRule type="cellIs" dxfId="862" priority="847" operator="lessThan">
      <formula>0</formula>
    </cfRule>
  </conditionalFormatting>
  <conditionalFormatting sqref="I22:I29">
    <cfRule type="cellIs" dxfId="861" priority="846" operator="lessThan">
      <formula>0</formula>
    </cfRule>
  </conditionalFormatting>
  <conditionalFormatting sqref="I22:I29">
    <cfRule type="cellIs" dxfId="860" priority="845" operator="lessThan">
      <formula>0</formula>
    </cfRule>
  </conditionalFormatting>
  <conditionalFormatting sqref="I22:I29">
    <cfRule type="cellIs" dxfId="859" priority="844" operator="lessThan">
      <formula>0</formula>
    </cfRule>
  </conditionalFormatting>
  <conditionalFormatting sqref="I22:I29">
    <cfRule type="cellIs" dxfId="858" priority="843" operator="lessThan">
      <formula>0</formula>
    </cfRule>
  </conditionalFormatting>
  <conditionalFormatting sqref="I22:I29">
    <cfRule type="cellIs" dxfId="857" priority="842" operator="lessThan">
      <formula>0</formula>
    </cfRule>
  </conditionalFormatting>
  <conditionalFormatting sqref="I22:I29">
    <cfRule type="cellIs" dxfId="856" priority="841" operator="lessThan">
      <formula>0</formula>
    </cfRule>
  </conditionalFormatting>
  <conditionalFormatting sqref="I22:I29">
    <cfRule type="cellIs" dxfId="855" priority="840" operator="lessThan">
      <formula>0</formula>
    </cfRule>
  </conditionalFormatting>
  <conditionalFormatting sqref="I22:I29">
    <cfRule type="cellIs" dxfId="854" priority="839" operator="lessThan">
      <formula>0</formula>
    </cfRule>
  </conditionalFormatting>
  <conditionalFormatting sqref="I22:I29">
    <cfRule type="cellIs" dxfId="853" priority="838" operator="lessThan">
      <formula>0</formula>
    </cfRule>
  </conditionalFormatting>
  <conditionalFormatting sqref="I22:I29">
    <cfRule type="cellIs" dxfId="852" priority="837" operator="lessThan">
      <formula>0</formula>
    </cfRule>
  </conditionalFormatting>
  <conditionalFormatting sqref="I22:I29">
    <cfRule type="cellIs" dxfId="851" priority="836" operator="lessThan">
      <formula>0</formula>
    </cfRule>
  </conditionalFormatting>
  <conditionalFormatting sqref="I22:I29">
    <cfRule type="cellIs" dxfId="850" priority="835" operator="lessThan">
      <formula>0</formula>
    </cfRule>
  </conditionalFormatting>
  <conditionalFormatting sqref="I22:I29">
    <cfRule type="cellIs" dxfId="849" priority="834" operator="lessThan">
      <formula>0</formula>
    </cfRule>
  </conditionalFormatting>
  <conditionalFormatting sqref="I22:I29">
    <cfRule type="cellIs" dxfId="848" priority="833" operator="lessThan">
      <formula>0</formula>
    </cfRule>
  </conditionalFormatting>
  <conditionalFormatting sqref="I22:I29">
    <cfRule type="cellIs" dxfId="847" priority="832" operator="lessThan">
      <formula>0</formula>
    </cfRule>
  </conditionalFormatting>
  <conditionalFormatting sqref="I22:I29">
    <cfRule type="cellIs" dxfId="846" priority="831" operator="lessThan">
      <formula>0</formula>
    </cfRule>
  </conditionalFormatting>
  <conditionalFormatting sqref="I22:I29">
    <cfRule type="cellIs" dxfId="845" priority="830" operator="lessThan">
      <formula>0</formula>
    </cfRule>
  </conditionalFormatting>
  <conditionalFormatting sqref="I22:I29">
    <cfRule type="cellIs" dxfId="844" priority="829" operator="lessThan">
      <formula>0</formula>
    </cfRule>
  </conditionalFormatting>
  <conditionalFormatting sqref="I22:I29">
    <cfRule type="cellIs" dxfId="843" priority="828" operator="lessThan">
      <formula>0</formula>
    </cfRule>
  </conditionalFormatting>
  <conditionalFormatting sqref="I22:I29">
    <cfRule type="cellIs" dxfId="842" priority="827" operator="lessThan">
      <formula>0</formula>
    </cfRule>
  </conditionalFormatting>
  <conditionalFormatting sqref="I22:I29">
    <cfRule type="cellIs" dxfId="841" priority="826" operator="lessThan">
      <formula>0</formula>
    </cfRule>
  </conditionalFormatting>
  <conditionalFormatting sqref="I22:I29">
    <cfRule type="cellIs" dxfId="840" priority="825" operator="lessThan">
      <formula>0</formula>
    </cfRule>
  </conditionalFormatting>
  <conditionalFormatting sqref="I22:I29">
    <cfRule type="cellIs" dxfId="839" priority="824" operator="lessThan">
      <formula>0</formula>
    </cfRule>
  </conditionalFormatting>
  <conditionalFormatting sqref="I22:I29">
    <cfRule type="cellIs" dxfId="838" priority="823" operator="lessThan">
      <formula>0</formula>
    </cfRule>
  </conditionalFormatting>
  <conditionalFormatting sqref="I22:I29">
    <cfRule type="cellIs" dxfId="837" priority="822" operator="lessThan">
      <formula>0</formula>
    </cfRule>
  </conditionalFormatting>
  <conditionalFormatting sqref="I22:I29">
    <cfRule type="cellIs" dxfId="836" priority="821" operator="lessThan">
      <formula>0</formula>
    </cfRule>
  </conditionalFormatting>
  <conditionalFormatting sqref="I22:I29">
    <cfRule type="cellIs" dxfId="835" priority="820" operator="lessThan">
      <formula>0</formula>
    </cfRule>
  </conditionalFormatting>
  <conditionalFormatting sqref="I22:I29">
    <cfRule type="cellIs" dxfId="834" priority="819" operator="lessThan">
      <formula>0</formula>
    </cfRule>
  </conditionalFormatting>
  <conditionalFormatting sqref="I22:I29">
    <cfRule type="cellIs" dxfId="833" priority="818" operator="lessThan">
      <formula>0</formula>
    </cfRule>
  </conditionalFormatting>
  <conditionalFormatting sqref="I22:I29">
    <cfRule type="cellIs" dxfId="832" priority="817" operator="lessThan">
      <formula>0</formula>
    </cfRule>
  </conditionalFormatting>
  <conditionalFormatting sqref="I22:I29">
    <cfRule type="cellIs" dxfId="831" priority="816" operator="lessThan">
      <formula>0</formula>
    </cfRule>
  </conditionalFormatting>
  <conditionalFormatting sqref="I22:I29">
    <cfRule type="cellIs" dxfId="830" priority="815" operator="lessThan">
      <formula>0</formula>
    </cfRule>
  </conditionalFormatting>
  <conditionalFormatting sqref="I22:I29">
    <cfRule type="cellIs" dxfId="829" priority="814" operator="lessThan">
      <formula>0</formula>
    </cfRule>
  </conditionalFormatting>
  <conditionalFormatting sqref="I22:I29">
    <cfRule type="cellIs" dxfId="828" priority="813" operator="lessThan">
      <formula>0</formula>
    </cfRule>
  </conditionalFormatting>
  <conditionalFormatting sqref="I22:I29">
    <cfRule type="cellIs" dxfId="827" priority="812" operator="lessThan">
      <formula>0</formula>
    </cfRule>
  </conditionalFormatting>
  <conditionalFormatting sqref="I22:I29">
    <cfRule type="cellIs" dxfId="826" priority="811" operator="lessThan">
      <formula>0</formula>
    </cfRule>
  </conditionalFormatting>
  <conditionalFormatting sqref="I22:I29">
    <cfRule type="cellIs" dxfId="825" priority="810" operator="lessThan">
      <formula>0</formula>
    </cfRule>
  </conditionalFormatting>
  <conditionalFormatting sqref="I22:I29">
    <cfRule type="cellIs" dxfId="824" priority="809" operator="lessThan">
      <formula>0</formula>
    </cfRule>
  </conditionalFormatting>
  <conditionalFormatting sqref="I22:I29">
    <cfRule type="cellIs" dxfId="823" priority="808" operator="lessThan">
      <formula>0</formula>
    </cfRule>
  </conditionalFormatting>
  <conditionalFormatting sqref="I22:I29">
    <cfRule type="cellIs" dxfId="822" priority="807" operator="lessThan">
      <formula>0</formula>
    </cfRule>
  </conditionalFormatting>
  <conditionalFormatting sqref="I22:I29">
    <cfRule type="cellIs" dxfId="821" priority="806" operator="lessThan">
      <formula>0</formula>
    </cfRule>
  </conditionalFormatting>
  <conditionalFormatting sqref="I22:I29">
    <cfRule type="cellIs" dxfId="820" priority="805" operator="lessThan">
      <formula>0</formula>
    </cfRule>
  </conditionalFormatting>
  <conditionalFormatting sqref="I22:I29">
    <cfRule type="cellIs" dxfId="819" priority="804" operator="lessThan">
      <formula>0</formula>
    </cfRule>
  </conditionalFormatting>
  <conditionalFormatting sqref="I22:I29">
    <cfRule type="cellIs" dxfId="818" priority="803" operator="lessThan">
      <formula>0</formula>
    </cfRule>
  </conditionalFormatting>
  <conditionalFormatting sqref="I22:I29">
    <cfRule type="cellIs" dxfId="817" priority="802" operator="lessThan">
      <formula>0</formula>
    </cfRule>
  </conditionalFormatting>
  <conditionalFormatting sqref="I22:I29">
    <cfRule type="cellIs" dxfId="816" priority="801" operator="lessThan">
      <formula>0</formula>
    </cfRule>
  </conditionalFormatting>
  <conditionalFormatting sqref="I22:I29">
    <cfRule type="cellIs" dxfId="815" priority="800" operator="lessThan">
      <formula>0</formula>
    </cfRule>
  </conditionalFormatting>
  <conditionalFormatting sqref="I22:I29">
    <cfRule type="cellIs" dxfId="814" priority="799" operator="lessThan">
      <formula>0</formula>
    </cfRule>
  </conditionalFormatting>
  <conditionalFormatting sqref="I22:I29">
    <cfRule type="cellIs" dxfId="813" priority="798" operator="lessThan">
      <formula>0</formula>
    </cfRule>
  </conditionalFormatting>
  <conditionalFormatting sqref="I22:I29">
    <cfRule type="cellIs" dxfId="812" priority="797" operator="lessThan">
      <formula>0</formula>
    </cfRule>
  </conditionalFormatting>
  <conditionalFormatting sqref="I22:I29">
    <cfRule type="cellIs" dxfId="811" priority="796" operator="lessThan">
      <formula>0</formula>
    </cfRule>
  </conditionalFormatting>
  <conditionalFormatting sqref="I22:I29">
    <cfRule type="cellIs" dxfId="810" priority="795" operator="lessThan">
      <formula>0</formula>
    </cfRule>
  </conditionalFormatting>
  <conditionalFormatting sqref="I22:I29">
    <cfRule type="cellIs" dxfId="809" priority="794" operator="lessThan">
      <formula>0</formula>
    </cfRule>
  </conditionalFormatting>
  <conditionalFormatting sqref="I22:I29">
    <cfRule type="cellIs" dxfId="808" priority="793" operator="lessThan">
      <formula>0</formula>
    </cfRule>
  </conditionalFormatting>
  <conditionalFormatting sqref="I22:I29">
    <cfRule type="cellIs" dxfId="807" priority="792" operator="lessThan">
      <formula>0</formula>
    </cfRule>
  </conditionalFormatting>
  <conditionalFormatting sqref="I22:I29">
    <cfRule type="cellIs" dxfId="806" priority="791" operator="lessThan">
      <formula>0</formula>
    </cfRule>
  </conditionalFormatting>
  <conditionalFormatting sqref="I22:I29">
    <cfRule type="cellIs" dxfId="805" priority="790" operator="lessThan">
      <formula>0</formula>
    </cfRule>
  </conditionalFormatting>
  <conditionalFormatting sqref="I22:I29">
    <cfRule type="cellIs" dxfId="804" priority="789" operator="lessThan">
      <formula>0</formula>
    </cfRule>
  </conditionalFormatting>
  <conditionalFormatting sqref="I22:I29">
    <cfRule type="cellIs" dxfId="803" priority="788" operator="lessThan">
      <formula>0</formula>
    </cfRule>
  </conditionalFormatting>
  <conditionalFormatting sqref="I22:I29">
    <cfRule type="cellIs" dxfId="802" priority="787" operator="lessThan">
      <formula>0</formula>
    </cfRule>
  </conditionalFormatting>
  <conditionalFormatting sqref="I22:I29">
    <cfRule type="cellIs" dxfId="801" priority="786" operator="lessThan">
      <formula>0</formula>
    </cfRule>
  </conditionalFormatting>
  <conditionalFormatting sqref="I22:I29">
    <cfRule type="cellIs" dxfId="800" priority="785" operator="lessThan">
      <formula>0</formula>
    </cfRule>
  </conditionalFormatting>
  <conditionalFormatting sqref="I22:I29">
    <cfRule type="cellIs" dxfId="799" priority="784" operator="lessThan">
      <formula>0</formula>
    </cfRule>
  </conditionalFormatting>
  <conditionalFormatting sqref="I22:I29">
    <cfRule type="cellIs" dxfId="798" priority="783" operator="lessThan">
      <formula>0</formula>
    </cfRule>
  </conditionalFormatting>
  <conditionalFormatting sqref="I22:I29">
    <cfRule type="cellIs" dxfId="797" priority="782" operator="lessThan">
      <formula>0</formula>
    </cfRule>
  </conditionalFormatting>
  <conditionalFormatting sqref="I22:I29">
    <cfRule type="cellIs" dxfId="796" priority="781" operator="lessThan">
      <formula>0</formula>
    </cfRule>
  </conditionalFormatting>
  <conditionalFormatting sqref="I22:I29">
    <cfRule type="cellIs" dxfId="795" priority="780" operator="lessThan">
      <formula>0</formula>
    </cfRule>
  </conditionalFormatting>
  <conditionalFormatting sqref="I22:I29">
    <cfRule type="cellIs" dxfId="794" priority="779" operator="lessThan">
      <formula>0</formula>
    </cfRule>
  </conditionalFormatting>
  <conditionalFormatting sqref="I22:I29">
    <cfRule type="cellIs" dxfId="793" priority="778" operator="lessThan">
      <formula>0</formula>
    </cfRule>
  </conditionalFormatting>
  <conditionalFormatting sqref="I22:I29">
    <cfRule type="cellIs" dxfId="792" priority="777" operator="lessThan">
      <formula>0</formula>
    </cfRule>
  </conditionalFormatting>
  <conditionalFormatting sqref="I22:I29">
    <cfRule type="cellIs" dxfId="791" priority="776" operator="lessThan">
      <formula>0</formula>
    </cfRule>
  </conditionalFormatting>
  <conditionalFormatting sqref="I22:I29">
    <cfRule type="cellIs" dxfId="790" priority="775" operator="lessThan">
      <formula>0</formula>
    </cfRule>
  </conditionalFormatting>
  <conditionalFormatting sqref="I22:I29">
    <cfRule type="cellIs" dxfId="789" priority="774" operator="lessThan">
      <formula>0</formula>
    </cfRule>
  </conditionalFormatting>
  <conditionalFormatting sqref="I22:I29">
    <cfRule type="cellIs" dxfId="788" priority="773" operator="lessThan">
      <formula>0</formula>
    </cfRule>
  </conditionalFormatting>
  <conditionalFormatting sqref="I22:I29">
    <cfRule type="cellIs" dxfId="787" priority="772" operator="lessThan">
      <formula>0</formula>
    </cfRule>
  </conditionalFormatting>
  <conditionalFormatting sqref="I22:I29">
    <cfRule type="cellIs" dxfId="786" priority="771" operator="lessThan">
      <formula>0</formula>
    </cfRule>
  </conditionalFormatting>
  <conditionalFormatting sqref="I22:I29">
    <cfRule type="cellIs" dxfId="785" priority="770" operator="lessThan">
      <formula>0</formula>
    </cfRule>
  </conditionalFormatting>
  <conditionalFormatting sqref="I22:I29">
    <cfRule type="cellIs" dxfId="784" priority="769" operator="lessThan">
      <formula>0</formula>
    </cfRule>
  </conditionalFormatting>
  <conditionalFormatting sqref="I22:I29">
    <cfRule type="cellIs" dxfId="783" priority="768" operator="lessThan">
      <formula>0</formula>
    </cfRule>
  </conditionalFormatting>
  <conditionalFormatting sqref="I22:I29">
    <cfRule type="cellIs" dxfId="782" priority="767" operator="lessThan">
      <formula>0</formula>
    </cfRule>
  </conditionalFormatting>
  <conditionalFormatting sqref="I22:I29">
    <cfRule type="cellIs" dxfId="781" priority="766" operator="lessThan">
      <formula>0</formula>
    </cfRule>
  </conditionalFormatting>
  <conditionalFormatting sqref="I22:I29">
    <cfRule type="cellIs" dxfId="780" priority="765" operator="lessThan">
      <formula>0</formula>
    </cfRule>
  </conditionalFormatting>
  <conditionalFormatting sqref="I22:I29">
    <cfRule type="cellIs" dxfId="779" priority="764" operator="lessThan">
      <formula>0</formula>
    </cfRule>
  </conditionalFormatting>
  <conditionalFormatting sqref="I22:I29">
    <cfRule type="cellIs" dxfId="778" priority="763" operator="lessThan">
      <formula>0</formula>
    </cfRule>
  </conditionalFormatting>
  <conditionalFormatting sqref="I22:I29">
    <cfRule type="cellIs" dxfId="777" priority="762" operator="lessThan">
      <formula>0</formula>
    </cfRule>
  </conditionalFormatting>
  <conditionalFormatting sqref="I22:I29">
    <cfRule type="cellIs" dxfId="776" priority="761" operator="lessThan">
      <formula>0</formula>
    </cfRule>
  </conditionalFormatting>
  <conditionalFormatting sqref="I22:I29">
    <cfRule type="cellIs" dxfId="775" priority="760" operator="lessThan">
      <formula>0</formula>
    </cfRule>
  </conditionalFormatting>
  <conditionalFormatting sqref="I22:I29">
    <cfRule type="cellIs" dxfId="774" priority="759" operator="lessThan">
      <formula>0</formula>
    </cfRule>
  </conditionalFormatting>
  <conditionalFormatting sqref="I22:I29">
    <cfRule type="cellIs" dxfId="773" priority="758" operator="lessThan">
      <formula>0</formula>
    </cfRule>
  </conditionalFormatting>
  <conditionalFormatting sqref="I22:I29">
    <cfRule type="cellIs" dxfId="772" priority="757" operator="lessThan">
      <formula>0</formula>
    </cfRule>
  </conditionalFormatting>
  <conditionalFormatting sqref="I22:I29">
    <cfRule type="cellIs" dxfId="771" priority="756" operator="lessThan">
      <formula>0</formula>
    </cfRule>
  </conditionalFormatting>
  <conditionalFormatting sqref="I22:I29">
    <cfRule type="cellIs" dxfId="770" priority="755" operator="lessThan">
      <formula>0</formula>
    </cfRule>
  </conditionalFormatting>
  <conditionalFormatting sqref="I22:I29">
    <cfRule type="cellIs" dxfId="769" priority="754" operator="lessThan">
      <formula>0</formula>
    </cfRule>
  </conditionalFormatting>
  <conditionalFormatting sqref="I22:I29">
    <cfRule type="cellIs" dxfId="768" priority="753" operator="lessThan">
      <formula>0</formula>
    </cfRule>
  </conditionalFormatting>
  <conditionalFormatting sqref="I22:I29">
    <cfRule type="cellIs" dxfId="767" priority="752" operator="lessThan">
      <formula>0</formula>
    </cfRule>
  </conditionalFormatting>
  <conditionalFormatting sqref="I22:I29">
    <cfRule type="cellIs" dxfId="766" priority="751" operator="lessThan">
      <formula>0</formula>
    </cfRule>
  </conditionalFormatting>
  <conditionalFormatting sqref="I22:I29">
    <cfRule type="cellIs" dxfId="765" priority="750" operator="lessThan">
      <formula>0</formula>
    </cfRule>
  </conditionalFormatting>
  <conditionalFormatting sqref="I22:I29">
    <cfRule type="cellIs" dxfId="764" priority="749" operator="lessThan">
      <formula>0</formula>
    </cfRule>
  </conditionalFormatting>
  <conditionalFormatting sqref="I22:I29">
    <cfRule type="cellIs" dxfId="763" priority="748" operator="lessThan">
      <formula>0</formula>
    </cfRule>
  </conditionalFormatting>
  <conditionalFormatting sqref="I22:I29">
    <cfRule type="cellIs" dxfId="762" priority="747" operator="lessThan">
      <formula>0</formula>
    </cfRule>
  </conditionalFormatting>
  <conditionalFormatting sqref="I22:I29">
    <cfRule type="cellIs" dxfId="761" priority="746" operator="lessThan">
      <formula>0</formula>
    </cfRule>
  </conditionalFormatting>
  <conditionalFormatting sqref="I22:I29">
    <cfRule type="cellIs" dxfId="760" priority="745" operator="lessThan">
      <formula>0</formula>
    </cfRule>
  </conditionalFormatting>
  <conditionalFormatting sqref="I22:I29">
    <cfRule type="cellIs" dxfId="759" priority="744" operator="lessThan">
      <formula>0</formula>
    </cfRule>
  </conditionalFormatting>
  <conditionalFormatting sqref="I22:I29">
    <cfRule type="cellIs" dxfId="758" priority="743" operator="lessThan">
      <formula>0</formula>
    </cfRule>
  </conditionalFormatting>
  <conditionalFormatting sqref="I22:I29">
    <cfRule type="cellIs" dxfId="757" priority="742" operator="lessThan">
      <formula>0</formula>
    </cfRule>
  </conditionalFormatting>
  <conditionalFormatting sqref="I22:I29">
    <cfRule type="cellIs" dxfId="756" priority="741" operator="lessThan">
      <formula>0</formula>
    </cfRule>
  </conditionalFormatting>
  <conditionalFormatting sqref="I22:I29">
    <cfRule type="cellIs" dxfId="755" priority="740" operator="lessThan">
      <formula>0</formula>
    </cfRule>
  </conditionalFormatting>
  <conditionalFormatting sqref="I22:I29">
    <cfRule type="cellIs" dxfId="754" priority="739" operator="lessThan">
      <formula>0</formula>
    </cfRule>
  </conditionalFormatting>
  <conditionalFormatting sqref="I22:I29">
    <cfRule type="cellIs" dxfId="753" priority="738" operator="lessThan">
      <formula>0</formula>
    </cfRule>
  </conditionalFormatting>
  <conditionalFormatting sqref="I22:I29">
    <cfRule type="cellIs" dxfId="752" priority="737" operator="lessThan">
      <formula>0</formula>
    </cfRule>
  </conditionalFormatting>
  <conditionalFormatting sqref="I22:I29">
    <cfRule type="cellIs" dxfId="751" priority="736" operator="lessThan">
      <formula>0</formula>
    </cfRule>
  </conditionalFormatting>
  <conditionalFormatting sqref="I22:I29">
    <cfRule type="cellIs" dxfId="750" priority="735" operator="lessThan">
      <formula>0</formula>
    </cfRule>
  </conditionalFormatting>
  <conditionalFormatting sqref="I22:I29">
    <cfRule type="cellIs" dxfId="749" priority="734" operator="lessThan">
      <formula>0</formula>
    </cfRule>
  </conditionalFormatting>
  <conditionalFormatting sqref="I22:I29">
    <cfRule type="cellIs" dxfId="748" priority="733" operator="lessThan">
      <formula>0</formula>
    </cfRule>
  </conditionalFormatting>
  <conditionalFormatting sqref="I22:I29">
    <cfRule type="cellIs" dxfId="747" priority="732" operator="lessThan">
      <formula>0</formula>
    </cfRule>
  </conditionalFormatting>
  <conditionalFormatting sqref="I22:I29">
    <cfRule type="cellIs" dxfId="746" priority="731" operator="lessThan">
      <formula>0</formula>
    </cfRule>
  </conditionalFormatting>
  <conditionalFormatting sqref="I22:I29">
    <cfRule type="cellIs" dxfId="745" priority="730" operator="lessThan">
      <formula>0</formula>
    </cfRule>
  </conditionalFormatting>
  <conditionalFormatting sqref="I22:I29">
    <cfRule type="cellIs" dxfId="744" priority="729" operator="lessThan">
      <formula>0</formula>
    </cfRule>
  </conditionalFormatting>
  <conditionalFormatting sqref="I22:I29">
    <cfRule type="cellIs" dxfId="743" priority="728" operator="lessThan">
      <formula>0</formula>
    </cfRule>
  </conditionalFormatting>
  <conditionalFormatting sqref="I22:I29">
    <cfRule type="cellIs" dxfId="742" priority="727" operator="lessThan">
      <formula>0</formula>
    </cfRule>
  </conditionalFormatting>
  <conditionalFormatting sqref="I22:I29">
    <cfRule type="cellIs" dxfId="741" priority="726" operator="lessThan">
      <formula>0</formula>
    </cfRule>
  </conditionalFormatting>
  <conditionalFormatting sqref="I22:I29">
    <cfRule type="cellIs" dxfId="740" priority="725" operator="lessThan">
      <formula>0</formula>
    </cfRule>
  </conditionalFormatting>
  <conditionalFormatting sqref="I22:I29">
    <cfRule type="cellIs" dxfId="739" priority="724" operator="lessThan">
      <formula>0</formula>
    </cfRule>
  </conditionalFormatting>
  <conditionalFormatting sqref="I22:I29">
    <cfRule type="cellIs" dxfId="738" priority="723" operator="lessThan">
      <formula>0</formula>
    </cfRule>
  </conditionalFormatting>
  <conditionalFormatting sqref="I22:I29">
    <cfRule type="cellIs" dxfId="737" priority="722" operator="lessThan">
      <formula>0</formula>
    </cfRule>
  </conditionalFormatting>
  <conditionalFormatting sqref="I22:I29">
    <cfRule type="cellIs" dxfId="736" priority="721" operator="lessThan">
      <formula>0</formula>
    </cfRule>
  </conditionalFormatting>
  <conditionalFormatting sqref="I22:I29">
    <cfRule type="cellIs" dxfId="735" priority="720" operator="lessThan">
      <formula>0</formula>
    </cfRule>
  </conditionalFormatting>
  <conditionalFormatting sqref="I22:I29">
    <cfRule type="cellIs" dxfId="734" priority="719" operator="lessThan">
      <formula>0</formula>
    </cfRule>
  </conditionalFormatting>
  <conditionalFormatting sqref="I22:I29">
    <cfRule type="cellIs" dxfId="733" priority="718" operator="lessThan">
      <formula>0</formula>
    </cfRule>
  </conditionalFormatting>
  <conditionalFormatting sqref="I22:I29">
    <cfRule type="cellIs" dxfId="732" priority="717" operator="lessThan">
      <formula>0</formula>
    </cfRule>
  </conditionalFormatting>
  <conditionalFormatting sqref="I22:I29">
    <cfRule type="cellIs" dxfId="731" priority="716" operator="lessThan">
      <formula>0</formula>
    </cfRule>
  </conditionalFormatting>
  <conditionalFormatting sqref="I22:I29">
    <cfRule type="cellIs" dxfId="730" priority="715" operator="lessThan">
      <formula>0</formula>
    </cfRule>
  </conditionalFormatting>
  <conditionalFormatting sqref="I22:I29">
    <cfRule type="cellIs" dxfId="729" priority="714" operator="lessThan">
      <formula>0</formula>
    </cfRule>
  </conditionalFormatting>
  <conditionalFormatting sqref="I22:I29">
    <cfRule type="cellIs" dxfId="728" priority="713" operator="lessThan">
      <formula>0</formula>
    </cfRule>
  </conditionalFormatting>
  <conditionalFormatting sqref="I22:I29">
    <cfRule type="cellIs" dxfId="727" priority="712" operator="lessThan">
      <formula>0</formula>
    </cfRule>
  </conditionalFormatting>
  <conditionalFormatting sqref="I22:I29">
    <cfRule type="cellIs" dxfId="726" priority="711" operator="lessThan">
      <formula>0</formula>
    </cfRule>
  </conditionalFormatting>
  <conditionalFormatting sqref="I22:I29">
    <cfRule type="cellIs" dxfId="725" priority="710" operator="lessThan">
      <formula>0</formula>
    </cfRule>
  </conditionalFormatting>
  <conditionalFormatting sqref="I22:I29">
    <cfRule type="cellIs" dxfId="724" priority="709" operator="lessThan">
      <formula>0</formula>
    </cfRule>
  </conditionalFormatting>
  <conditionalFormatting sqref="I22:I29">
    <cfRule type="cellIs" dxfId="723" priority="708" operator="lessThan">
      <formula>0</formula>
    </cfRule>
  </conditionalFormatting>
  <conditionalFormatting sqref="I22:I29">
    <cfRule type="cellIs" dxfId="722" priority="707" operator="lessThan">
      <formula>0</formula>
    </cfRule>
  </conditionalFormatting>
  <conditionalFormatting sqref="I22:I29">
    <cfRule type="cellIs" dxfId="721" priority="706" operator="lessThan">
      <formula>0</formula>
    </cfRule>
  </conditionalFormatting>
  <conditionalFormatting sqref="I22:I29">
    <cfRule type="cellIs" dxfId="720" priority="705" operator="lessThan">
      <formula>0</formula>
    </cfRule>
  </conditionalFormatting>
  <conditionalFormatting sqref="I22:I29">
    <cfRule type="cellIs" dxfId="719" priority="704" operator="lessThan">
      <formula>0</formula>
    </cfRule>
  </conditionalFormatting>
  <conditionalFormatting sqref="I22:I29">
    <cfRule type="cellIs" dxfId="718" priority="703" operator="lessThan">
      <formula>0</formula>
    </cfRule>
  </conditionalFormatting>
  <conditionalFormatting sqref="I22:I29">
    <cfRule type="cellIs" dxfId="717" priority="702" operator="lessThan">
      <formula>0</formula>
    </cfRule>
  </conditionalFormatting>
  <conditionalFormatting sqref="I22:I29">
    <cfRule type="cellIs" dxfId="716" priority="701" operator="lessThan">
      <formula>0</formula>
    </cfRule>
  </conditionalFormatting>
  <conditionalFormatting sqref="I22:I29">
    <cfRule type="cellIs" dxfId="715" priority="700" operator="lessThan">
      <formula>0</formula>
    </cfRule>
  </conditionalFormatting>
  <conditionalFormatting sqref="I22:I29">
    <cfRule type="cellIs" dxfId="714" priority="699" operator="lessThan">
      <formula>0</formula>
    </cfRule>
  </conditionalFormatting>
  <conditionalFormatting sqref="I22:I29">
    <cfRule type="cellIs" dxfId="713" priority="698" operator="lessThan">
      <formula>0</formula>
    </cfRule>
  </conditionalFormatting>
  <conditionalFormatting sqref="I22:I29">
    <cfRule type="cellIs" dxfId="712" priority="697" operator="lessThan">
      <formula>0</formula>
    </cfRule>
  </conditionalFormatting>
  <conditionalFormatting sqref="I22:I29">
    <cfRule type="cellIs" dxfId="711" priority="696" operator="lessThan">
      <formula>0</formula>
    </cfRule>
  </conditionalFormatting>
  <conditionalFormatting sqref="I22:I29">
    <cfRule type="cellIs" dxfId="710" priority="695" operator="lessThan">
      <formula>0</formula>
    </cfRule>
  </conditionalFormatting>
  <conditionalFormatting sqref="I22:I29">
    <cfRule type="cellIs" dxfId="709" priority="694" operator="lessThan">
      <formula>0</formula>
    </cfRule>
  </conditionalFormatting>
  <conditionalFormatting sqref="I22:I29">
    <cfRule type="cellIs" dxfId="708" priority="693" operator="lessThan">
      <formula>0</formula>
    </cfRule>
  </conditionalFormatting>
  <conditionalFormatting sqref="I22:I29">
    <cfRule type="cellIs" dxfId="707" priority="692" operator="lessThan">
      <formula>0</formula>
    </cfRule>
  </conditionalFormatting>
  <conditionalFormatting sqref="I22:I29">
    <cfRule type="cellIs" dxfId="706" priority="691" operator="lessThan">
      <formula>0</formula>
    </cfRule>
  </conditionalFormatting>
  <conditionalFormatting sqref="I22:I29">
    <cfRule type="cellIs" dxfId="705" priority="690" operator="lessThan">
      <formula>0</formula>
    </cfRule>
  </conditionalFormatting>
  <conditionalFormatting sqref="I22:I29">
    <cfRule type="cellIs" dxfId="704" priority="689" operator="lessThan">
      <formula>0</formula>
    </cfRule>
  </conditionalFormatting>
  <conditionalFormatting sqref="I22:I29">
    <cfRule type="cellIs" dxfId="703" priority="688" operator="lessThan">
      <formula>0</formula>
    </cfRule>
  </conditionalFormatting>
  <conditionalFormatting sqref="I22:I29">
    <cfRule type="cellIs" dxfId="702" priority="687" operator="lessThan">
      <formula>0</formula>
    </cfRule>
  </conditionalFormatting>
  <conditionalFormatting sqref="I22:I29">
    <cfRule type="cellIs" dxfId="701" priority="686" operator="lessThan">
      <formula>0</formula>
    </cfRule>
  </conditionalFormatting>
  <conditionalFormatting sqref="I22:I29">
    <cfRule type="cellIs" dxfId="700" priority="685" operator="lessThan">
      <formula>0</formula>
    </cfRule>
  </conditionalFormatting>
  <conditionalFormatting sqref="I22:I29">
    <cfRule type="cellIs" dxfId="699" priority="684" operator="lessThan">
      <formula>0</formula>
    </cfRule>
  </conditionalFormatting>
  <conditionalFormatting sqref="I22:I29">
    <cfRule type="cellIs" dxfId="698" priority="683" operator="lessThan">
      <formula>0</formula>
    </cfRule>
  </conditionalFormatting>
  <conditionalFormatting sqref="I22:I29">
    <cfRule type="cellIs" dxfId="697" priority="682" operator="lessThan">
      <formula>0</formula>
    </cfRule>
  </conditionalFormatting>
  <conditionalFormatting sqref="I22:I29">
    <cfRule type="cellIs" dxfId="696" priority="681" operator="lessThan">
      <formula>0</formula>
    </cfRule>
  </conditionalFormatting>
  <conditionalFormatting sqref="I22:I29">
    <cfRule type="cellIs" dxfId="695" priority="680" operator="lessThan">
      <formula>0</formula>
    </cfRule>
  </conditionalFormatting>
  <conditionalFormatting sqref="I22:I29">
    <cfRule type="cellIs" dxfId="694" priority="679" operator="lessThan">
      <formula>0</formula>
    </cfRule>
  </conditionalFormatting>
  <conditionalFormatting sqref="I22:I29">
    <cfRule type="cellIs" dxfId="693" priority="678" operator="lessThan">
      <formula>0</formula>
    </cfRule>
  </conditionalFormatting>
  <conditionalFormatting sqref="I22:I29">
    <cfRule type="cellIs" dxfId="692" priority="677" operator="lessThan">
      <formula>0</formula>
    </cfRule>
  </conditionalFormatting>
  <conditionalFormatting sqref="I22:I29">
    <cfRule type="cellIs" dxfId="691" priority="676" operator="lessThan">
      <formula>0</formula>
    </cfRule>
  </conditionalFormatting>
  <conditionalFormatting sqref="I22:I29">
    <cfRule type="cellIs" dxfId="690" priority="675" operator="lessThan">
      <formula>0</formula>
    </cfRule>
  </conditionalFormatting>
  <conditionalFormatting sqref="I22:I29">
    <cfRule type="cellIs" dxfId="689" priority="674" operator="lessThan">
      <formula>0</formula>
    </cfRule>
  </conditionalFormatting>
  <conditionalFormatting sqref="I22:I29">
    <cfRule type="cellIs" dxfId="688" priority="673" operator="lessThan">
      <formula>0</formula>
    </cfRule>
  </conditionalFormatting>
  <conditionalFormatting sqref="I22:I29">
    <cfRule type="cellIs" dxfId="687" priority="672" operator="lessThan">
      <formula>0</formula>
    </cfRule>
  </conditionalFormatting>
  <conditionalFormatting sqref="I22:I29">
    <cfRule type="cellIs" dxfId="686" priority="671" operator="lessThan">
      <formula>0</formula>
    </cfRule>
  </conditionalFormatting>
  <conditionalFormatting sqref="I22:I29">
    <cfRule type="cellIs" dxfId="685" priority="670" operator="lessThan">
      <formula>0</formula>
    </cfRule>
  </conditionalFormatting>
  <conditionalFormatting sqref="I22:I29">
    <cfRule type="cellIs" dxfId="684" priority="669" operator="lessThan">
      <formula>0</formula>
    </cfRule>
  </conditionalFormatting>
  <conditionalFormatting sqref="I22:I29">
    <cfRule type="cellIs" dxfId="683" priority="668" operator="lessThan">
      <formula>0</formula>
    </cfRule>
  </conditionalFormatting>
  <conditionalFormatting sqref="I22:I29">
    <cfRule type="cellIs" dxfId="682" priority="667" operator="lessThan">
      <formula>0</formula>
    </cfRule>
  </conditionalFormatting>
  <conditionalFormatting sqref="I22:I29">
    <cfRule type="cellIs" dxfId="681" priority="666" operator="lessThan">
      <formula>0</formula>
    </cfRule>
  </conditionalFormatting>
  <conditionalFormatting sqref="I22:I29">
    <cfRule type="cellIs" dxfId="680" priority="665" operator="lessThan">
      <formula>0</formula>
    </cfRule>
  </conditionalFormatting>
  <conditionalFormatting sqref="I22:I29">
    <cfRule type="cellIs" dxfId="679" priority="664" operator="lessThan">
      <formula>0</formula>
    </cfRule>
  </conditionalFormatting>
  <conditionalFormatting sqref="I22:I29">
    <cfRule type="cellIs" dxfId="678" priority="663" operator="lessThan">
      <formula>0</formula>
    </cfRule>
  </conditionalFormatting>
  <conditionalFormatting sqref="I22:I29">
    <cfRule type="cellIs" dxfId="677" priority="662" operator="lessThan">
      <formula>0</formula>
    </cfRule>
  </conditionalFormatting>
  <conditionalFormatting sqref="I22:I29">
    <cfRule type="cellIs" dxfId="676" priority="661" operator="lessThan">
      <formula>0</formula>
    </cfRule>
  </conditionalFormatting>
  <conditionalFormatting sqref="I22:I29">
    <cfRule type="cellIs" dxfId="675" priority="660" operator="lessThan">
      <formula>0</formula>
    </cfRule>
  </conditionalFormatting>
  <conditionalFormatting sqref="I22:I29">
    <cfRule type="cellIs" dxfId="674" priority="659" operator="lessThan">
      <formula>0</formula>
    </cfRule>
  </conditionalFormatting>
  <conditionalFormatting sqref="I22:I29">
    <cfRule type="cellIs" dxfId="673" priority="658" operator="lessThan">
      <formula>0</formula>
    </cfRule>
  </conditionalFormatting>
  <conditionalFormatting sqref="I22:I29">
    <cfRule type="cellIs" dxfId="672" priority="657" operator="lessThan">
      <formula>0</formula>
    </cfRule>
  </conditionalFormatting>
  <conditionalFormatting sqref="I22:I29">
    <cfRule type="cellIs" dxfId="671" priority="656" operator="lessThan">
      <formula>0</formula>
    </cfRule>
  </conditionalFormatting>
  <conditionalFormatting sqref="I22:I29">
    <cfRule type="cellIs" dxfId="670" priority="655" operator="lessThan">
      <formula>0</formula>
    </cfRule>
  </conditionalFormatting>
  <conditionalFormatting sqref="I22:I29">
    <cfRule type="cellIs" dxfId="669" priority="654" operator="lessThan">
      <formula>0</formula>
    </cfRule>
  </conditionalFormatting>
  <conditionalFormatting sqref="I22:I29">
    <cfRule type="cellIs" dxfId="668" priority="653" operator="lessThan">
      <formula>0</formula>
    </cfRule>
  </conditionalFormatting>
  <conditionalFormatting sqref="I22:I29">
    <cfRule type="cellIs" dxfId="667" priority="652" operator="lessThan">
      <formula>0</formula>
    </cfRule>
  </conditionalFormatting>
  <conditionalFormatting sqref="I22:I29">
    <cfRule type="cellIs" dxfId="666" priority="651" operator="lessThan">
      <formula>0</formula>
    </cfRule>
  </conditionalFormatting>
  <conditionalFormatting sqref="I22:I29">
    <cfRule type="cellIs" dxfId="665" priority="650" operator="lessThan">
      <formula>0</formula>
    </cfRule>
  </conditionalFormatting>
  <conditionalFormatting sqref="I22:I29">
    <cfRule type="cellIs" dxfId="664" priority="649" operator="lessThan">
      <formula>0</formula>
    </cfRule>
  </conditionalFormatting>
  <conditionalFormatting sqref="I22:I29">
    <cfRule type="cellIs" dxfId="663" priority="648" operator="lessThan">
      <formula>0</formula>
    </cfRule>
  </conditionalFormatting>
  <conditionalFormatting sqref="I22:I29">
    <cfRule type="cellIs" dxfId="662" priority="647" operator="lessThan">
      <formula>0</formula>
    </cfRule>
  </conditionalFormatting>
  <conditionalFormatting sqref="I22:I29">
    <cfRule type="cellIs" dxfId="661" priority="646" operator="lessThan">
      <formula>0</formula>
    </cfRule>
  </conditionalFormatting>
  <conditionalFormatting sqref="I22:I29">
    <cfRule type="cellIs" dxfId="660" priority="645" operator="lessThan">
      <formula>0</formula>
    </cfRule>
  </conditionalFormatting>
  <conditionalFormatting sqref="I22:I29">
    <cfRule type="cellIs" dxfId="659" priority="644" operator="lessThan">
      <formula>0</formula>
    </cfRule>
  </conditionalFormatting>
  <conditionalFormatting sqref="I22:I29">
    <cfRule type="cellIs" dxfId="658" priority="643" operator="lessThan">
      <formula>0</formula>
    </cfRule>
  </conditionalFormatting>
  <conditionalFormatting sqref="I22:I29">
    <cfRule type="cellIs" dxfId="657" priority="642" operator="lessThan">
      <formula>0</formula>
    </cfRule>
  </conditionalFormatting>
  <conditionalFormatting sqref="I22:I29">
    <cfRule type="cellIs" dxfId="656" priority="641" operator="lessThan">
      <formula>0</formula>
    </cfRule>
  </conditionalFormatting>
  <conditionalFormatting sqref="I22:I29">
    <cfRule type="cellIs" dxfId="655" priority="640" operator="lessThan">
      <formula>0</formula>
    </cfRule>
  </conditionalFormatting>
  <conditionalFormatting sqref="I22:I29">
    <cfRule type="cellIs" dxfId="654" priority="639" operator="lessThan">
      <formula>0</formula>
    </cfRule>
  </conditionalFormatting>
  <conditionalFormatting sqref="I22:I29">
    <cfRule type="cellIs" dxfId="653" priority="638" operator="lessThan">
      <formula>0</formula>
    </cfRule>
  </conditionalFormatting>
  <conditionalFormatting sqref="I22:I29">
    <cfRule type="cellIs" dxfId="652" priority="637" operator="lessThan">
      <formula>0</formula>
    </cfRule>
  </conditionalFormatting>
  <conditionalFormatting sqref="I22:I29">
    <cfRule type="cellIs" dxfId="651" priority="636" operator="lessThan">
      <formula>0</formula>
    </cfRule>
  </conditionalFormatting>
  <conditionalFormatting sqref="I22:I29">
    <cfRule type="cellIs" dxfId="650" priority="635" operator="lessThan">
      <formula>0</formula>
    </cfRule>
  </conditionalFormatting>
  <conditionalFormatting sqref="I22:I29">
    <cfRule type="cellIs" dxfId="649" priority="634" operator="lessThan">
      <formula>0</formula>
    </cfRule>
  </conditionalFormatting>
  <conditionalFormatting sqref="I22:I29">
    <cfRule type="cellIs" dxfId="648" priority="633" operator="lessThan">
      <formula>0</formula>
    </cfRule>
  </conditionalFormatting>
  <conditionalFormatting sqref="I22:I29">
    <cfRule type="cellIs" dxfId="647" priority="632" operator="lessThan">
      <formula>0</formula>
    </cfRule>
  </conditionalFormatting>
  <conditionalFormatting sqref="I22:I29">
    <cfRule type="cellIs" dxfId="646" priority="631" operator="lessThan">
      <formula>0</formula>
    </cfRule>
  </conditionalFormatting>
  <conditionalFormatting sqref="I22:I29">
    <cfRule type="cellIs" dxfId="645" priority="630" operator="lessThan">
      <formula>0</formula>
    </cfRule>
  </conditionalFormatting>
  <conditionalFormatting sqref="I22:I29">
    <cfRule type="cellIs" dxfId="644" priority="629" operator="lessThan">
      <formula>0</formula>
    </cfRule>
  </conditionalFormatting>
  <conditionalFormatting sqref="I22:I29">
    <cfRule type="cellIs" dxfId="643" priority="628" operator="lessThan">
      <formula>0</formula>
    </cfRule>
  </conditionalFormatting>
  <conditionalFormatting sqref="I22:I29">
    <cfRule type="cellIs" dxfId="642" priority="627" operator="lessThan">
      <formula>0</formula>
    </cfRule>
  </conditionalFormatting>
  <conditionalFormatting sqref="I22:I29">
    <cfRule type="cellIs" dxfId="641" priority="626" operator="lessThan">
      <formula>0</formula>
    </cfRule>
  </conditionalFormatting>
  <conditionalFormatting sqref="I22:I29">
    <cfRule type="cellIs" dxfId="640" priority="625" operator="lessThan">
      <formula>0</formula>
    </cfRule>
  </conditionalFormatting>
  <conditionalFormatting sqref="I22:I29">
    <cfRule type="cellIs" dxfId="639" priority="624" operator="lessThan">
      <formula>0</formula>
    </cfRule>
  </conditionalFormatting>
  <conditionalFormatting sqref="I22:I29">
    <cfRule type="cellIs" dxfId="638" priority="623" operator="lessThan">
      <formula>0</formula>
    </cfRule>
  </conditionalFormatting>
  <conditionalFormatting sqref="I22:I29">
    <cfRule type="cellIs" dxfId="637" priority="622" operator="lessThan">
      <formula>0</formula>
    </cfRule>
  </conditionalFormatting>
  <conditionalFormatting sqref="I22:I29">
    <cfRule type="cellIs" dxfId="636" priority="621" operator="lessThan">
      <formula>0</formula>
    </cfRule>
  </conditionalFormatting>
  <conditionalFormatting sqref="I22:I29">
    <cfRule type="cellIs" dxfId="635" priority="620" operator="lessThan">
      <formula>0</formula>
    </cfRule>
  </conditionalFormatting>
  <conditionalFormatting sqref="I22:I29">
    <cfRule type="cellIs" dxfId="634" priority="619" operator="lessThan">
      <formula>0</formula>
    </cfRule>
  </conditionalFormatting>
  <conditionalFormatting sqref="I22:I29">
    <cfRule type="cellIs" dxfId="633" priority="618" operator="lessThan">
      <formula>0</formula>
    </cfRule>
  </conditionalFormatting>
  <conditionalFormatting sqref="I22:I29">
    <cfRule type="cellIs" dxfId="632" priority="617" operator="lessThan">
      <formula>0</formula>
    </cfRule>
  </conditionalFormatting>
  <conditionalFormatting sqref="I22:I29">
    <cfRule type="cellIs" dxfId="631" priority="616" operator="lessThan">
      <formula>0</formula>
    </cfRule>
  </conditionalFormatting>
  <conditionalFormatting sqref="I22:I29">
    <cfRule type="cellIs" dxfId="630" priority="615" operator="lessThan">
      <formula>0</formula>
    </cfRule>
  </conditionalFormatting>
  <conditionalFormatting sqref="I22:I29">
    <cfRule type="cellIs" dxfId="629" priority="614" operator="lessThan">
      <formula>0</formula>
    </cfRule>
  </conditionalFormatting>
  <conditionalFormatting sqref="I22:I29">
    <cfRule type="cellIs" dxfId="628" priority="613" operator="lessThan">
      <formula>0</formula>
    </cfRule>
  </conditionalFormatting>
  <conditionalFormatting sqref="I22:I29">
    <cfRule type="cellIs" dxfId="627" priority="612" operator="lessThan">
      <formula>0</formula>
    </cfRule>
  </conditionalFormatting>
  <conditionalFormatting sqref="I22:I29">
    <cfRule type="cellIs" dxfId="626" priority="611" operator="lessThan">
      <formula>0</formula>
    </cfRule>
  </conditionalFormatting>
  <conditionalFormatting sqref="I22:I29">
    <cfRule type="cellIs" dxfId="625" priority="610" operator="lessThan">
      <formula>0</formula>
    </cfRule>
  </conditionalFormatting>
  <conditionalFormatting sqref="I22:I29">
    <cfRule type="cellIs" dxfId="624" priority="609" operator="lessThan">
      <formula>0</formula>
    </cfRule>
  </conditionalFormatting>
  <conditionalFormatting sqref="I22:I29">
    <cfRule type="cellIs" dxfId="623" priority="608" operator="lessThan">
      <formula>0</formula>
    </cfRule>
  </conditionalFormatting>
  <conditionalFormatting sqref="I22:I29">
    <cfRule type="cellIs" dxfId="622" priority="607" operator="lessThan">
      <formula>0</formula>
    </cfRule>
  </conditionalFormatting>
  <conditionalFormatting sqref="I22:I29">
    <cfRule type="cellIs" dxfId="621" priority="606" operator="lessThan">
      <formula>0</formula>
    </cfRule>
  </conditionalFormatting>
  <conditionalFormatting sqref="I22:I29">
    <cfRule type="cellIs" dxfId="620" priority="605" operator="lessThan">
      <formula>0</formula>
    </cfRule>
  </conditionalFormatting>
  <conditionalFormatting sqref="I22:I29">
    <cfRule type="cellIs" dxfId="619" priority="604" operator="lessThan">
      <formula>0</formula>
    </cfRule>
  </conditionalFormatting>
  <conditionalFormatting sqref="I22:I29">
    <cfRule type="cellIs" dxfId="618" priority="603" operator="lessThan">
      <formula>0</formula>
    </cfRule>
  </conditionalFormatting>
  <conditionalFormatting sqref="I22:I29">
    <cfRule type="cellIs" dxfId="617" priority="602" operator="lessThan">
      <formula>0</formula>
    </cfRule>
  </conditionalFormatting>
  <conditionalFormatting sqref="I22:I29">
    <cfRule type="cellIs" dxfId="616" priority="601" operator="lessThan">
      <formula>0</formula>
    </cfRule>
  </conditionalFormatting>
  <conditionalFormatting sqref="I22:I29">
    <cfRule type="cellIs" dxfId="615" priority="600" operator="lessThan">
      <formula>0</formula>
    </cfRule>
  </conditionalFormatting>
  <conditionalFormatting sqref="I22:I29">
    <cfRule type="cellIs" dxfId="614" priority="599" operator="lessThan">
      <formula>0</formula>
    </cfRule>
  </conditionalFormatting>
  <conditionalFormatting sqref="I22:I29">
    <cfRule type="cellIs" dxfId="613" priority="598" operator="lessThan">
      <formula>0</formula>
    </cfRule>
  </conditionalFormatting>
  <conditionalFormatting sqref="I22:I29">
    <cfRule type="cellIs" dxfId="612" priority="597" operator="lessThan">
      <formula>0</formula>
    </cfRule>
  </conditionalFormatting>
  <conditionalFormatting sqref="I22:I29">
    <cfRule type="cellIs" dxfId="611" priority="596" operator="lessThan">
      <formula>0</formula>
    </cfRule>
  </conditionalFormatting>
  <conditionalFormatting sqref="I22:I29">
    <cfRule type="cellIs" dxfId="610" priority="595" operator="lessThan">
      <formula>0</formula>
    </cfRule>
  </conditionalFormatting>
  <conditionalFormatting sqref="I22:I29">
    <cfRule type="cellIs" dxfId="609" priority="594" operator="lessThan">
      <formula>0</formula>
    </cfRule>
  </conditionalFormatting>
  <conditionalFormatting sqref="I22:I29">
    <cfRule type="cellIs" dxfId="608" priority="593" operator="lessThan">
      <formula>0</formula>
    </cfRule>
  </conditionalFormatting>
  <conditionalFormatting sqref="I22:I29">
    <cfRule type="cellIs" dxfId="607" priority="592" operator="lessThan">
      <formula>0</formula>
    </cfRule>
  </conditionalFormatting>
  <conditionalFormatting sqref="I22:I29">
    <cfRule type="cellIs" dxfId="606" priority="591" operator="lessThan">
      <formula>0</formula>
    </cfRule>
  </conditionalFormatting>
  <conditionalFormatting sqref="I22:I29">
    <cfRule type="cellIs" dxfId="605" priority="590" operator="lessThan">
      <formula>0</formula>
    </cfRule>
  </conditionalFormatting>
  <conditionalFormatting sqref="I22:I29">
    <cfRule type="cellIs" dxfId="604" priority="589" operator="lessThan">
      <formula>0</formula>
    </cfRule>
  </conditionalFormatting>
  <conditionalFormatting sqref="I22:I29">
    <cfRule type="cellIs" dxfId="603" priority="588" operator="lessThan">
      <formula>0</formula>
    </cfRule>
  </conditionalFormatting>
  <conditionalFormatting sqref="I22:I29">
    <cfRule type="cellIs" dxfId="602" priority="587" operator="lessThan">
      <formula>0</formula>
    </cfRule>
  </conditionalFormatting>
  <conditionalFormatting sqref="I22:I29">
    <cfRule type="cellIs" dxfId="601" priority="586" operator="lessThan">
      <formula>0</formula>
    </cfRule>
  </conditionalFormatting>
  <conditionalFormatting sqref="I22:I29">
    <cfRule type="cellIs" dxfId="600" priority="585" operator="lessThan">
      <formula>0</formula>
    </cfRule>
  </conditionalFormatting>
  <conditionalFormatting sqref="I22:I29">
    <cfRule type="cellIs" dxfId="599" priority="584" operator="lessThan">
      <formula>0</formula>
    </cfRule>
  </conditionalFormatting>
  <conditionalFormatting sqref="I22:I29">
    <cfRule type="cellIs" dxfId="598" priority="583" operator="lessThan">
      <formula>0</formula>
    </cfRule>
  </conditionalFormatting>
  <conditionalFormatting sqref="I22:I29">
    <cfRule type="cellIs" dxfId="597" priority="582" operator="lessThan">
      <formula>0</formula>
    </cfRule>
  </conditionalFormatting>
  <conditionalFormatting sqref="I22:I29">
    <cfRule type="cellIs" dxfId="596" priority="581" operator="lessThan">
      <formula>0</formula>
    </cfRule>
  </conditionalFormatting>
  <conditionalFormatting sqref="I22:I29">
    <cfRule type="cellIs" dxfId="595" priority="580" operator="lessThan">
      <formula>0</formula>
    </cfRule>
  </conditionalFormatting>
  <conditionalFormatting sqref="I22:I29">
    <cfRule type="cellIs" dxfId="594" priority="579" operator="lessThan">
      <formula>0</formula>
    </cfRule>
  </conditionalFormatting>
  <conditionalFormatting sqref="I22:I29">
    <cfRule type="cellIs" dxfId="593" priority="578" operator="lessThan">
      <formula>0</formula>
    </cfRule>
  </conditionalFormatting>
  <conditionalFormatting sqref="I22:I29">
    <cfRule type="cellIs" dxfId="592" priority="577" operator="lessThan">
      <formula>0</formula>
    </cfRule>
  </conditionalFormatting>
  <conditionalFormatting sqref="I22:I29">
    <cfRule type="cellIs" dxfId="591" priority="576" operator="lessThan">
      <formula>0</formula>
    </cfRule>
  </conditionalFormatting>
  <conditionalFormatting sqref="I22:I29">
    <cfRule type="cellIs" dxfId="590" priority="575" operator="lessThan">
      <formula>0</formula>
    </cfRule>
  </conditionalFormatting>
  <conditionalFormatting sqref="I22:I29">
    <cfRule type="cellIs" dxfId="589" priority="574" operator="lessThan">
      <formula>0</formula>
    </cfRule>
  </conditionalFormatting>
  <conditionalFormatting sqref="I22:I29">
    <cfRule type="cellIs" dxfId="588" priority="573" operator="lessThan">
      <formula>0</formula>
    </cfRule>
  </conditionalFormatting>
  <conditionalFormatting sqref="I22:I29">
    <cfRule type="cellIs" dxfId="587" priority="572" operator="lessThan">
      <formula>0</formula>
    </cfRule>
  </conditionalFormatting>
  <conditionalFormatting sqref="I22:I29">
    <cfRule type="cellIs" dxfId="586" priority="571" operator="lessThan">
      <formula>0</formula>
    </cfRule>
  </conditionalFormatting>
  <conditionalFormatting sqref="I22:I29">
    <cfRule type="cellIs" dxfId="585" priority="570" operator="lessThan">
      <formula>0</formula>
    </cfRule>
  </conditionalFormatting>
  <conditionalFormatting sqref="I22:I29">
    <cfRule type="cellIs" dxfId="584" priority="569" operator="lessThan">
      <formula>0</formula>
    </cfRule>
  </conditionalFormatting>
  <conditionalFormatting sqref="I22:I29">
    <cfRule type="cellIs" dxfId="583" priority="568" operator="lessThan">
      <formula>0</formula>
    </cfRule>
  </conditionalFormatting>
  <conditionalFormatting sqref="I22:I29">
    <cfRule type="cellIs" dxfId="582" priority="567" operator="lessThan">
      <formula>0</formula>
    </cfRule>
  </conditionalFormatting>
  <conditionalFormatting sqref="I22:I29">
    <cfRule type="cellIs" dxfId="581" priority="566" operator="lessThan">
      <formula>0</formula>
    </cfRule>
  </conditionalFormatting>
  <conditionalFormatting sqref="I22:I29">
    <cfRule type="cellIs" dxfId="580" priority="565" operator="lessThan">
      <formula>0</formula>
    </cfRule>
  </conditionalFormatting>
  <conditionalFormatting sqref="I22:I29">
    <cfRule type="cellIs" dxfId="579" priority="564" operator="lessThan">
      <formula>0</formula>
    </cfRule>
  </conditionalFormatting>
  <conditionalFormatting sqref="I22:I29">
    <cfRule type="cellIs" dxfId="578" priority="563" operator="lessThan">
      <formula>0</formula>
    </cfRule>
  </conditionalFormatting>
  <conditionalFormatting sqref="I22:I29">
    <cfRule type="cellIs" dxfId="577" priority="562" operator="lessThan">
      <formula>0</formula>
    </cfRule>
  </conditionalFormatting>
  <conditionalFormatting sqref="I22:I29">
    <cfRule type="cellIs" dxfId="576" priority="561" operator="lessThan">
      <formula>0</formula>
    </cfRule>
  </conditionalFormatting>
  <conditionalFormatting sqref="I22:I29">
    <cfRule type="cellIs" dxfId="575" priority="560" operator="lessThan">
      <formula>0</formula>
    </cfRule>
  </conditionalFormatting>
  <conditionalFormatting sqref="I22:I29">
    <cfRule type="cellIs" dxfId="574" priority="559" operator="lessThan">
      <formula>0</formula>
    </cfRule>
  </conditionalFormatting>
  <conditionalFormatting sqref="I22:I29">
    <cfRule type="cellIs" dxfId="573" priority="558" operator="lessThan">
      <formula>0</formula>
    </cfRule>
  </conditionalFormatting>
  <conditionalFormatting sqref="I22:I29">
    <cfRule type="cellIs" dxfId="572" priority="557" operator="lessThan">
      <formula>0</formula>
    </cfRule>
  </conditionalFormatting>
  <conditionalFormatting sqref="I22:I29">
    <cfRule type="cellIs" dxfId="571" priority="556" operator="lessThan">
      <formula>0</formula>
    </cfRule>
  </conditionalFormatting>
  <conditionalFormatting sqref="I22:I29">
    <cfRule type="cellIs" dxfId="570" priority="555" operator="lessThan">
      <formula>0</formula>
    </cfRule>
  </conditionalFormatting>
  <conditionalFormatting sqref="I22:I29">
    <cfRule type="cellIs" dxfId="569" priority="554" operator="lessThan">
      <formula>0</formula>
    </cfRule>
  </conditionalFormatting>
  <conditionalFormatting sqref="I22:I29">
    <cfRule type="cellIs" dxfId="568" priority="553" operator="lessThan">
      <formula>0</formula>
    </cfRule>
  </conditionalFormatting>
  <conditionalFormatting sqref="I22:I29">
    <cfRule type="cellIs" dxfId="567" priority="552" operator="lessThan">
      <formula>0</formula>
    </cfRule>
  </conditionalFormatting>
  <conditionalFormatting sqref="I22:I29">
    <cfRule type="cellIs" dxfId="566" priority="551" operator="lessThan">
      <formula>0</formula>
    </cfRule>
  </conditionalFormatting>
  <conditionalFormatting sqref="I22:I29">
    <cfRule type="cellIs" dxfId="565" priority="550" operator="lessThan">
      <formula>0</formula>
    </cfRule>
  </conditionalFormatting>
  <conditionalFormatting sqref="I22:I29">
    <cfRule type="cellIs" dxfId="564" priority="549" operator="lessThan">
      <formula>0</formula>
    </cfRule>
  </conditionalFormatting>
  <conditionalFormatting sqref="I22:I29">
    <cfRule type="cellIs" dxfId="563" priority="548" operator="lessThan">
      <formula>0</formula>
    </cfRule>
  </conditionalFormatting>
  <conditionalFormatting sqref="I22:I29">
    <cfRule type="cellIs" dxfId="562" priority="547" operator="lessThan">
      <formula>0</formula>
    </cfRule>
  </conditionalFormatting>
  <conditionalFormatting sqref="I22:I29">
    <cfRule type="cellIs" dxfId="561" priority="546" operator="lessThan">
      <formula>0</formula>
    </cfRule>
  </conditionalFormatting>
  <conditionalFormatting sqref="I22:I29">
    <cfRule type="cellIs" dxfId="560" priority="545" operator="lessThan">
      <formula>0</formula>
    </cfRule>
  </conditionalFormatting>
  <conditionalFormatting sqref="I22:I29">
    <cfRule type="cellIs" dxfId="559" priority="544" operator="lessThan">
      <formula>0</formula>
    </cfRule>
  </conditionalFormatting>
  <conditionalFormatting sqref="I22:I29">
    <cfRule type="cellIs" dxfId="558" priority="543" operator="lessThan">
      <formula>0</formula>
    </cfRule>
  </conditionalFormatting>
  <conditionalFormatting sqref="I22:I29">
    <cfRule type="cellIs" dxfId="557" priority="542" operator="lessThan">
      <formula>0</formula>
    </cfRule>
  </conditionalFormatting>
  <conditionalFormatting sqref="I22:I29">
    <cfRule type="cellIs" dxfId="556" priority="541" operator="lessThan">
      <formula>0</formula>
    </cfRule>
  </conditionalFormatting>
  <conditionalFormatting sqref="I22:I29">
    <cfRule type="cellIs" dxfId="555" priority="540" operator="lessThan">
      <formula>0</formula>
    </cfRule>
  </conditionalFormatting>
  <conditionalFormatting sqref="I22:I29">
    <cfRule type="cellIs" dxfId="554" priority="539" operator="lessThan">
      <formula>0</formula>
    </cfRule>
  </conditionalFormatting>
  <conditionalFormatting sqref="I22:I29">
    <cfRule type="cellIs" dxfId="553" priority="538" operator="lessThan">
      <formula>0</formula>
    </cfRule>
  </conditionalFormatting>
  <conditionalFormatting sqref="I22:I29">
    <cfRule type="cellIs" dxfId="552" priority="537" operator="lessThan">
      <formula>0</formula>
    </cfRule>
  </conditionalFormatting>
  <conditionalFormatting sqref="I22:I29">
    <cfRule type="cellIs" dxfId="551" priority="536" operator="lessThan">
      <formula>0</formula>
    </cfRule>
  </conditionalFormatting>
  <conditionalFormatting sqref="I22:I29">
    <cfRule type="cellIs" dxfId="550" priority="535" operator="lessThan">
      <formula>0</formula>
    </cfRule>
  </conditionalFormatting>
  <conditionalFormatting sqref="I22:I29">
    <cfRule type="cellIs" dxfId="549" priority="534" operator="lessThan">
      <formula>0</formula>
    </cfRule>
  </conditionalFormatting>
  <conditionalFormatting sqref="I22:I29">
    <cfRule type="cellIs" dxfId="548" priority="533" operator="lessThan">
      <formula>0</formula>
    </cfRule>
  </conditionalFormatting>
  <conditionalFormatting sqref="I22:I29">
    <cfRule type="cellIs" dxfId="547" priority="532" operator="lessThan">
      <formula>0</formula>
    </cfRule>
  </conditionalFormatting>
  <conditionalFormatting sqref="I22:I29">
    <cfRule type="cellIs" dxfId="546" priority="531" operator="lessThan">
      <formula>0</formula>
    </cfRule>
  </conditionalFormatting>
  <conditionalFormatting sqref="I22:I29">
    <cfRule type="cellIs" dxfId="545" priority="530" operator="lessThan">
      <formula>0</formula>
    </cfRule>
  </conditionalFormatting>
  <conditionalFormatting sqref="I22:I29">
    <cfRule type="cellIs" dxfId="544" priority="529" operator="lessThan">
      <formula>0</formula>
    </cfRule>
  </conditionalFormatting>
  <conditionalFormatting sqref="I22:I29">
    <cfRule type="cellIs" dxfId="543" priority="528" operator="lessThan">
      <formula>0</formula>
    </cfRule>
  </conditionalFormatting>
  <conditionalFormatting sqref="I22:I29">
    <cfRule type="cellIs" dxfId="542" priority="527" operator="lessThan">
      <formula>0</formula>
    </cfRule>
  </conditionalFormatting>
  <conditionalFormatting sqref="I22:I29">
    <cfRule type="cellIs" dxfId="541" priority="526" operator="lessThan">
      <formula>0</formula>
    </cfRule>
  </conditionalFormatting>
  <conditionalFormatting sqref="I22:I29">
    <cfRule type="cellIs" dxfId="540" priority="525" operator="lessThan">
      <formula>0</formula>
    </cfRule>
  </conditionalFormatting>
  <conditionalFormatting sqref="I22:I29">
    <cfRule type="cellIs" dxfId="539" priority="524" operator="lessThan">
      <formula>0</formula>
    </cfRule>
  </conditionalFormatting>
  <conditionalFormatting sqref="I22:I29">
    <cfRule type="cellIs" dxfId="538" priority="523" operator="lessThan">
      <formula>0</formula>
    </cfRule>
  </conditionalFormatting>
  <conditionalFormatting sqref="I22:I29">
    <cfRule type="cellIs" dxfId="537" priority="522" operator="lessThan">
      <formula>0</formula>
    </cfRule>
  </conditionalFormatting>
  <conditionalFormatting sqref="I22:I29">
    <cfRule type="cellIs" dxfId="536" priority="521" operator="lessThan">
      <formula>0</formula>
    </cfRule>
  </conditionalFormatting>
  <conditionalFormatting sqref="I22:I29">
    <cfRule type="cellIs" dxfId="535" priority="520" operator="lessThan">
      <formula>0</formula>
    </cfRule>
  </conditionalFormatting>
  <conditionalFormatting sqref="I22:I29">
    <cfRule type="cellIs" dxfId="534" priority="519" operator="lessThan">
      <formula>0</formula>
    </cfRule>
  </conditionalFormatting>
  <conditionalFormatting sqref="I22:I29">
    <cfRule type="cellIs" dxfId="533" priority="518" operator="lessThan">
      <formula>0</formula>
    </cfRule>
  </conditionalFormatting>
  <conditionalFormatting sqref="I22:I29">
    <cfRule type="cellIs" dxfId="532" priority="517" operator="lessThan">
      <formula>0</formula>
    </cfRule>
  </conditionalFormatting>
  <conditionalFormatting sqref="I22:I29">
    <cfRule type="cellIs" dxfId="531" priority="516" operator="lessThan">
      <formula>0</formula>
    </cfRule>
  </conditionalFormatting>
  <conditionalFormatting sqref="I22:I29">
    <cfRule type="cellIs" dxfId="530" priority="515" operator="lessThan">
      <formula>0</formula>
    </cfRule>
  </conditionalFormatting>
  <conditionalFormatting sqref="I22:I29">
    <cfRule type="cellIs" dxfId="529" priority="514" operator="lessThan">
      <formula>0</formula>
    </cfRule>
  </conditionalFormatting>
  <conditionalFormatting sqref="I22:I29">
    <cfRule type="cellIs" dxfId="528" priority="513" operator="lessThan">
      <formula>0</formula>
    </cfRule>
  </conditionalFormatting>
  <conditionalFormatting sqref="I22:I29">
    <cfRule type="cellIs" dxfId="527" priority="512" operator="lessThan">
      <formula>0</formula>
    </cfRule>
  </conditionalFormatting>
  <conditionalFormatting sqref="I22:I29">
    <cfRule type="cellIs" dxfId="526" priority="511" operator="lessThan">
      <formula>0</formula>
    </cfRule>
  </conditionalFormatting>
  <conditionalFormatting sqref="I22:I29">
    <cfRule type="cellIs" dxfId="525" priority="510" operator="lessThan">
      <formula>0</formula>
    </cfRule>
  </conditionalFormatting>
  <conditionalFormatting sqref="I22:I29">
    <cfRule type="cellIs" dxfId="524" priority="509" operator="lessThan">
      <formula>0</formula>
    </cfRule>
  </conditionalFormatting>
  <conditionalFormatting sqref="I22:I29">
    <cfRule type="cellIs" dxfId="523" priority="508" operator="lessThan">
      <formula>0</formula>
    </cfRule>
  </conditionalFormatting>
  <conditionalFormatting sqref="I22:I29">
    <cfRule type="cellIs" dxfId="522" priority="507" operator="lessThan">
      <formula>0</formula>
    </cfRule>
  </conditionalFormatting>
  <conditionalFormatting sqref="I22:I29">
    <cfRule type="cellIs" dxfId="521" priority="506" operator="lessThan">
      <formula>0</formula>
    </cfRule>
  </conditionalFormatting>
  <conditionalFormatting sqref="I22:I29">
    <cfRule type="cellIs" dxfId="520" priority="505" operator="lessThan">
      <formula>0</formula>
    </cfRule>
  </conditionalFormatting>
  <conditionalFormatting sqref="I22:I29">
    <cfRule type="cellIs" dxfId="519" priority="504" operator="lessThan">
      <formula>0</formula>
    </cfRule>
  </conditionalFormatting>
  <conditionalFormatting sqref="I22:I29">
    <cfRule type="cellIs" dxfId="518" priority="503" operator="lessThan">
      <formula>0</formula>
    </cfRule>
  </conditionalFormatting>
  <conditionalFormatting sqref="I22:I29">
    <cfRule type="cellIs" dxfId="517" priority="502" operator="lessThan">
      <formula>0</formula>
    </cfRule>
  </conditionalFormatting>
  <conditionalFormatting sqref="I22:I29">
    <cfRule type="cellIs" dxfId="516" priority="501" operator="lessThan">
      <formula>0</formula>
    </cfRule>
  </conditionalFormatting>
  <conditionalFormatting sqref="I22:I29">
    <cfRule type="cellIs" dxfId="515" priority="500" operator="lessThan">
      <formula>0</formula>
    </cfRule>
  </conditionalFormatting>
  <conditionalFormatting sqref="I22:I29">
    <cfRule type="cellIs" dxfId="514" priority="499" operator="lessThan">
      <formula>0</formula>
    </cfRule>
  </conditionalFormatting>
  <conditionalFormatting sqref="I22:I29">
    <cfRule type="cellIs" dxfId="513" priority="498" operator="lessThan">
      <formula>0</formula>
    </cfRule>
  </conditionalFormatting>
  <conditionalFormatting sqref="I22:I29">
    <cfRule type="cellIs" dxfId="512" priority="497" operator="lessThan">
      <formula>0</formula>
    </cfRule>
  </conditionalFormatting>
  <conditionalFormatting sqref="I22:I29">
    <cfRule type="cellIs" dxfId="511" priority="496" operator="lessThan">
      <formula>0</formula>
    </cfRule>
  </conditionalFormatting>
  <conditionalFormatting sqref="I22:I29">
    <cfRule type="cellIs" dxfId="510" priority="495" operator="lessThan">
      <formula>0</formula>
    </cfRule>
  </conditionalFormatting>
  <conditionalFormatting sqref="I22:I29">
    <cfRule type="cellIs" dxfId="509" priority="494" operator="lessThan">
      <formula>0</formula>
    </cfRule>
  </conditionalFormatting>
  <conditionalFormatting sqref="I22:I29">
    <cfRule type="cellIs" dxfId="508" priority="493" operator="lessThan">
      <formula>0</formula>
    </cfRule>
  </conditionalFormatting>
  <conditionalFormatting sqref="I22:I29">
    <cfRule type="cellIs" dxfId="507" priority="492" operator="lessThan">
      <formula>0</formula>
    </cfRule>
  </conditionalFormatting>
  <conditionalFormatting sqref="I22:I29">
    <cfRule type="cellIs" dxfId="506" priority="491" operator="lessThan">
      <formula>0</formula>
    </cfRule>
  </conditionalFormatting>
  <conditionalFormatting sqref="I22:I29">
    <cfRule type="cellIs" dxfId="505" priority="490" operator="lessThan">
      <formula>0</formula>
    </cfRule>
  </conditionalFormatting>
  <conditionalFormatting sqref="I22:I29">
    <cfRule type="cellIs" dxfId="504" priority="489" operator="lessThan">
      <formula>0</formula>
    </cfRule>
  </conditionalFormatting>
  <conditionalFormatting sqref="I22:I29">
    <cfRule type="cellIs" dxfId="503" priority="488" operator="lessThan">
      <formula>0</formula>
    </cfRule>
  </conditionalFormatting>
  <conditionalFormatting sqref="I22:I29">
    <cfRule type="cellIs" dxfId="502" priority="487" operator="lessThan">
      <formula>0</formula>
    </cfRule>
  </conditionalFormatting>
  <conditionalFormatting sqref="I22:I29">
    <cfRule type="cellIs" dxfId="501" priority="486" operator="lessThan">
      <formula>0</formula>
    </cfRule>
  </conditionalFormatting>
  <conditionalFormatting sqref="I22:I29">
    <cfRule type="cellIs" dxfId="500" priority="485" operator="lessThan">
      <formula>0</formula>
    </cfRule>
  </conditionalFormatting>
  <conditionalFormatting sqref="I22:I29">
    <cfRule type="cellIs" dxfId="499" priority="484" operator="lessThan">
      <formula>0</formula>
    </cfRule>
  </conditionalFormatting>
  <conditionalFormatting sqref="I22:I29">
    <cfRule type="cellIs" dxfId="498" priority="483" operator="lessThan">
      <formula>0</formula>
    </cfRule>
  </conditionalFormatting>
  <conditionalFormatting sqref="I22:I29">
    <cfRule type="cellIs" dxfId="497" priority="482" operator="lessThan">
      <formula>0</formula>
    </cfRule>
  </conditionalFormatting>
  <conditionalFormatting sqref="I22:I29">
    <cfRule type="cellIs" dxfId="496" priority="481" operator="lessThan">
      <formula>0</formula>
    </cfRule>
  </conditionalFormatting>
  <conditionalFormatting sqref="I22:I29">
    <cfRule type="cellIs" dxfId="495" priority="480" operator="lessThan">
      <formula>0</formula>
    </cfRule>
  </conditionalFormatting>
  <conditionalFormatting sqref="I22:I29">
    <cfRule type="cellIs" dxfId="494" priority="479" operator="lessThan">
      <formula>0</formula>
    </cfRule>
  </conditionalFormatting>
  <conditionalFormatting sqref="I22:I29">
    <cfRule type="cellIs" dxfId="493" priority="478" operator="lessThan">
      <formula>0</formula>
    </cfRule>
  </conditionalFormatting>
  <conditionalFormatting sqref="I22:I29">
    <cfRule type="cellIs" dxfId="492" priority="477" operator="lessThan">
      <formula>0</formula>
    </cfRule>
  </conditionalFormatting>
  <conditionalFormatting sqref="I22:I29">
    <cfRule type="cellIs" dxfId="491" priority="476" operator="lessThan">
      <formula>0</formula>
    </cfRule>
  </conditionalFormatting>
  <conditionalFormatting sqref="I22:I29">
    <cfRule type="cellIs" dxfId="490" priority="475" operator="lessThan">
      <formula>0</formula>
    </cfRule>
  </conditionalFormatting>
  <conditionalFormatting sqref="I22:I29">
    <cfRule type="cellIs" dxfId="489" priority="474" operator="lessThan">
      <formula>0</formula>
    </cfRule>
  </conditionalFormatting>
  <conditionalFormatting sqref="I22:I29">
    <cfRule type="cellIs" dxfId="488" priority="473" operator="lessThan">
      <formula>0</formula>
    </cfRule>
  </conditionalFormatting>
  <conditionalFormatting sqref="I22:I29">
    <cfRule type="cellIs" dxfId="487" priority="472" operator="lessThan">
      <formula>0</formula>
    </cfRule>
  </conditionalFormatting>
  <conditionalFormatting sqref="I22:I29">
    <cfRule type="cellIs" dxfId="486" priority="471" operator="lessThan">
      <formula>0</formula>
    </cfRule>
  </conditionalFormatting>
  <conditionalFormatting sqref="I22:I29">
    <cfRule type="cellIs" dxfId="485" priority="470" operator="lessThan">
      <formula>0</formula>
    </cfRule>
  </conditionalFormatting>
  <conditionalFormatting sqref="I22:I29">
    <cfRule type="cellIs" dxfId="484" priority="469" operator="lessThan">
      <formula>0</formula>
    </cfRule>
  </conditionalFormatting>
  <conditionalFormatting sqref="I22:I29">
    <cfRule type="cellIs" dxfId="483" priority="468" operator="lessThan">
      <formula>0</formula>
    </cfRule>
  </conditionalFormatting>
  <conditionalFormatting sqref="I22:I29">
    <cfRule type="cellIs" dxfId="482" priority="467" operator="lessThan">
      <formula>0</formula>
    </cfRule>
  </conditionalFormatting>
  <conditionalFormatting sqref="I22:I29">
    <cfRule type="cellIs" dxfId="481" priority="466" operator="lessThan">
      <formula>0</formula>
    </cfRule>
  </conditionalFormatting>
  <conditionalFormatting sqref="I22:I29">
    <cfRule type="cellIs" dxfId="480" priority="465" operator="lessThan">
      <formula>0</formula>
    </cfRule>
  </conditionalFormatting>
  <conditionalFormatting sqref="I22:I29">
    <cfRule type="cellIs" dxfId="479" priority="464" operator="lessThan">
      <formula>0</formula>
    </cfRule>
  </conditionalFormatting>
  <conditionalFormatting sqref="I22:I29">
    <cfRule type="cellIs" dxfId="478" priority="463" operator="lessThan">
      <formula>0</formula>
    </cfRule>
  </conditionalFormatting>
  <conditionalFormatting sqref="I22:I29">
    <cfRule type="cellIs" dxfId="477" priority="462" operator="lessThan">
      <formula>0</formula>
    </cfRule>
  </conditionalFormatting>
  <conditionalFormatting sqref="I22:I29">
    <cfRule type="cellIs" dxfId="476" priority="461" operator="lessThan">
      <formula>0</formula>
    </cfRule>
  </conditionalFormatting>
  <conditionalFormatting sqref="I22:I29">
    <cfRule type="cellIs" dxfId="475" priority="460" operator="lessThan">
      <formula>0</formula>
    </cfRule>
  </conditionalFormatting>
  <conditionalFormatting sqref="I22:I29">
    <cfRule type="cellIs" dxfId="474" priority="459" operator="lessThan">
      <formula>0</formula>
    </cfRule>
  </conditionalFormatting>
  <conditionalFormatting sqref="I22:I29">
    <cfRule type="cellIs" dxfId="473" priority="458" operator="lessThan">
      <formula>0</formula>
    </cfRule>
  </conditionalFormatting>
  <conditionalFormatting sqref="I22:I29">
    <cfRule type="cellIs" dxfId="472" priority="457" operator="lessThan">
      <formula>0</formula>
    </cfRule>
  </conditionalFormatting>
  <conditionalFormatting sqref="I22:I29">
    <cfRule type="cellIs" dxfId="471" priority="456" operator="lessThan">
      <formula>0</formula>
    </cfRule>
  </conditionalFormatting>
  <conditionalFormatting sqref="I22:I29">
    <cfRule type="cellIs" dxfId="470" priority="455" operator="lessThan">
      <formula>0</formula>
    </cfRule>
  </conditionalFormatting>
  <conditionalFormatting sqref="I22:I29">
    <cfRule type="cellIs" dxfId="469" priority="454" operator="lessThan">
      <formula>0</formula>
    </cfRule>
  </conditionalFormatting>
  <conditionalFormatting sqref="I22:I29">
    <cfRule type="cellIs" dxfId="468" priority="453" operator="lessThan">
      <formula>0</formula>
    </cfRule>
  </conditionalFormatting>
  <conditionalFormatting sqref="I22:I29">
    <cfRule type="cellIs" dxfId="467" priority="452" operator="lessThan">
      <formula>0</formula>
    </cfRule>
  </conditionalFormatting>
  <conditionalFormatting sqref="I22:I29">
    <cfRule type="cellIs" dxfId="466" priority="451" operator="lessThan">
      <formula>0</formula>
    </cfRule>
  </conditionalFormatting>
  <conditionalFormatting sqref="I22:I29">
    <cfRule type="cellIs" dxfId="465" priority="450" operator="lessThan">
      <formula>0</formula>
    </cfRule>
  </conditionalFormatting>
  <conditionalFormatting sqref="I22:I29">
    <cfRule type="cellIs" dxfId="464" priority="449" operator="lessThan">
      <formula>0</formula>
    </cfRule>
  </conditionalFormatting>
  <conditionalFormatting sqref="I22:I29">
    <cfRule type="cellIs" dxfId="463" priority="448" operator="lessThan">
      <formula>0</formula>
    </cfRule>
  </conditionalFormatting>
  <conditionalFormatting sqref="I22:I29">
    <cfRule type="cellIs" dxfId="462" priority="447" operator="lessThan">
      <formula>0</formula>
    </cfRule>
  </conditionalFormatting>
  <conditionalFormatting sqref="I22:I29">
    <cfRule type="cellIs" dxfId="461" priority="446" operator="lessThan">
      <formula>0</formula>
    </cfRule>
  </conditionalFormatting>
  <conditionalFormatting sqref="I22:I29">
    <cfRule type="cellIs" dxfId="460" priority="445" operator="lessThan">
      <formula>0</formula>
    </cfRule>
  </conditionalFormatting>
  <conditionalFormatting sqref="I22:I29">
    <cfRule type="cellIs" dxfId="459" priority="444" operator="lessThan">
      <formula>0</formula>
    </cfRule>
  </conditionalFormatting>
  <conditionalFormatting sqref="I22:I29">
    <cfRule type="cellIs" dxfId="458" priority="443" operator="lessThan">
      <formula>0</formula>
    </cfRule>
  </conditionalFormatting>
  <conditionalFormatting sqref="I22:I29">
    <cfRule type="cellIs" dxfId="457" priority="442" operator="lessThan">
      <formula>0</formula>
    </cfRule>
  </conditionalFormatting>
  <conditionalFormatting sqref="I22:I29">
    <cfRule type="cellIs" dxfId="456" priority="441" operator="lessThan">
      <formula>0</formula>
    </cfRule>
  </conditionalFormatting>
  <conditionalFormatting sqref="I22:I29">
    <cfRule type="cellIs" dxfId="455" priority="440" operator="lessThan">
      <formula>0</formula>
    </cfRule>
  </conditionalFormatting>
  <conditionalFormatting sqref="I22:I29">
    <cfRule type="cellIs" dxfId="454" priority="439" operator="lessThan">
      <formula>0</formula>
    </cfRule>
  </conditionalFormatting>
  <conditionalFormatting sqref="I22:I29">
    <cfRule type="cellIs" dxfId="453" priority="438" operator="lessThan">
      <formula>0</formula>
    </cfRule>
  </conditionalFormatting>
  <conditionalFormatting sqref="I22:I29">
    <cfRule type="cellIs" dxfId="452" priority="437" operator="lessThan">
      <formula>0</formula>
    </cfRule>
  </conditionalFormatting>
  <conditionalFormatting sqref="I22:I29">
    <cfRule type="cellIs" dxfId="451" priority="436" operator="lessThan">
      <formula>0</formula>
    </cfRule>
  </conditionalFormatting>
  <conditionalFormatting sqref="I22:I29">
    <cfRule type="cellIs" dxfId="450" priority="435" operator="lessThan">
      <formula>0</formula>
    </cfRule>
  </conditionalFormatting>
  <conditionalFormatting sqref="I22:I29">
    <cfRule type="cellIs" dxfId="449" priority="434" operator="lessThan">
      <formula>0</formula>
    </cfRule>
  </conditionalFormatting>
  <conditionalFormatting sqref="I22:I29">
    <cfRule type="cellIs" dxfId="448" priority="433" operator="lessThan">
      <formula>0</formula>
    </cfRule>
  </conditionalFormatting>
  <conditionalFormatting sqref="I22:I29">
    <cfRule type="cellIs" dxfId="447" priority="432" operator="lessThan">
      <formula>0</formula>
    </cfRule>
  </conditionalFormatting>
  <conditionalFormatting sqref="I22:I29">
    <cfRule type="cellIs" dxfId="446" priority="431" operator="lessThan">
      <formula>0</formula>
    </cfRule>
  </conditionalFormatting>
  <conditionalFormatting sqref="I22:I29">
    <cfRule type="cellIs" dxfId="445" priority="430" operator="lessThan">
      <formula>0</formula>
    </cfRule>
  </conditionalFormatting>
  <conditionalFormatting sqref="I22:I29">
    <cfRule type="cellIs" dxfId="444" priority="429" operator="lessThan">
      <formula>0</formula>
    </cfRule>
  </conditionalFormatting>
  <conditionalFormatting sqref="I22:I29">
    <cfRule type="cellIs" dxfId="443" priority="428" operator="lessThan">
      <formula>0</formula>
    </cfRule>
  </conditionalFormatting>
  <conditionalFormatting sqref="I22:I29">
    <cfRule type="cellIs" dxfId="442" priority="427" operator="lessThan">
      <formula>0</formula>
    </cfRule>
  </conditionalFormatting>
  <conditionalFormatting sqref="I22:I29">
    <cfRule type="cellIs" dxfId="441" priority="426" operator="lessThan">
      <formula>0</formula>
    </cfRule>
  </conditionalFormatting>
  <conditionalFormatting sqref="I22:I29">
    <cfRule type="cellIs" dxfId="440" priority="425" operator="lessThan">
      <formula>0</formula>
    </cfRule>
  </conditionalFormatting>
  <conditionalFormatting sqref="I22:I29">
    <cfRule type="cellIs" dxfId="439" priority="424" operator="lessThan">
      <formula>0</formula>
    </cfRule>
  </conditionalFormatting>
  <conditionalFormatting sqref="I22:I29">
    <cfRule type="cellIs" dxfId="438" priority="423" operator="lessThan">
      <formula>0</formula>
    </cfRule>
  </conditionalFormatting>
  <conditionalFormatting sqref="I22:I29">
    <cfRule type="cellIs" dxfId="437" priority="422" operator="lessThan">
      <formula>0</formula>
    </cfRule>
  </conditionalFormatting>
  <conditionalFormatting sqref="I22:I29">
    <cfRule type="cellIs" dxfId="436" priority="421" operator="lessThan">
      <formula>0</formula>
    </cfRule>
  </conditionalFormatting>
  <conditionalFormatting sqref="I22:I29">
    <cfRule type="cellIs" dxfId="435" priority="420" operator="lessThan">
      <formula>0</formula>
    </cfRule>
  </conditionalFormatting>
  <conditionalFormatting sqref="I22:I29">
    <cfRule type="cellIs" dxfId="434" priority="419" operator="lessThan">
      <formula>0</formula>
    </cfRule>
  </conditionalFormatting>
  <conditionalFormatting sqref="I22:I29">
    <cfRule type="cellIs" dxfId="433" priority="418" operator="lessThan">
      <formula>0</formula>
    </cfRule>
  </conditionalFormatting>
  <conditionalFormatting sqref="I22:I29">
    <cfRule type="cellIs" dxfId="432" priority="417" operator="lessThan">
      <formula>0</formula>
    </cfRule>
  </conditionalFormatting>
  <conditionalFormatting sqref="I22:I29">
    <cfRule type="cellIs" dxfId="431" priority="416" operator="lessThan">
      <formula>0</formula>
    </cfRule>
  </conditionalFormatting>
  <conditionalFormatting sqref="I22:I29">
    <cfRule type="cellIs" dxfId="430" priority="415" operator="lessThan">
      <formula>0</formula>
    </cfRule>
  </conditionalFormatting>
  <conditionalFormatting sqref="I22:I29">
    <cfRule type="cellIs" dxfId="429" priority="414" operator="lessThan">
      <formula>0</formula>
    </cfRule>
  </conditionalFormatting>
  <conditionalFormatting sqref="I22:I29">
    <cfRule type="cellIs" dxfId="428" priority="413" operator="lessThan">
      <formula>0</formula>
    </cfRule>
  </conditionalFormatting>
  <conditionalFormatting sqref="I22:I29">
    <cfRule type="cellIs" dxfId="427" priority="412" operator="lessThan">
      <formula>0</formula>
    </cfRule>
  </conditionalFormatting>
  <conditionalFormatting sqref="I22:I29">
    <cfRule type="cellIs" dxfId="426" priority="411" operator="lessThan">
      <formula>0</formula>
    </cfRule>
  </conditionalFormatting>
  <conditionalFormatting sqref="I22:I29">
    <cfRule type="cellIs" dxfId="425" priority="410" operator="lessThan">
      <formula>0</formula>
    </cfRule>
  </conditionalFormatting>
  <conditionalFormatting sqref="I22:I29">
    <cfRule type="cellIs" dxfId="424" priority="409" operator="lessThan">
      <formula>0</formula>
    </cfRule>
  </conditionalFormatting>
  <conditionalFormatting sqref="I22:I29">
    <cfRule type="cellIs" dxfId="423" priority="408" operator="lessThan">
      <formula>0</formula>
    </cfRule>
  </conditionalFormatting>
  <conditionalFormatting sqref="I22:I29">
    <cfRule type="cellIs" dxfId="422" priority="407" operator="lessThan">
      <formula>0</formula>
    </cfRule>
  </conditionalFormatting>
  <conditionalFormatting sqref="I22:I29">
    <cfRule type="cellIs" dxfId="421" priority="406" operator="lessThan">
      <formula>0</formula>
    </cfRule>
  </conditionalFormatting>
  <conditionalFormatting sqref="I22:I29">
    <cfRule type="cellIs" dxfId="420" priority="405" operator="lessThan">
      <formula>0</formula>
    </cfRule>
  </conditionalFormatting>
  <conditionalFormatting sqref="I22:I29">
    <cfRule type="cellIs" dxfId="419" priority="404" operator="lessThan">
      <formula>0</formula>
    </cfRule>
  </conditionalFormatting>
  <conditionalFormatting sqref="I22:I29">
    <cfRule type="cellIs" dxfId="418" priority="403" operator="lessThan">
      <formula>0</formula>
    </cfRule>
  </conditionalFormatting>
  <conditionalFormatting sqref="I22:I29">
    <cfRule type="cellIs" dxfId="417" priority="402" operator="lessThan">
      <formula>0</formula>
    </cfRule>
  </conditionalFormatting>
  <conditionalFormatting sqref="I22:I29">
    <cfRule type="cellIs" dxfId="416" priority="401" operator="lessThan">
      <formula>0</formula>
    </cfRule>
  </conditionalFormatting>
  <conditionalFormatting sqref="I22:I29">
    <cfRule type="cellIs" dxfId="415" priority="400" operator="lessThan">
      <formula>0</formula>
    </cfRule>
  </conditionalFormatting>
  <conditionalFormatting sqref="I22:I29">
    <cfRule type="cellIs" dxfId="414" priority="399" operator="lessThan">
      <formula>0</formula>
    </cfRule>
  </conditionalFormatting>
  <conditionalFormatting sqref="I22:I29">
    <cfRule type="cellIs" dxfId="413" priority="398" operator="lessThan">
      <formula>0</formula>
    </cfRule>
  </conditionalFormatting>
  <conditionalFormatting sqref="I22:I29">
    <cfRule type="cellIs" dxfId="412" priority="397" operator="lessThan">
      <formula>0</formula>
    </cfRule>
  </conditionalFormatting>
  <conditionalFormatting sqref="I22:I29">
    <cfRule type="cellIs" dxfId="411" priority="396" operator="lessThan">
      <formula>0</formula>
    </cfRule>
  </conditionalFormatting>
  <conditionalFormatting sqref="I22:I29">
    <cfRule type="cellIs" dxfId="410" priority="395" operator="lessThan">
      <formula>0</formula>
    </cfRule>
  </conditionalFormatting>
  <conditionalFormatting sqref="I22:I29">
    <cfRule type="cellIs" dxfId="409" priority="394" operator="lessThan">
      <formula>0</formula>
    </cfRule>
  </conditionalFormatting>
  <conditionalFormatting sqref="I22:I29">
    <cfRule type="cellIs" dxfId="408" priority="393" operator="lessThan">
      <formula>0</formula>
    </cfRule>
  </conditionalFormatting>
  <conditionalFormatting sqref="I22:I29">
    <cfRule type="cellIs" dxfId="407" priority="392" operator="lessThan">
      <formula>0</formula>
    </cfRule>
  </conditionalFormatting>
  <conditionalFormatting sqref="I22:I29">
    <cfRule type="cellIs" dxfId="406" priority="391" operator="lessThan">
      <formula>0</formula>
    </cfRule>
  </conditionalFormatting>
  <conditionalFormatting sqref="I22:I29">
    <cfRule type="cellIs" dxfId="405" priority="390" operator="lessThan">
      <formula>0</formula>
    </cfRule>
  </conditionalFormatting>
  <conditionalFormatting sqref="I22:I29">
    <cfRule type="cellIs" dxfId="404" priority="389" operator="lessThan">
      <formula>0</formula>
    </cfRule>
  </conditionalFormatting>
  <conditionalFormatting sqref="I22:I29">
    <cfRule type="cellIs" dxfId="403" priority="388" operator="lessThan">
      <formula>0</formula>
    </cfRule>
  </conditionalFormatting>
  <conditionalFormatting sqref="I22:I29">
    <cfRule type="cellIs" dxfId="402" priority="387" operator="lessThan">
      <formula>0</formula>
    </cfRule>
  </conditionalFormatting>
  <conditionalFormatting sqref="I22:I29">
    <cfRule type="cellIs" dxfId="401" priority="386" operator="lessThan">
      <formula>0</formula>
    </cfRule>
  </conditionalFormatting>
  <conditionalFormatting sqref="I22:I29">
    <cfRule type="cellIs" dxfId="400" priority="385" operator="lessThan">
      <formula>0</formula>
    </cfRule>
  </conditionalFormatting>
  <conditionalFormatting sqref="I22:I29">
    <cfRule type="cellIs" dxfId="399" priority="384" operator="lessThan">
      <formula>0</formula>
    </cfRule>
  </conditionalFormatting>
  <conditionalFormatting sqref="I22:I29">
    <cfRule type="cellIs" dxfId="398" priority="383" operator="lessThan">
      <formula>0</formula>
    </cfRule>
  </conditionalFormatting>
  <conditionalFormatting sqref="I22:I29">
    <cfRule type="cellIs" dxfId="397" priority="382" operator="lessThan">
      <formula>0</formula>
    </cfRule>
  </conditionalFormatting>
  <conditionalFormatting sqref="I22:I29">
    <cfRule type="cellIs" dxfId="396" priority="381" operator="lessThan">
      <formula>0</formula>
    </cfRule>
  </conditionalFormatting>
  <conditionalFormatting sqref="I22:I29">
    <cfRule type="cellIs" dxfId="395" priority="380" operator="lessThan">
      <formula>0</formula>
    </cfRule>
  </conditionalFormatting>
  <conditionalFormatting sqref="I22:I29">
    <cfRule type="cellIs" dxfId="394" priority="379" operator="lessThan">
      <formula>0</formula>
    </cfRule>
  </conditionalFormatting>
  <conditionalFormatting sqref="I22:I29">
    <cfRule type="cellIs" dxfId="393" priority="378" operator="lessThan">
      <formula>0</formula>
    </cfRule>
  </conditionalFormatting>
  <conditionalFormatting sqref="I22:I29">
    <cfRule type="cellIs" dxfId="392" priority="377" operator="lessThan">
      <formula>0</formula>
    </cfRule>
  </conditionalFormatting>
  <conditionalFormatting sqref="I22:I29">
    <cfRule type="cellIs" dxfId="391" priority="376" operator="lessThan">
      <formula>0</formula>
    </cfRule>
  </conditionalFormatting>
  <conditionalFormatting sqref="I22:I29">
    <cfRule type="cellIs" dxfId="390" priority="375" operator="lessThan">
      <formula>0</formula>
    </cfRule>
  </conditionalFormatting>
  <conditionalFormatting sqref="I22:I29">
    <cfRule type="cellIs" dxfId="389" priority="374" operator="lessThan">
      <formula>0</formula>
    </cfRule>
  </conditionalFormatting>
  <conditionalFormatting sqref="I22:I29">
    <cfRule type="cellIs" dxfId="388" priority="373" operator="lessThan">
      <formula>0</formula>
    </cfRule>
  </conditionalFormatting>
  <conditionalFormatting sqref="I22:I29">
    <cfRule type="cellIs" dxfId="387" priority="372" operator="lessThan">
      <formula>0</formula>
    </cfRule>
  </conditionalFormatting>
  <conditionalFormatting sqref="I22:I29">
    <cfRule type="cellIs" dxfId="386" priority="371" operator="lessThan">
      <formula>0</formula>
    </cfRule>
  </conditionalFormatting>
  <conditionalFormatting sqref="I22:I29">
    <cfRule type="cellIs" dxfId="385" priority="370" operator="lessThan">
      <formula>0</formula>
    </cfRule>
  </conditionalFormatting>
  <conditionalFormatting sqref="I22:I29">
    <cfRule type="cellIs" dxfId="384" priority="369" operator="lessThan">
      <formula>0</formula>
    </cfRule>
  </conditionalFormatting>
  <conditionalFormatting sqref="I22:I29">
    <cfRule type="cellIs" dxfId="383" priority="368" operator="lessThan">
      <formula>0</formula>
    </cfRule>
  </conditionalFormatting>
  <conditionalFormatting sqref="I22:I29">
    <cfRule type="cellIs" dxfId="382" priority="367" operator="lessThan">
      <formula>0</formula>
    </cfRule>
  </conditionalFormatting>
  <conditionalFormatting sqref="I22:I29">
    <cfRule type="cellIs" dxfId="381" priority="366" operator="lessThan">
      <formula>0</formula>
    </cfRule>
  </conditionalFormatting>
  <conditionalFormatting sqref="I22:I29">
    <cfRule type="cellIs" dxfId="380" priority="365" operator="lessThan">
      <formula>0</formula>
    </cfRule>
  </conditionalFormatting>
  <conditionalFormatting sqref="I22:I29">
    <cfRule type="cellIs" dxfId="379" priority="364" operator="lessThan">
      <formula>0</formula>
    </cfRule>
  </conditionalFormatting>
  <conditionalFormatting sqref="I22:I29">
    <cfRule type="cellIs" dxfId="378" priority="363" operator="lessThan">
      <formula>0</formula>
    </cfRule>
  </conditionalFormatting>
  <conditionalFormatting sqref="I22:I29">
    <cfRule type="cellIs" dxfId="377" priority="362" operator="lessThan">
      <formula>0</formula>
    </cfRule>
  </conditionalFormatting>
  <conditionalFormatting sqref="I22:I29">
    <cfRule type="cellIs" dxfId="376" priority="361" operator="lessThan">
      <formula>0</formula>
    </cfRule>
  </conditionalFormatting>
  <conditionalFormatting sqref="I22:I29">
    <cfRule type="cellIs" dxfId="375" priority="360" operator="lessThan">
      <formula>0</formula>
    </cfRule>
  </conditionalFormatting>
  <conditionalFormatting sqref="I22:I29">
    <cfRule type="cellIs" dxfId="374" priority="359" operator="lessThan">
      <formula>0</formula>
    </cfRule>
  </conditionalFormatting>
  <conditionalFormatting sqref="I22:I29">
    <cfRule type="cellIs" dxfId="373" priority="358" operator="lessThan">
      <formula>0</formula>
    </cfRule>
  </conditionalFormatting>
  <conditionalFormatting sqref="I22:I29">
    <cfRule type="cellIs" dxfId="372" priority="357" operator="lessThan">
      <formula>0</formula>
    </cfRule>
  </conditionalFormatting>
  <conditionalFormatting sqref="I22:I29">
    <cfRule type="cellIs" dxfId="371" priority="356" operator="lessThan">
      <formula>0</formula>
    </cfRule>
  </conditionalFormatting>
  <conditionalFormatting sqref="I22:I29">
    <cfRule type="cellIs" dxfId="370" priority="355" operator="lessThan">
      <formula>0</formula>
    </cfRule>
  </conditionalFormatting>
  <conditionalFormatting sqref="I22:I29">
    <cfRule type="cellIs" dxfId="369" priority="354" operator="lessThan">
      <formula>0</formula>
    </cfRule>
  </conditionalFormatting>
  <conditionalFormatting sqref="I22:I29">
    <cfRule type="cellIs" dxfId="368" priority="353" operator="lessThan">
      <formula>0</formula>
    </cfRule>
  </conditionalFormatting>
  <conditionalFormatting sqref="I22:I29">
    <cfRule type="cellIs" dxfId="367" priority="352" operator="lessThan">
      <formula>0</formula>
    </cfRule>
  </conditionalFormatting>
  <conditionalFormatting sqref="I22:I29">
    <cfRule type="cellIs" dxfId="366" priority="351" operator="lessThan">
      <formula>0</formula>
    </cfRule>
  </conditionalFormatting>
  <conditionalFormatting sqref="I22:I29">
    <cfRule type="cellIs" dxfId="365" priority="350" operator="lessThan">
      <formula>0</formula>
    </cfRule>
  </conditionalFormatting>
  <conditionalFormatting sqref="I22:I29">
    <cfRule type="cellIs" dxfId="364" priority="349" operator="lessThan">
      <formula>0</formula>
    </cfRule>
  </conditionalFormatting>
  <conditionalFormatting sqref="I22:I29">
    <cfRule type="cellIs" dxfId="363" priority="348" operator="lessThan">
      <formula>0</formula>
    </cfRule>
  </conditionalFormatting>
  <conditionalFormatting sqref="I22:I29">
    <cfRule type="cellIs" dxfId="362" priority="347" operator="lessThan">
      <formula>0</formula>
    </cfRule>
  </conditionalFormatting>
  <conditionalFormatting sqref="I22:I29">
    <cfRule type="cellIs" dxfId="361" priority="346" operator="lessThan">
      <formula>0</formula>
    </cfRule>
  </conditionalFormatting>
  <conditionalFormatting sqref="I22:I29">
    <cfRule type="cellIs" dxfId="360" priority="345" operator="lessThan">
      <formula>0</formula>
    </cfRule>
  </conditionalFormatting>
  <conditionalFormatting sqref="I22:I29">
    <cfRule type="cellIs" dxfId="359" priority="344" operator="lessThan">
      <formula>0</formula>
    </cfRule>
  </conditionalFormatting>
  <conditionalFormatting sqref="I22:I29">
    <cfRule type="cellIs" dxfId="358" priority="343" operator="lessThan">
      <formula>0</formula>
    </cfRule>
  </conditionalFormatting>
  <conditionalFormatting sqref="I22:I29">
    <cfRule type="cellIs" dxfId="357" priority="342" operator="lessThan">
      <formula>0</formula>
    </cfRule>
  </conditionalFormatting>
  <conditionalFormatting sqref="I22:I29">
    <cfRule type="cellIs" dxfId="356" priority="341" operator="lessThan">
      <formula>0</formula>
    </cfRule>
  </conditionalFormatting>
  <conditionalFormatting sqref="I22:I29">
    <cfRule type="cellIs" dxfId="355" priority="340" operator="lessThan">
      <formula>0</formula>
    </cfRule>
  </conditionalFormatting>
  <conditionalFormatting sqref="I22:I29">
    <cfRule type="cellIs" dxfId="354" priority="339" operator="lessThan">
      <formula>0</formula>
    </cfRule>
  </conditionalFormatting>
  <conditionalFormatting sqref="I22:I29">
    <cfRule type="cellIs" dxfId="353" priority="338" operator="lessThan">
      <formula>0</formula>
    </cfRule>
  </conditionalFormatting>
  <conditionalFormatting sqref="I22:I29">
    <cfRule type="cellIs" dxfId="352" priority="337" operator="lessThan">
      <formula>0</formula>
    </cfRule>
  </conditionalFormatting>
  <conditionalFormatting sqref="I22:I29">
    <cfRule type="cellIs" dxfId="351" priority="336" operator="lessThan">
      <formula>0</formula>
    </cfRule>
  </conditionalFormatting>
  <conditionalFormatting sqref="I22:I29">
    <cfRule type="cellIs" dxfId="350" priority="335" operator="lessThan">
      <formula>0</formula>
    </cfRule>
  </conditionalFormatting>
  <conditionalFormatting sqref="I22:I29">
    <cfRule type="cellIs" dxfId="349" priority="334" operator="lessThan">
      <formula>0</formula>
    </cfRule>
  </conditionalFormatting>
  <conditionalFormatting sqref="I22:I29">
    <cfRule type="cellIs" dxfId="348" priority="333" operator="lessThan">
      <formula>0</formula>
    </cfRule>
  </conditionalFormatting>
  <conditionalFormatting sqref="I22:I29">
    <cfRule type="cellIs" dxfId="347" priority="332" operator="lessThan">
      <formula>0</formula>
    </cfRule>
  </conditionalFormatting>
  <conditionalFormatting sqref="I22:I29">
    <cfRule type="cellIs" dxfId="346" priority="331" operator="lessThan">
      <formula>0</formula>
    </cfRule>
  </conditionalFormatting>
  <conditionalFormatting sqref="I22:I29">
    <cfRule type="cellIs" dxfId="345" priority="330" operator="lessThan">
      <formula>0</formula>
    </cfRule>
  </conditionalFormatting>
  <conditionalFormatting sqref="I22:I29">
    <cfRule type="cellIs" dxfId="344" priority="329" operator="lessThan">
      <formula>0</formula>
    </cfRule>
  </conditionalFormatting>
  <conditionalFormatting sqref="I22:I29">
    <cfRule type="cellIs" dxfId="343" priority="328" operator="lessThan">
      <formula>0</formula>
    </cfRule>
  </conditionalFormatting>
  <conditionalFormatting sqref="I22:I29">
    <cfRule type="cellIs" dxfId="342" priority="327" operator="lessThan">
      <formula>0</formula>
    </cfRule>
  </conditionalFormatting>
  <conditionalFormatting sqref="I22:I29">
    <cfRule type="cellIs" dxfId="341" priority="326" operator="lessThan">
      <formula>0</formula>
    </cfRule>
  </conditionalFormatting>
  <conditionalFormatting sqref="I22:I29">
    <cfRule type="cellIs" dxfId="340" priority="325" operator="lessThan">
      <formula>0</formula>
    </cfRule>
  </conditionalFormatting>
  <conditionalFormatting sqref="I22:I29">
    <cfRule type="cellIs" dxfId="339" priority="324" operator="lessThan">
      <formula>0</formula>
    </cfRule>
  </conditionalFormatting>
  <conditionalFormatting sqref="I22:I29">
    <cfRule type="cellIs" dxfId="338" priority="323" operator="lessThan">
      <formula>0</formula>
    </cfRule>
  </conditionalFormatting>
  <conditionalFormatting sqref="I22:I29">
    <cfRule type="cellIs" dxfId="337" priority="322" operator="lessThan">
      <formula>0</formula>
    </cfRule>
  </conditionalFormatting>
  <conditionalFormatting sqref="I22:I29">
    <cfRule type="cellIs" dxfId="336" priority="321" operator="lessThan">
      <formula>0</formula>
    </cfRule>
  </conditionalFormatting>
  <conditionalFormatting sqref="I22:I29">
    <cfRule type="cellIs" dxfId="335" priority="320" operator="lessThan">
      <formula>0</formula>
    </cfRule>
  </conditionalFormatting>
  <conditionalFormatting sqref="I22:I29">
    <cfRule type="cellIs" dxfId="334" priority="319" operator="lessThan">
      <formula>0</formula>
    </cfRule>
  </conditionalFormatting>
  <conditionalFormatting sqref="I22:I29">
    <cfRule type="cellIs" dxfId="333" priority="318" operator="lessThan">
      <formula>0</formula>
    </cfRule>
  </conditionalFormatting>
  <conditionalFormatting sqref="I22:I29">
    <cfRule type="cellIs" dxfId="332" priority="317" operator="lessThan">
      <formula>0</formula>
    </cfRule>
  </conditionalFormatting>
  <conditionalFormatting sqref="I22:I29">
    <cfRule type="cellIs" dxfId="331" priority="316" operator="lessThan">
      <formula>0</formula>
    </cfRule>
  </conditionalFormatting>
  <conditionalFormatting sqref="I22:I29">
    <cfRule type="cellIs" dxfId="330" priority="315" operator="lessThan">
      <formula>0</formula>
    </cfRule>
  </conditionalFormatting>
  <conditionalFormatting sqref="I22:I29">
    <cfRule type="cellIs" dxfId="329" priority="314" operator="lessThan">
      <formula>0</formula>
    </cfRule>
  </conditionalFormatting>
  <conditionalFormatting sqref="I22:I29">
    <cfRule type="cellIs" dxfId="328" priority="313" operator="lessThan">
      <formula>0</formula>
    </cfRule>
  </conditionalFormatting>
  <conditionalFormatting sqref="I22:I29">
    <cfRule type="cellIs" dxfId="327" priority="312" operator="lessThan">
      <formula>0</formula>
    </cfRule>
  </conditionalFormatting>
  <conditionalFormatting sqref="I22:I29">
    <cfRule type="cellIs" dxfId="326" priority="311" operator="lessThan">
      <formula>0</formula>
    </cfRule>
  </conditionalFormatting>
  <conditionalFormatting sqref="I22:I29">
    <cfRule type="cellIs" dxfId="325" priority="310" operator="lessThan">
      <formula>0</formula>
    </cfRule>
  </conditionalFormatting>
  <conditionalFormatting sqref="I22:I29">
    <cfRule type="cellIs" dxfId="324" priority="309" operator="lessThan">
      <formula>0</formula>
    </cfRule>
  </conditionalFormatting>
  <conditionalFormatting sqref="I22:I29">
    <cfRule type="cellIs" dxfId="323" priority="308" operator="lessThan">
      <formula>0</formula>
    </cfRule>
  </conditionalFormatting>
  <conditionalFormatting sqref="I22:I29">
    <cfRule type="cellIs" dxfId="322" priority="307" operator="lessThan">
      <formula>0</formula>
    </cfRule>
  </conditionalFormatting>
  <conditionalFormatting sqref="I22:I29">
    <cfRule type="cellIs" dxfId="321" priority="306" operator="lessThan">
      <formula>0</formula>
    </cfRule>
  </conditionalFormatting>
  <conditionalFormatting sqref="I22:I29">
    <cfRule type="cellIs" dxfId="320" priority="305" operator="lessThan">
      <formula>0</formula>
    </cfRule>
  </conditionalFormatting>
  <conditionalFormatting sqref="I22:I29">
    <cfRule type="cellIs" dxfId="319" priority="304" operator="lessThan">
      <formula>0</formula>
    </cfRule>
  </conditionalFormatting>
  <conditionalFormatting sqref="I22:I29">
    <cfRule type="cellIs" dxfId="318" priority="303" operator="lessThan">
      <formula>0</formula>
    </cfRule>
  </conditionalFormatting>
  <conditionalFormatting sqref="I22:I29">
    <cfRule type="cellIs" dxfId="317" priority="302" operator="lessThan">
      <formula>0</formula>
    </cfRule>
  </conditionalFormatting>
  <conditionalFormatting sqref="I22:I29">
    <cfRule type="cellIs" dxfId="316" priority="301" operator="lessThan">
      <formula>0</formula>
    </cfRule>
  </conditionalFormatting>
  <conditionalFormatting sqref="I22:I29">
    <cfRule type="cellIs" dxfId="315" priority="300" operator="lessThan">
      <formula>0</formula>
    </cfRule>
  </conditionalFormatting>
  <conditionalFormatting sqref="I22:I29">
    <cfRule type="cellIs" dxfId="314" priority="299" operator="lessThan">
      <formula>0</formula>
    </cfRule>
  </conditionalFormatting>
  <conditionalFormatting sqref="I22:I29">
    <cfRule type="cellIs" dxfId="313" priority="298" operator="lessThan">
      <formula>0</formula>
    </cfRule>
  </conditionalFormatting>
  <conditionalFormatting sqref="I22:I29">
    <cfRule type="cellIs" dxfId="312" priority="297" operator="lessThan">
      <formula>0</formula>
    </cfRule>
  </conditionalFormatting>
  <conditionalFormatting sqref="I22:I29">
    <cfRule type="cellIs" dxfId="311" priority="296" operator="lessThan">
      <formula>0</formula>
    </cfRule>
  </conditionalFormatting>
  <conditionalFormatting sqref="I22:I29">
    <cfRule type="cellIs" dxfId="310" priority="295" operator="lessThan">
      <formula>0</formula>
    </cfRule>
  </conditionalFormatting>
  <conditionalFormatting sqref="I22:I29">
    <cfRule type="cellIs" dxfId="309" priority="294" operator="lessThan">
      <formula>0</formula>
    </cfRule>
  </conditionalFormatting>
  <conditionalFormatting sqref="I22:I29">
    <cfRule type="cellIs" dxfId="308" priority="293" operator="lessThan">
      <formula>0</formula>
    </cfRule>
  </conditionalFormatting>
  <conditionalFormatting sqref="I22:I29">
    <cfRule type="cellIs" dxfId="307" priority="292" operator="lessThan">
      <formula>0</formula>
    </cfRule>
  </conditionalFormatting>
  <conditionalFormatting sqref="I22:I29">
    <cfRule type="cellIs" dxfId="306" priority="291" operator="lessThan">
      <formula>0</formula>
    </cfRule>
  </conditionalFormatting>
  <conditionalFormatting sqref="I22:I29">
    <cfRule type="cellIs" dxfId="305" priority="290" operator="lessThan">
      <formula>0</formula>
    </cfRule>
  </conditionalFormatting>
  <conditionalFormatting sqref="I22:I29">
    <cfRule type="cellIs" dxfId="304" priority="289" operator="lessThan">
      <formula>0</formula>
    </cfRule>
  </conditionalFormatting>
  <conditionalFormatting sqref="I22:I29">
    <cfRule type="cellIs" dxfId="303" priority="288" operator="lessThan">
      <formula>0</formula>
    </cfRule>
  </conditionalFormatting>
  <conditionalFormatting sqref="I22:I29">
    <cfRule type="cellIs" dxfId="302" priority="287" operator="lessThan">
      <formula>0</formula>
    </cfRule>
  </conditionalFormatting>
  <conditionalFormatting sqref="I22:I29">
    <cfRule type="cellIs" dxfId="301" priority="286" operator="lessThan">
      <formula>0</formula>
    </cfRule>
  </conditionalFormatting>
  <conditionalFormatting sqref="I22:I29">
    <cfRule type="cellIs" dxfId="300" priority="285" operator="lessThan">
      <formula>0</formula>
    </cfRule>
  </conditionalFormatting>
  <conditionalFormatting sqref="I22:I29">
    <cfRule type="cellIs" dxfId="299" priority="284" operator="lessThan">
      <formula>0</formula>
    </cfRule>
  </conditionalFormatting>
  <conditionalFormatting sqref="I22:I29">
    <cfRule type="cellIs" dxfId="298" priority="283" operator="lessThan">
      <formula>0</formula>
    </cfRule>
  </conditionalFormatting>
  <conditionalFormatting sqref="I22:I29">
    <cfRule type="cellIs" dxfId="297" priority="282" operator="lessThan">
      <formula>0</formula>
    </cfRule>
  </conditionalFormatting>
  <conditionalFormatting sqref="I22:I29">
    <cfRule type="cellIs" dxfId="296" priority="281" operator="lessThan">
      <formula>0</formula>
    </cfRule>
  </conditionalFormatting>
  <conditionalFormatting sqref="I22:I29">
    <cfRule type="cellIs" dxfId="295" priority="280" operator="lessThan">
      <formula>0</formula>
    </cfRule>
  </conditionalFormatting>
  <conditionalFormatting sqref="I22:I29">
    <cfRule type="cellIs" dxfId="294" priority="279" operator="lessThan">
      <formula>0</formula>
    </cfRule>
  </conditionalFormatting>
  <conditionalFormatting sqref="I22:I29">
    <cfRule type="cellIs" dxfId="293" priority="278" operator="lessThan">
      <formula>0</formula>
    </cfRule>
  </conditionalFormatting>
  <conditionalFormatting sqref="I22:I29">
    <cfRule type="cellIs" dxfId="292" priority="277" operator="lessThan">
      <formula>0</formula>
    </cfRule>
  </conditionalFormatting>
  <conditionalFormatting sqref="I22:I29">
    <cfRule type="cellIs" dxfId="291" priority="276" operator="lessThan">
      <formula>0</formula>
    </cfRule>
  </conditionalFormatting>
  <conditionalFormatting sqref="I22:I29">
    <cfRule type="cellIs" dxfId="290" priority="275" operator="lessThan">
      <formula>0</formula>
    </cfRule>
  </conditionalFormatting>
  <conditionalFormatting sqref="I22:I29">
    <cfRule type="cellIs" dxfId="289" priority="274" operator="lessThan">
      <formula>0</formula>
    </cfRule>
  </conditionalFormatting>
  <conditionalFormatting sqref="I22:I29">
    <cfRule type="cellIs" dxfId="288" priority="273" operator="lessThan">
      <formula>0</formula>
    </cfRule>
  </conditionalFormatting>
  <conditionalFormatting sqref="I22:I29">
    <cfRule type="cellIs" dxfId="287" priority="272" operator="lessThan">
      <formula>0</formula>
    </cfRule>
  </conditionalFormatting>
  <conditionalFormatting sqref="I22:I29">
    <cfRule type="cellIs" dxfId="286" priority="271" operator="lessThan">
      <formula>0</formula>
    </cfRule>
  </conditionalFormatting>
  <conditionalFormatting sqref="I22:I29">
    <cfRule type="cellIs" dxfId="285" priority="270" operator="lessThan">
      <formula>0</formula>
    </cfRule>
  </conditionalFormatting>
  <conditionalFormatting sqref="I22:I29">
    <cfRule type="cellIs" dxfId="284" priority="269" operator="lessThan">
      <formula>0</formula>
    </cfRule>
  </conditionalFormatting>
  <conditionalFormatting sqref="I22:I29">
    <cfRule type="cellIs" dxfId="283" priority="268" operator="lessThan">
      <formula>0</formula>
    </cfRule>
  </conditionalFormatting>
  <conditionalFormatting sqref="I22:I29">
    <cfRule type="cellIs" dxfId="282" priority="267" operator="lessThan">
      <formula>0</formula>
    </cfRule>
  </conditionalFormatting>
  <conditionalFormatting sqref="I22:I29">
    <cfRule type="cellIs" dxfId="281" priority="266" operator="lessThan">
      <formula>0</formula>
    </cfRule>
  </conditionalFormatting>
  <conditionalFormatting sqref="I22:I29">
    <cfRule type="cellIs" dxfId="280" priority="265" operator="lessThan">
      <formula>0</formula>
    </cfRule>
  </conditionalFormatting>
  <conditionalFormatting sqref="I22:I29">
    <cfRule type="cellIs" dxfId="279" priority="264" operator="lessThan">
      <formula>0</formula>
    </cfRule>
  </conditionalFormatting>
  <conditionalFormatting sqref="I22:I29">
    <cfRule type="cellIs" dxfId="278" priority="263" operator="lessThan">
      <formula>0</formula>
    </cfRule>
  </conditionalFormatting>
  <conditionalFormatting sqref="I22:I29">
    <cfRule type="cellIs" dxfId="277" priority="262" operator="lessThan">
      <formula>0</formula>
    </cfRule>
  </conditionalFormatting>
  <conditionalFormatting sqref="I22:I29">
    <cfRule type="cellIs" dxfId="276" priority="261" operator="lessThan">
      <formula>0</formula>
    </cfRule>
  </conditionalFormatting>
  <conditionalFormatting sqref="I22:I29">
    <cfRule type="cellIs" dxfId="275" priority="260" operator="lessThan">
      <formula>0</formula>
    </cfRule>
  </conditionalFormatting>
  <conditionalFormatting sqref="I22:I29">
    <cfRule type="cellIs" dxfId="274" priority="259" operator="lessThan">
      <formula>0</formula>
    </cfRule>
  </conditionalFormatting>
  <conditionalFormatting sqref="I22:I29">
    <cfRule type="cellIs" dxfId="273" priority="258" operator="lessThan">
      <formula>0</formula>
    </cfRule>
  </conditionalFormatting>
  <conditionalFormatting sqref="I22:I29">
    <cfRule type="cellIs" dxfId="272" priority="257" operator="lessThan">
      <formula>0</formula>
    </cfRule>
  </conditionalFormatting>
  <conditionalFormatting sqref="I22:I29">
    <cfRule type="cellIs" dxfId="271" priority="256" operator="lessThan">
      <formula>0</formula>
    </cfRule>
  </conditionalFormatting>
  <conditionalFormatting sqref="I22:I29">
    <cfRule type="cellIs" dxfId="270" priority="255" operator="lessThan">
      <formula>0</formula>
    </cfRule>
  </conditionalFormatting>
  <conditionalFormatting sqref="I22:I29">
    <cfRule type="cellIs" dxfId="269" priority="254" operator="lessThan">
      <formula>0</formula>
    </cfRule>
  </conditionalFormatting>
  <conditionalFormatting sqref="I22:I29">
    <cfRule type="cellIs" dxfId="268" priority="253" operator="lessThan">
      <formula>0</formula>
    </cfRule>
  </conditionalFormatting>
  <conditionalFormatting sqref="I22:I29">
    <cfRule type="cellIs" dxfId="267" priority="252" operator="lessThan">
      <formula>0</formula>
    </cfRule>
  </conditionalFormatting>
  <conditionalFormatting sqref="I22:I29">
    <cfRule type="cellIs" dxfId="266" priority="251" operator="lessThan">
      <formula>0</formula>
    </cfRule>
  </conditionalFormatting>
  <conditionalFormatting sqref="I22:I29">
    <cfRule type="cellIs" dxfId="265" priority="250" operator="lessThan">
      <formula>0</formula>
    </cfRule>
  </conditionalFormatting>
  <conditionalFormatting sqref="I22:I29">
    <cfRule type="cellIs" dxfId="264" priority="249" operator="lessThan">
      <formula>0</formula>
    </cfRule>
  </conditionalFormatting>
  <conditionalFormatting sqref="I22:I29">
    <cfRule type="cellIs" dxfId="263" priority="248" operator="lessThan">
      <formula>0</formula>
    </cfRule>
  </conditionalFormatting>
  <conditionalFormatting sqref="I22:I29">
    <cfRule type="cellIs" dxfId="262" priority="247" operator="lessThan">
      <formula>0</formula>
    </cfRule>
  </conditionalFormatting>
  <conditionalFormatting sqref="I22:I29">
    <cfRule type="cellIs" dxfId="261" priority="246" operator="lessThan">
      <formula>0</formula>
    </cfRule>
  </conditionalFormatting>
  <conditionalFormatting sqref="I22:I29">
    <cfRule type="cellIs" dxfId="260" priority="245" operator="lessThan">
      <formula>0</formula>
    </cfRule>
  </conditionalFormatting>
  <conditionalFormatting sqref="I22:I29">
    <cfRule type="cellIs" dxfId="259" priority="244" operator="lessThan">
      <formula>0</formula>
    </cfRule>
  </conditionalFormatting>
  <conditionalFormatting sqref="I22:I29">
    <cfRule type="cellIs" dxfId="258" priority="243" operator="lessThan">
      <formula>0</formula>
    </cfRule>
  </conditionalFormatting>
  <conditionalFormatting sqref="I22:I29">
    <cfRule type="cellIs" dxfId="257" priority="242" operator="lessThan">
      <formula>0</formula>
    </cfRule>
  </conditionalFormatting>
  <conditionalFormatting sqref="I22:I29">
    <cfRule type="cellIs" dxfId="256" priority="241" operator="lessThan">
      <formula>0</formula>
    </cfRule>
  </conditionalFormatting>
  <conditionalFormatting sqref="I22:I29">
    <cfRule type="cellIs" dxfId="255" priority="240" operator="lessThan">
      <formula>0</formula>
    </cfRule>
  </conditionalFormatting>
  <conditionalFormatting sqref="I22:I29">
    <cfRule type="cellIs" dxfId="254" priority="239" operator="lessThan">
      <formula>0</formula>
    </cfRule>
  </conditionalFormatting>
  <conditionalFormatting sqref="I22:I29">
    <cfRule type="cellIs" dxfId="253" priority="238" operator="lessThan">
      <formula>0</formula>
    </cfRule>
  </conditionalFormatting>
  <conditionalFormatting sqref="I22:I29">
    <cfRule type="cellIs" dxfId="252" priority="237" operator="lessThan">
      <formula>0</formula>
    </cfRule>
  </conditionalFormatting>
  <conditionalFormatting sqref="I22:I29">
    <cfRule type="cellIs" dxfId="251" priority="236" operator="lessThan">
      <formula>0</formula>
    </cfRule>
  </conditionalFormatting>
  <conditionalFormatting sqref="I22:I29">
    <cfRule type="cellIs" dxfId="250" priority="235" operator="lessThan">
      <formula>0</formula>
    </cfRule>
  </conditionalFormatting>
  <conditionalFormatting sqref="I22:I29">
    <cfRule type="cellIs" dxfId="249" priority="234" operator="lessThan">
      <formula>0</formula>
    </cfRule>
  </conditionalFormatting>
  <conditionalFormatting sqref="I22:I29">
    <cfRule type="cellIs" dxfId="248" priority="233" operator="lessThan">
      <formula>0</formula>
    </cfRule>
  </conditionalFormatting>
  <conditionalFormatting sqref="I22:I29">
    <cfRule type="cellIs" dxfId="247" priority="232" operator="lessThan">
      <formula>0</formula>
    </cfRule>
  </conditionalFormatting>
  <conditionalFormatting sqref="I22:I29">
    <cfRule type="cellIs" dxfId="246" priority="231" operator="lessThan">
      <formula>0</formula>
    </cfRule>
  </conditionalFormatting>
  <conditionalFormatting sqref="I22:I29">
    <cfRule type="cellIs" dxfId="245" priority="230" operator="lessThan">
      <formula>0</formula>
    </cfRule>
  </conditionalFormatting>
  <conditionalFormatting sqref="I22:I29">
    <cfRule type="cellIs" dxfId="244" priority="229" operator="lessThan">
      <formula>0</formula>
    </cfRule>
  </conditionalFormatting>
  <conditionalFormatting sqref="I22:I29">
    <cfRule type="cellIs" dxfId="243" priority="228" operator="lessThan">
      <formula>0</formula>
    </cfRule>
  </conditionalFormatting>
  <conditionalFormatting sqref="I22:I29">
    <cfRule type="cellIs" dxfId="242" priority="227" operator="lessThan">
      <formula>0</formula>
    </cfRule>
  </conditionalFormatting>
  <conditionalFormatting sqref="I22:I29">
    <cfRule type="cellIs" dxfId="241" priority="226" operator="lessThan">
      <formula>0</formula>
    </cfRule>
  </conditionalFormatting>
  <conditionalFormatting sqref="I22:I29">
    <cfRule type="cellIs" dxfId="240" priority="225" operator="lessThan">
      <formula>0</formula>
    </cfRule>
  </conditionalFormatting>
  <conditionalFormatting sqref="I22:I29">
    <cfRule type="cellIs" dxfId="239" priority="224" operator="lessThan">
      <formula>0</formula>
    </cfRule>
  </conditionalFormatting>
  <conditionalFormatting sqref="I22:I29">
    <cfRule type="cellIs" dxfId="238" priority="223" operator="lessThan">
      <formula>0</formula>
    </cfRule>
  </conditionalFormatting>
  <conditionalFormatting sqref="I22:I29">
    <cfRule type="cellIs" dxfId="237" priority="222" operator="lessThan">
      <formula>0</formula>
    </cfRule>
  </conditionalFormatting>
  <conditionalFormatting sqref="I22:I29">
    <cfRule type="cellIs" dxfId="236" priority="221" operator="lessThan">
      <formula>0</formula>
    </cfRule>
  </conditionalFormatting>
  <conditionalFormatting sqref="I22:I29">
    <cfRule type="cellIs" dxfId="235" priority="220" operator="lessThan">
      <formula>0</formula>
    </cfRule>
  </conditionalFormatting>
  <conditionalFormatting sqref="I22:I29">
    <cfRule type="cellIs" dxfId="234" priority="219" operator="lessThan">
      <formula>0</formula>
    </cfRule>
  </conditionalFormatting>
  <conditionalFormatting sqref="I22:I29">
    <cfRule type="cellIs" dxfId="233" priority="218" operator="lessThan">
      <formula>0</formula>
    </cfRule>
  </conditionalFormatting>
  <conditionalFormatting sqref="I22:I29">
    <cfRule type="cellIs" dxfId="232" priority="217" operator="lessThan">
      <formula>0</formula>
    </cfRule>
  </conditionalFormatting>
  <conditionalFormatting sqref="I22:I29">
    <cfRule type="cellIs" dxfId="231" priority="216" operator="lessThan">
      <formula>0</formula>
    </cfRule>
  </conditionalFormatting>
  <conditionalFormatting sqref="I22:I29">
    <cfRule type="cellIs" dxfId="230" priority="215" operator="lessThan">
      <formula>0</formula>
    </cfRule>
  </conditionalFormatting>
  <conditionalFormatting sqref="I22:I29">
    <cfRule type="cellIs" dxfId="229" priority="214" operator="lessThan">
      <formula>0</formula>
    </cfRule>
  </conditionalFormatting>
  <conditionalFormatting sqref="I22:I29">
    <cfRule type="cellIs" dxfId="228" priority="213" operator="lessThan">
      <formula>0</formula>
    </cfRule>
  </conditionalFormatting>
  <conditionalFormatting sqref="I22:I29">
    <cfRule type="cellIs" dxfId="227" priority="212" operator="lessThan">
      <formula>0</formula>
    </cfRule>
  </conditionalFormatting>
  <conditionalFormatting sqref="I22:I29">
    <cfRule type="cellIs" dxfId="226" priority="211" operator="lessThan">
      <formula>0</formula>
    </cfRule>
  </conditionalFormatting>
  <conditionalFormatting sqref="I22:I29">
    <cfRule type="cellIs" dxfId="225" priority="210" operator="lessThan">
      <formula>0</formula>
    </cfRule>
  </conditionalFormatting>
  <conditionalFormatting sqref="I22:I29">
    <cfRule type="cellIs" dxfId="224" priority="209" operator="lessThan">
      <formula>0</formula>
    </cfRule>
  </conditionalFormatting>
  <conditionalFormatting sqref="I22:I29">
    <cfRule type="cellIs" dxfId="223" priority="208" operator="lessThan">
      <formula>0</formula>
    </cfRule>
  </conditionalFormatting>
  <conditionalFormatting sqref="I22:I29">
    <cfRule type="cellIs" dxfId="222" priority="207" operator="lessThan">
      <formula>0</formula>
    </cfRule>
  </conditionalFormatting>
  <conditionalFormatting sqref="I22:I29">
    <cfRule type="cellIs" dxfId="221" priority="206" operator="lessThan">
      <formula>0</formula>
    </cfRule>
  </conditionalFormatting>
  <conditionalFormatting sqref="I22:I29">
    <cfRule type="cellIs" dxfId="220" priority="205" operator="lessThan">
      <formula>0</formula>
    </cfRule>
  </conditionalFormatting>
  <conditionalFormatting sqref="I22:I29">
    <cfRule type="cellIs" dxfId="219" priority="204" operator="lessThan">
      <formula>0</formula>
    </cfRule>
  </conditionalFormatting>
  <conditionalFormatting sqref="I22:I29">
    <cfRule type="cellIs" dxfId="218" priority="203" operator="lessThan">
      <formula>0</formula>
    </cfRule>
  </conditionalFormatting>
  <conditionalFormatting sqref="I22:I29">
    <cfRule type="cellIs" dxfId="217" priority="202" operator="lessThan">
      <formula>0</formula>
    </cfRule>
  </conditionalFormatting>
  <conditionalFormatting sqref="I22:I29">
    <cfRule type="cellIs" dxfId="216" priority="201" operator="lessThan">
      <formula>0</formula>
    </cfRule>
  </conditionalFormatting>
  <conditionalFormatting sqref="I22:I29">
    <cfRule type="cellIs" dxfId="215" priority="200" operator="lessThan">
      <formula>0</formula>
    </cfRule>
  </conditionalFormatting>
  <conditionalFormatting sqref="I22:I29">
    <cfRule type="cellIs" dxfId="214" priority="199" operator="lessThan">
      <formula>0</formula>
    </cfRule>
  </conditionalFormatting>
  <conditionalFormatting sqref="I22:I29">
    <cfRule type="cellIs" dxfId="213" priority="198" operator="lessThan">
      <formula>0</formula>
    </cfRule>
  </conditionalFormatting>
  <conditionalFormatting sqref="I22:I29">
    <cfRule type="cellIs" dxfId="212" priority="197" operator="lessThan">
      <formula>0</formula>
    </cfRule>
  </conditionalFormatting>
  <conditionalFormatting sqref="I22:I29">
    <cfRule type="cellIs" dxfId="211" priority="196" operator="lessThan">
      <formula>0</formula>
    </cfRule>
  </conditionalFormatting>
  <conditionalFormatting sqref="I22:I29">
    <cfRule type="cellIs" dxfId="210" priority="195" operator="lessThan">
      <formula>0</formula>
    </cfRule>
  </conditionalFormatting>
  <conditionalFormatting sqref="I22:I29">
    <cfRule type="cellIs" dxfId="209" priority="194" operator="lessThan">
      <formula>0</formula>
    </cfRule>
  </conditionalFormatting>
  <conditionalFormatting sqref="I22:I29">
    <cfRule type="cellIs" dxfId="208" priority="193" operator="lessThan">
      <formula>0</formula>
    </cfRule>
  </conditionalFormatting>
  <conditionalFormatting sqref="I22:I29">
    <cfRule type="cellIs" dxfId="207" priority="192" operator="lessThan">
      <formula>0</formula>
    </cfRule>
  </conditionalFormatting>
  <conditionalFormatting sqref="I22:I29">
    <cfRule type="cellIs" dxfId="206" priority="191" operator="lessThan">
      <formula>0</formula>
    </cfRule>
  </conditionalFormatting>
  <conditionalFormatting sqref="I22:I29">
    <cfRule type="cellIs" dxfId="205" priority="190" operator="lessThan">
      <formula>0</formula>
    </cfRule>
  </conditionalFormatting>
  <conditionalFormatting sqref="I22:I29">
    <cfRule type="cellIs" dxfId="204" priority="189" operator="lessThan">
      <formula>0</formula>
    </cfRule>
  </conditionalFormatting>
  <conditionalFormatting sqref="I22:I29">
    <cfRule type="cellIs" dxfId="203" priority="188" operator="lessThan">
      <formula>0</formula>
    </cfRule>
  </conditionalFormatting>
  <conditionalFormatting sqref="I22:I29">
    <cfRule type="cellIs" dxfId="202" priority="187" operator="lessThan">
      <formula>0</formula>
    </cfRule>
  </conditionalFormatting>
  <conditionalFormatting sqref="I22:I29">
    <cfRule type="cellIs" dxfId="201" priority="186" operator="lessThan">
      <formula>0</formula>
    </cfRule>
  </conditionalFormatting>
  <conditionalFormatting sqref="I22:I29">
    <cfRule type="cellIs" dxfId="200" priority="185" operator="lessThan">
      <formula>0</formula>
    </cfRule>
  </conditionalFormatting>
  <conditionalFormatting sqref="I22:I29">
    <cfRule type="cellIs" dxfId="199" priority="184" operator="lessThan">
      <formula>0</formula>
    </cfRule>
  </conditionalFormatting>
  <conditionalFormatting sqref="I22:I29">
    <cfRule type="cellIs" dxfId="198" priority="183" operator="lessThan">
      <formula>0</formula>
    </cfRule>
  </conditionalFormatting>
  <conditionalFormatting sqref="I22:I29">
    <cfRule type="cellIs" dxfId="197" priority="182" operator="lessThan">
      <formula>0</formula>
    </cfRule>
  </conditionalFormatting>
  <conditionalFormatting sqref="I22:I29">
    <cfRule type="cellIs" dxfId="196" priority="181" operator="lessThan">
      <formula>0</formula>
    </cfRule>
  </conditionalFormatting>
  <conditionalFormatting sqref="I22:I29">
    <cfRule type="cellIs" dxfId="195" priority="180" operator="lessThan">
      <formula>0</formula>
    </cfRule>
  </conditionalFormatting>
  <conditionalFormatting sqref="I22:I29">
    <cfRule type="cellIs" dxfId="194" priority="179" operator="lessThan">
      <formula>0</formula>
    </cfRule>
  </conditionalFormatting>
  <conditionalFormatting sqref="I22:I29">
    <cfRule type="cellIs" dxfId="193" priority="178" operator="lessThan">
      <formula>0</formula>
    </cfRule>
  </conditionalFormatting>
  <conditionalFormatting sqref="I22:I29">
    <cfRule type="cellIs" dxfId="192" priority="177" operator="lessThan">
      <formula>0</formula>
    </cfRule>
  </conditionalFormatting>
  <conditionalFormatting sqref="I22:I29">
    <cfRule type="cellIs" dxfId="191" priority="176" operator="lessThan">
      <formula>0</formula>
    </cfRule>
  </conditionalFormatting>
  <conditionalFormatting sqref="I22:I29">
    <cfRule type="cellIs" dxfId="190" priority="175" operator="lessThan">
      <formula>0</formula>
    </cfRule>
  </conditionalFormatting>
  <conditionalFormatting sqref="I22:I29">
    <cfRule type="cellIs" dxfId="189" priority="174" operator="lessThan">
      <formula>0</formula>
    </cfRule>
  </conditionalFormatting>
  <conditionalFormatting sqref="I22:I29">
    <cfRule type="cellIs" dxfId="188" priority="173" operator="lessThan">
      <formula>0</formula>
    </cfRule>
  </conditionalFormatting>
  <conditionalFormatting sqref="I22:I29">
    <cfRule type="cellIs" dxfId="187" priority="172" operator="lessThan">
      <formula>0</formula>
    </cfRule>
  </conditionalFormatting>
  <conditionalFormatting sqref="I22:I29">
    <cfRule type="cellIs" dxfId="186" priority="171" operator="lessThan">
      <formula>0</formula>
    </cfRule>
  </conditionalFormatting>
  <conditionalFormatting sqref="I22:I29">
    <cfRule type="cellIs" dxfId="185" priority="170" operator="lessThan">
      <formula>0</formula>
    </cfRule>
  </conditionalFormatting>
  <conditionalFormatting sqref="I22:I29">
    <cfRule type="cellIs" dxfId="184" priority="169" operator="lessThan">
      <formula>0</formula>
    </cfRule>
  </conditionalFormatting>
  <conditionalFormatting sqref="I22:I29">
    <cfRule type="cellIs" dxfId="183" priority="168" operator="lessThan">
      <formula>0</formula>
    </cfRule>
  </conditionalFormatting>
  <conditionalFormatting sqref="I22:I29">
    <cfRule type="cellIs" dxfId="182" priority="167" operator="lessThan">
      <formula>0</formula>
    </cfRule>
  </conditionalFormatting>
  <conditionalFormatting sqref="I22:I29">
    <cfRule type="cellIs" dxfId="181" priority="166" operator="lessThan">
      <formula>0</formula>
    </cfRule>
  </conditionalFormatting>
  <conditionalFormatting sqref="I22:I29">
    <cfRule type="cellIs" dxfId="180" priority="165" operator="lessThan">
      <formula>0</formula>
    </cfRule>
  </conditionalFormatting>
  <conditionalFormatting sqref="I22:I29">
    <cfRule type="cellIs" dxfId="179" priority="164" operator="lessThan">
      <formula>0</formula>
    </cfRule>
  </conditionalFormatting>
  <conditionalFormatting sqref="I22:I29">
    <cfRule type="cellIs" dxfId="178" priority="163" operator="lessThan">
      <formula>0</formula>
    </cfRule>
  </conditionalFormatting>
  <conditionalFormatting sqref="I22:I29">
    <cfRule type="cellIs" dxfId="177" priority="162" operator="lessThan">
      <formula>0</formula>
    </cfRule>
  </conditionalFormatting>
  <conditionalFormatting sqref="I22:I29">
    <cfRule type="cellIs" dxfId="176" priority="161" operator="lessThan">
      <formula>0</formula>
    </cfRule>
  </conditionalFormatting>
  <conditionalFormatting sqref="I22:I29">
    <cfRule type="cellIs" dxfId="175" priority="160" operator="lessThan">
      <formula>0</formula>
    </cfRule>
  </conditionalFormatting>
  <conditionalFormatting sqref="I22:I29">
    <cfRule type="cellIs" dxfId="174" priority="159" operator="lessThan">
      <formula>0</formula>
    </cfRule>
  </conditionalFormatting>
  <conditionalFormatting sqref="I22:I29">
    <cfRule type="cellIs" dxfId="173" priority="158" operator="lessThan">
      <formula>0</formula>
    </cfRule>
  </conditionalFormatting>
  <conditionalFormatting sqref="I22:I29">
    <cfRule type="cellIs" dxfId="172" priority="157" operator="lessThan">
      <formula>0</formula>
    </cfRule>
  </conditionalFormatting>
  <conditionalFormatting sqref="I22:I29">
    <cfRule type="cellIs" dxfId="171" priority="156" operator="lessThan">
      <formula>0</formula>
    </cfRule>
  </conditionalFormatting>
  <conditionalFormatting sqref="I22:I29">
    <cfRule type="cellIs" dxfId="170" priority="155" operator="lessThan">
      <formula>0</formula>
    </cfRule>
  </conditionalFormatting>
  <conditionalFormatting sqref="I22:I29">
    <cfRule type="cellIs" dxfId="169" priority="154" operator="lessThan">
      <formula>0</formula>
    </cfRule>
  </conditionalFormatting>
  <conditionalFormatting sqref="I22:I29">
    <cfRule type="cellIs" dxfId="168" priority="153" operator="lessThan">
      <formula>0</formula>
    </cfRule>
  </conditionalFormatting>
  <conditionalFormatting sqref="I22:I29">
    <cfRule type="cellIs" dxfId="167" priority="152" operator="lessThan">
      <formula>0</formula>
    </cfRule>
  </conditionalFormatting>
  <conditionalFormatting sqref="I22:I29">
    <cfRule type="cellIs" dxfId="166" priority="151" operator="lessThan">
      <formula>0</formula>
    </cfRule>
  </conditionalFormatting>
  <conditionalFormatting sqref="I22:I29">
    <cfRule type="cellIs" dxfId="165" priority="150" operator="lessThan">
      <formula>0</formula>
    </cfRule>
  </conditionalFormatting>
  <conditionalFormatting sqref="I22:I29">
    <cfRule type="cellIs" dxfId="164" priority="149" operator="lessThan">
      <formula>0</formula>
    </cfRule>
  </conditionalFormatting>
  <conditionalFormatting sqref="I22:I29">
    <cfRule type="cellIs" dxfId="163" priority="148" operator="lessThan">
      <formula>0</formula>
    </cfRule>
  </conditionalFormatting>
  <conditionalFormatting sqref="I22:I29">
    <cfRule type="cellIs" dxfId="162" priority="147" operator="lessThan">
      <formula>0</formula>
    </cfRule>
  </conditionalFormatting>
  <conditionalFormatting sqref="I22:I29">
    <cfRule type="cellIs" dxfId="161" priority="146" operator="lessThan">
      <formula>0</formula>
    </cfRule>
  </conditionalFormatting>
  <conditionalFormatting sqref="I22:I29">
    <cfRule type="cellIs" dxfId="160" priority="145" operator="lessThan">
      <formula>0</formula>
    </cfRule>
  </conditionalFormatting>
  <conditionalFormatting sqref="I22:I29">
    <cfRule type="cellIs" dxfId="159" priority="144" operator="lessThan">
      <formula>0</formula>
    </cfRule>
  </conditionalFormatting>
  <conditionalFormatting sqref="I22:I29">
    <cfRule type="cellIs" dxfId="158" priority="143" operator="lessThan">
      <formula>0</formula>
    </cfRule>
  </conditionalFormatting>
  <conditionalFormatting sqref="I22:I29">
    <cfRule type="cellIs" dxfId="157" priority="142" operator="lessThan">
      <formula>0</formula>
    </cfRule>
  </conditionalFormatting>
  <conditionalFormatting sqref="I22:I29">
    <cfRule type="cellIs" dxfId="156" priority="141" operator="lessThan">
      <formula>0</formula>
    </cfRule>
  </conditionalFormatting>
  <conditionalFormatting sqref="I22:I29">
    <cfRule type="cellIs" dxfId="155" priority="140" operator="lessThan">
      <formula>0</formula>
    </cfRule>
  </conditionalFormatting>
  <conditionalFormatting sqref="I22:I29">
    <cfRule type="cellIs" dxfId="154" priority="139" operator="lessThan">
      <formula>0</formula>
    </cfRule>
  </conditionalFormatting>
  <conditionalFormatting sqref="I22:I29">
    <cfRule type="cellIs" dxfId="153" priority="138" operator="lessThan">
      <formula>0</formula>
    </cfRule>
  </conditionalFormatting>
  <conditionalFormatting sqref="I22:I29">
    <cfRule type="cellIs" dxfId="152" priority="137" operator="lessThan">
      <formula>0</formula>
    </cfRule>
  </conditionalFormatting>
  <conditionalFormatting sqref="I22:I29">
    <cfRule type="cellIs" dxfId="151" priority="136" operator="lessThan">
      <formula>0</formula>
    </cfRule>
  </conditionalFormatting>
  <conditionalFormatting sqref="I22:I29">
    <cfRule type="cellIs" dxfId="150" priority="135" operator="lessThan">
      <formula>0</formula>
    </cfRule>
  </conditionalFormatting>
  <conditionalFormatting sqref="I22:I29">
    <cfRule type="cellIs" dxfId="149" priority="134" operator="lessThan">
      <formula>0</formula>
    </cfRule>
  </conditionalFormatting>
  <conditionalFormatting sqref="I22:I29">
    <cfRule type="cellIs" dxfId="148" priority="133" operator="lessThan">
      <formula>0</formula>
    </cfRule>
  </conditionalFormatting>
  <conditionalFormatting sqref="I22:I29">
    <cfRule type="cellIs" dxfId="147" priority="132" operator="lessThan">
      <formula>0</formula>
    </cfRule>
  </conditionalFormatting>
  <conditionalFormatting sqref="I22:I29">
    <cfRule type="cellIs" dxfId="146" priority="131" operator="lessThan">
      <formula>0</formula>
    </cfRule>
  </conditionalFormatting>
  <conditionalFormatting sqref="I22:I29">
    <cfRule type="cellIs" dxfId="145" priority="130" operator="lessThan">
      <formula>0</formula>
    </cfRule>
  </conditionalFormatting>
  <conditionalFormatting sqref="I22:I29">
    <cfRule type="cellIs" dxfId="144" priority="129" operator="lessThan">
      <formula>0</formula>
    </cfRule>
  </conditionalFormatting>
  <conditionalFormatting sqref="I22:I29">
    <cfRule type="cellIs" dxfId="143" priority="128" operator="lessThan">
      <formula>0</formula>
    </cfRule>
  </conditionalFormatting>
  <conditionalFormatting sqref="I22:I29">
    <cfRule type="cellIs" dxfId="142" priority="127" operator="lessThan">
      <formula>0</formula>
    </cfRule>
  </conditionalFormatting>
  <conditionalFormatting sqref="I22:I29">
    <cfRule type="cellIs" dxfId="141" priority="126" operator="lessThan">
      <formula>0</formula>
    </cfRule>
  </conditionalFormatting>
  <conditionalFormatting sqref="I22:I29">
    <cfRule type="cellIs" dxfId="140" priority="125" operator="lessThan">
      <formula>0</formula>
    </cfRule>
  </conditionalFormatting>
  <conditionalFormatting sqref="I22:I29">
    <cfRule type="cellIs" dxfId="139" priority="124" operator="lessThan">
      <formula>0</formula>
    </cfRule>
  </conditionalFormatting>
  <conditionalFormatting sqref="I22:I29">
    <cfRule type="cellIs" dxfId="138" priority="123" operator="lessThan">
      <formula>0</formula>
    </cfRule>
  </conditionalFormatting>
  <conditionalFormatting sqref="I22:I29">
    <cfRule type="cellIs" dxfId="137" priority="122" operator="lessThan">
      <formula>0</formula>
    </cfRule>
  </conditionalFormatting>
  <conditionalFormatting sqref="I22:I29">
    <cfRule type="cellIs" dxfId="136" priority="121" operator="lessThan">
      <formula>0</formula>
    </cfRule>
  </conditionalFormatting>
  <conditionalFormatting sqref="I22:I29">
    <cfRule type="cellIs" dxfId="135" priority="120" operator="lessThan">
      <formula>0</formula>
    </cfRule>
  </conditionalFormatting>
  <conditionalFormatting sqref="I22:I29">
    <cfRule type="cellIs" dxfId="134" priority="119" operator="lessThan">
      <formula>0</formula>
    </cfRule>
  </conditionalFormatting>
  <conditionalFormatting sqref="I22:I29">
    <cfRule type="cellIs" dxfId="133" priority="118" operator="lessThan">
      <formula>0</formula>
    </cfRule>
  </conditionalFormatting>
  <conditionalFormatting sqref="I22:I29">
    <cfRule type="cellIs" dxfId="132" priority="117" operator="lessThan">
      <formula>0</formula>
    </cfRule>
  </conditionalFormatting>
  <conditionalFormatting sqref="I22:I29">
    <cfRule type="cellIs" dxfId="131" priority="116" operator="lessThan">
      <formula>0</formula>
    </cfRule>
  </conditionalFormatting>
  <conditionalFormatting sqref="I22:I29">
    <cfRule type="cellIs" dxfId="130" priority="115" operator="lessThan">
      <formula>0</formula>
    </cfRule>
  </conditionalFormatting>
  <conditionalFormatting sqref="I22:I29">
    <cfRule type="cellIs" dxfId="129" priority="114" operator="lessThan">
      <formula>0</formula>
    </cfRule>
  </conditionalFormatting>
  <conditionalFormatting sqref="I22:I29">
    <cfRule type="cellIs" dxfId="128" priority="113" operator="lessThan">
      <formula>0</formula>
    </cfRule>
  </conditionalFormatting>
  <conditionalFormatting sqref="I22:I29">
    <cfRule type="cellIs" dxfId="127" priority="112" operator="lessThan">
      <formula>0</formula>
    </cfRule>
  </conditionalFormatting>
  <conditionalFormatting sqref="I22:I29">
    <cfRule type="cellIs" dxfId="126" priority="111" operator="lessThan">
      <formula>0</formula>
    </cfRule>
  </conditionalFormatting>
  <conditionalFormatting sqref="I22:I29">
    <cfRule type="cellIs" dxfId="125" priority="110" operator="lessThan">
      <formula>0</formula>
    </cfRule>
  </conditionalFormatting>
  <conditionalFormatting sqref="I22:I29">
    <cfRule type="cellIs" dxfId="124" priority="109" operator="lessThan">
      <formula>0</formula>
    </cfRule>
  </conditionalFormatting>
  <conditionalFormatting sqref="I22:I29">
    <cfRule type="cellIs" dxfId="123" priority="108" operator="lessThan">
      <formula>0</formula>
    </cfRule>
  </conditionalFormatting>
  <conditionalFormatting sqref="I22:I29">
    <cfRule type="cellIs" dxfId="122" priority="107" operator="lessThan">
      <formula>0</formula>
    </cfRule>
  </conditionalFormatting>
  <conditionalFormatting sqref="I22:I29">
    <cfRule type="cellIs" dxfId="121" priority="106" operator="lessThan">
      <formula>0</formula>
    </cfRule>
  </conditionalFormatting>
  <conditionalFormatting sqref="I22:I29">
    <cfRule type="cellIs" dxfId="120" priority="105" operator="lessThan">
      <formula>0</formula>
    </cfRule>
  </conditionalFormatting>
  <conditionalFormatting sqref="I22:I29">
    <cfRule type="cellIs" dxfId="119" priority="104" operator="lessThan">
      <formula>0</formula>
    </cfRule>
  </conditionalFormatting>
  <conditionalFormatting sqref="I22:I29">
    <cfRule type="cellIs" dxfId="118" priority="103" operator="lessThan">
      <formula>0</formula>
    </cfRule>
  </conditionalFormatting>
  <conditionalFormatting sqref="I22:I29">
    <cfRule type="cellIs" dxfId="117" priority="102" operator="lessThan">
      <formula>0</formula>
    </cfRule>
  </conditionalFormatting>
  <conditionalFormatting sqref="I22:I29">
    <cfRule type="cellIs" dxfId="116" priority="101" operator="lessThan">
      <formula>0</formula>
    </cfRule>
  </conditionalFormatting>
  <conditionalFormatting sqref="I22:I29">
    <cfRule type="cellIs" dxfId="115" priority="100" operator="lessThan">
      <formula>0</formula>
    </cfRule>
  </conditionalFormatting>
  <conditionalFormatting sqref="I22:I29">
    <cfRule type="cellIs" dxfId="114" priority="99" operator="lessThan">
      <formula>0</formula>
    </cfRule>
  </conditionalFormatting>
  <conditionalFormatting sqref="I22:I29">
    <cfRule type="cellIs" dxfId="113" priority="98" operator="lessThan">
      <formula>0</formula>
    </cfRule>
  </conditionalFormatting>
  <conditionalFormatting sqref="B1:E1048576">
    <cfRule type="cellIs" dxfId="112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9"/>
  <sheetViews>
    <sheetView tabSelected="1" zoomScale="85" zoomScaleNormal="85" zoomScaleSheetLayoutView="90" workbookViewId="0">
      <pane xSplit="6" ySplit="11" topLeftCell="G26" activePane="bottomRight" state="frozen"/>
      <selection pane="topRight" activeCell="F1" sqref="F1"/>
      <selection pane="bottomLeft" activeCell="A14" sqref="A14"/>
      <selection pane="bottomRight" activeCell="N51" sqref="N51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325.17</v>
      </c>
      <c r="D1" s="32">
        <f t="shared" ref="D1:D10" si="0">C1/E1-1</f>
        <v>-1.8117583114412583E-2</v>
      </c>
      <c r="E1" s="400">
        <f>_xll.BDP(B1&amp;" EQUITY","PX_YEST_CLOSE")</f>
        <v>331.17</v>
      </c>
      <c r="F1" t="s">
        <v>975</v>
      </c>
      <c r="H1" s="399" cm="1">
        <f t="array" ref="H1">_xll.BDP(F1&amp;" EQUITY","LAST_PRICE")</f>
        <v>626.55999999999995</v>
      </c>
      <c r="I1" s="139">
        <f>H1/J1-1</f>
        <v>-5.9179108029637773E-3</v>
      </c>
      <c r="J1" s="396">
        <f>_xll.BDP(F1&amp;" EQUITY","PX_YEST_CLOSE")</f>
        <v>630.29</v>
      </c>
      <c r="K1" s="397" t="s">
        <v>6</v>
      </c>
      <c r="L1" s="402" cm="1">
        <f t="array" ref="L1">_xll.BDP(K1&amp;" EQUITY","LAST_PRICE")</f>
        <v>85.61</v>
      </c>
      <c r="M1" s="32">
        <f t="shared" ref="M1:M10" si="1">L1/N1-1</f>
        <v>3.1638153269275548E-3</v>
      </c>
      <c r="N1" s="400">
        <f>_xll.BDP(K1&amp;" EQUITY","PX_YEST_CLOSE")</f>
        <v>85.34</v>
      </c>
      <c r="P1" s="1">
        <f>S1/$M$6</f>
        <v>-3.0900787433558579</v>
      </c>
      <c r="Q1" t="s">
        <v>577</v>
      </c>
      <c r="R1" s="5">
        <f>SUM(U18:U48)</f>
        <v>2.6051416332664966E-2</v>
      </c>
      <c r="S1" s="5">
        <f>T1/R1/10000</f>
        <v>-6.5851438324044933E-3</v>
      </c>
      <c r="T1" s="205">
        <f>SUM(V18:V48)</f>
        <v>-1.7155232358845041</v>
      </c>
      <c r="U1" s="338">
        <f>SUM(U15:U16)</f>
        <v>-6.9914124215661247E-3</v>
      </c>
      <c r="V1" s="295">
        <f>SUM(V15:V16)</f>
        <v>-5.3676961871376716E-2</v>
      </c>
      <c r="W1" s="205"/>
      <c r="Z1" s="205" t="e">
        <f>#REF!+#REF!+#REF!+#REF!+#REF!+#REF!+#REF!+#REF!</f>
        <v>#REF!</v>
      </c>
      <c r="AF1" t="s">
        <v>984</v>
      </c>
      <c r="AG1" s="196">
        <f>_xll.BDP(AG2&amp;" index","LAST_PRICE")</f>
        <v>24783.5</v>
      </c>
      <c r="AH1" s="196"/>
      <c r="AI1" s="196">
        <f>_xll.BDP(AI2&amp;" index","LAST_PRICE")</f>
        <v>6847.25</v>
      </c>
    </row>
    <row r="2" spans="1:39">
      <c r="B2" s="397" t="s">
        <v>42</v>
      </c>
      <c r="C2" s="402" cm="1">
        <f t="array" ref="C2">_xll.BDP(B2&amp;" EQUITY","LAST_PRICE")</f>
        <v>182.81</v>
      </c>
      <c r="D2" s="32">
        <f t="shared" si="0"/>
        <v>-2.2092650048143758E-2</v>
      </c>
      <c r="E2" s="400">
        <f>_xll.BDP(B2&amp;" EQUITY","PX_YEST_CLOSE")</f>
        <v>186.94</v>
      </c>
      <c r="F2" t="s">
        <v>340</v>
      </c>
      <c r="H2" s="399" cm="1">
        <f t="array" ref="H2">_xll.BDP(F2&amp;" EQUITY","LAST_PRICE")</f>
        <v>411.66</v>
      </c>
      <c r="I2" s="139">
        <f t="shared" ref="I2:I8" si="2">H2/J2-1</f>
        <v>-5.5801145010507813E-3</v>
      </c>
      <c r="J2" s="396">
        <f>_xll.BDP(F2&amp;" EQUITY","PX_YEST_CLOSE")</f>
        <v>413.97</v>
      </c>
      <c r="K2" s="397" t="s">
        <v>37</v>
      </c>
      <c r="L2" s="402" cm="1">
        <f t="array" ref="L2">_xll.BDP(K2&amp;" EQUITY","LAST_PRICE")</f>
        <v>82.77</v>
      </c>
      <c r="M2" s="32">
        <f t="shared" si="1"/>
        <v>2.2356719367588873E-2</v>
      </c>
      <c r="N2" s="400">
        <f>_xll.BDP(K2&amp;" EQUITY","PX_YEST_CLOSE")</f>
        <v>80.959999999999994</v>
      </c>
      <c r="O2" s="49"/>
      <c r="P2" s="1">
        <f>S2/$M$6</f>
        <v>1.5913595265916567</v>
      </c>
      <c r="Q2" t="s">
        <v>1014</v>
      </c>
      <c r="R2" s="5">
        <f>SUM(U23:U27)</f>
        <v>1.5465900947052513E-3</v>
      </c>
      <c r="S2" s="5">
        <f>T2/R2/10000</f>
        <v>3.3912829549102427E-3</v>
      </c>
      <c r="T2" s="205">
        <f>SUM(V23:V27)</f>
        <v>5.2449246264069362E-2</v>
      </c>
      <c r="U2" s="338"/>
      <c r="V2" s="295"/>
      <c r="W2" s="205">
        <f>W5/W6</f>
        <v>-2.4407735981032017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573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366.36</v>
      </c>
      <c r="D3" s="32">
        <f t="shared" si="0"/>
        <v>-4.7269763651182073E-3</v>
      </c>
      <c r="E3" s="400">
        <f>_xll.BDP(B3&amp;" EQUITY","PX_YEST_CLOSE")</f>
        <v>368.1</v>
      </c>
      <c r="F3" t="s">
        <v>333</v>
      </c>
      <c r="H3" s="399" cm="1">
        <f t="array" ref="H3">_xll.BDP(F3&amp;" EQUITY","LAST_PRICE")</f>
        <v>1406.61</v>
      </c>
      <c r="I3" s="139">
        <f t="shared" si="2"/>
        <v>-1.8480740935555851E-4</v>
      </c>
      <c r="J3" s="396">
        <f>_xll.BDP(F3&amp;" EQUITY","PX_YEST_CLOSE")</f>
        <v>1406.87</v>
      </c>
      <c r="K3" s="397" t="s">
        <v>43</v>
      </c>
      <c r="L3" s="402" cm="1">
        <f t="array" ref="L3">_xll.BDP(K3&amp;" EQUITY","LAST_PRICE")</f>
        <v>354.66</v>
      </c>
      <c r="M3" s="32">
        <f t="shared" si="1"/>
        <v>8.9900426742532957E-3</v>
      </c>
      <c r="N3" s="400">
        <f>_xll.BDP(K3&amp;" EQUITY","PX_YEST_CLOSE")</f>
        <v>351.5</v>
      </c>
      <c r="O3" s="5"/>
      <c r="P3" s="1">
        <f>S3/$M$6</f>
        <v>4.7874152682165709</v>
      </c>
      <c r="Q3" t="s">
        <v>1040</v>
      </c>
      <c r="R3" s="5">
        <f>SUM(U43:U48)</f>
        <v>2.7040797288166362E-3</v>
      </c>
      <c r="S3" s="5">
        <f>T3/R3/10000</f>
        <v>1.0202270150701107E-2</v>
      </c>
      <c r="T3" s="205">
        <f>SUM(V43:V48)</f>
        <v>0.27587751902421909</v>
      </c>
      <c r="U3" s="205">
        <f>U5/-U6</f>
        <v>1.6193570924908745</v>
      </c>
      <c r="W3" s="44" t="s">
        <v>98</v>
      </c>
      <c r="X3" s="5">
        <f>_xll.BDP("SPY Equity","LAST_PRICE")/_xll.BDP("SPY Equity","PX_YEST_CLOSE")-1</f>
        <v>7.0456647144312434E-4</v>
      </c>
      <c r="AC3" s="92" cm="1">
        <f t="array" ref="AC3">_xll.BDP("brl Curncy","LAST_PRICE")</f>
        <v>5.2229000000000001</v>
      </c>
      <c r="AD3" s="8">
        <f>AD5*$AC$3</f>
        <v>12381200210.865301</v>
      </c>
      <c r="AF3" s="3" t="s">
        <v>985</v>
      </c>
      <c r="AG3">
        <v>25550</v>
      </c>
      <c r="AH3" s="20">
        <f>AG3/$AG$1-1</f>
        <v>3.0927835051546282E-2</v>
      </c>
      <c r="AI3">
        <v>6904</v>
      </c>
      <c r="AJ3" s="20">
        <f>AI3/$AI$1-1</f>
        <v>8.2879988316477693E-3</v>
      </c>
    </row>
    <row r="4" spans="1:39" ht="30.75" thickBot="1">
      <c r="B4" s="397" t="s">
        <v>332</v>
      </c>
      <c r="C4" s="402" cm="1">
        <f t="array" ref="C4">_xll.BDP(B4&amp;" EQUITY","LAST_PRICE")</f>
        <v>207.32</v>
      </c>
      <c r="D4" s="32">
        <f t="shared" si="0"/>
        <v>6.7009808682139127E-3</v>
      </c>
      <c r="E4" s="400">
        <f>_xll.BDP(B4&amp;" EQUITY","PX_YEST_CLOSE")</f>
        <v>205.94</v>
      </c>
      <c r="F4" t="s">
        <v>976</v>
      </c>
      <c r="H4" s="399" cm="1">
        <f t="array" ref="H4">_xll.BDP(F4&amp;" EQUITY","LAST_PRICE")</f>
        <v>354.91</v>
      </c>
      <c r="I4" s="139">
        <f t="shared" si="2"/>
        <v>8.075763573799466E-2</v>
      </c>
      <c r="J4" s="396">
        <f>_xll.BDP(F4&amp;" EQUITY","PX_YEST_CLOSE")</f>
        <v>328.39</v>
      </c>
      <c r="K4" s="397" t="s">
        <v>0</v>
      </c>
      <c r="L4" s="402" cm="1">
        <f t="array" ref="L4">_xll.BDP(K4&amp;" EQUITY","LAST_PRICE")</f>
        <v>681.75</v>
      </c>
      <c r="M4" s="32">
        <f t="shared" si="1"/>
        <v>7.0456647144312434E-4</v>
      </c>
      <c r="N4" s="400">
        <f>_xll.BDP(K4&amp;" EQUITY","PX_YEST_CLOSE")</f>
        <v>681.27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986</v>
      </c>
      <c r="AG4">
        <v>24677</v>
      </c>
      <c r="AH4" s="20">
        <f>AG4/$AG$1-1</f>
        <v>-4.2972138721326658E-3</v>
      </c>
      <c r="AI4">
        <v>6700</v>
      </c>
      <c r="AJ4" s="20">
        <f>AI4/$AI$1-1</f>
        <v>-2.1504983752601459E-2</v>
      </c>
    </row>
    <row r="5" spans="1:39">
      <c r="B5" s="397" t="s">
        <v>316</v>
      </c>
      <c r="C5" s="402" cm="1">
        <f t="array" ref="C5">_xll.BDP(B5&amp;" EQUITY","LAST_PRICE")</f>
        <v>198.79</v>
      </c>
      <c r="D5" s="32">
        <f t="shared" si="0"/>
        <v>-4.0581162324649922E-3</v>
      </c>
      <c r="E5" s="400">
        <f>_xll.BDP(B5&amp;" EQUITY","PX_YEST_CLOSE")</f>
        <v>199.6</v>
      </c>
      <c r="F5" t="s">
        <v>977</v>
      </c>
      <c r="H5" s="399" cm="1">
        <f t="array" ref="H5">_xll.BDP(F5&amp;" EQUITY","LAST_PRICE")</f>
        <v>1464.13</v>
      </c>
      <c r="I5" s="139">
        <f t="shared" si="2"/>
        <v>9.1532549884552061E-3</v>
      </c>
      <c r="J5" s="396">
        <f>_xll.BDP(F5&amp;" EQUITY","PX_YEST_CLOSE")</f>
        <v>1450.85</v>
      </c>
      <c r="K5" s="397" t="s">
        <v>3</v>
      </c>
      <c r="L5" s="401" cm="1">
        <f t="array" ref="L5">_xll.BDP(K5&amp;" EQUITY","LAST_PRICE")</f>
        <v>202.87</v>
      </c>
      <c r="M5" s="32">
        <f t="shared" si="1"/>
        <v>1.0359081627571154E-2</v>
      </c>
      <c r="N5" s="400">
        <f>_xll.BDP(K5&amp;" EQUITY","PX_YEST_CLOSE")</f>
        <v>200.79</v>
      </c>
      <c r="O5" s="26">
        <f>SUMIF(O12:O57,"&gt;0")</f>
        <v>2.1956469546401958E-2</v>
      </c>
      <c r="P5" s="19">
        <f>SUMIF($F$12:$F$57,"Long",P12:P57)</f>
        <v>-0.68927069900284266</v>
      </c>
      <c r="R5" s="26">
        <f>SUMIF(R12:R57,"&gt;0")</f>
        <v>1.0247776918985969E-2</v>
      </c>
      <c r="S5" s="137">
        <f>SUMIF($F$12:$F$57,"Long",S12:S57)</f>
        <v>-1.1184976833124265</v>
      </c>
      <c r="T5" t="s">
        <v>47</v>
      </c>
      <c r="U5" s="32">
        <f>SUMIF($F$12:$F$57,"Long",U12:U57)</f>
        <v>2.8017814536525291E-2</v>
      </c>
      <c r="V5" s="38">
        <f>SUMIF($F$12:$F$57,"Long",V12:V57)</f>
        <v>-1.8077683823152704</v>
      </c>
      <c r="W5" s="5">
        <f>V5/U5/10000</f>
        <v>-6.4522105389718445E-3</v>
      </c>
      <c r="X5" s="5">
        <f>W5-$X$3</f>
        <v>-7.1567770104149688E-3</v>
      </c>
      <c r="Y5" s="54">
        <f>$U5*X5*10000</f>
        <v>-2.0051725095707451</v>
      </c>
      <c r="Z5" s="9">
        <f>U5*$X$3*10000</f>
        <v>0.19740412725547501</v>
      </c>
      <c r="AA5" s="32">
        <f>SUMIF($F$12:$F$57,"Long",AA12:AA57)</f>
        <v>4.0189384164235342E-2</v>
      </c>
      <c r="AB5" s="205">
        <f>AA5/U5</f>
        <v>1.4344225211371373</v>
      </c>
      <c r="AC5" s="86" t="s">
        <v>111</v>
      </c>
      <c r="AD5" s="87">
        <v>2370560457</v>
      </c>
      <c r="AE5" s="88">
        <f>AD5</f>
        <v>2370560457</v>
      </c>
      <c r="AF5" s="3" t="s">
        <v>987</v>
      </c>
      <c r="AG5">
        <v>22750</v>
      </c>
      <c r="AH5" s="20">
        <f>AG5/$AG$1-1</f>
        <v>-8.205055783081483E-2</v>
      </c>
      <c r="AI5">
        <v>6265</v>
      </c>
      <c r="AJ5" s="20">
        <f>AI5/$AI$1-1</f>
        <v>-8.5034137792544429E-2</v>
      </c>
    </row>
    <row r="6" spans="1:39">
      <c r="B6" s="397" t="s">
        <v>27</v>
      </c>
      <c r="C6" s="402" cm="1">
        <f t="array" ref="C6">_xll.BDP(B6&amp;" EQUITY","LAST_PRICE")</f>
        <v>255.78</v>
      </c>
      <c r="D6" s="32">
        <f t="shared" si="0"/>
        <v>-2.2733351163412796E-2</v>
      </c>
      <c r="E6" s="400">
        <f>_xll.BDP(B6&amp;" EQUITY","PX_YEST_CLOSE")</f>
        <v>261.73</v>
      </c>
      <c r="F6" t="s">
        <v>978</v>
      </c>
      <c r="H6" s="399" cm="1">
        <f t="array" ref="H6">_xll.BDP(F6&amp;" EQUITY","LAST_PRICE")</f>
        <v>235.53</v>
      </c>
      <c r="I6" s="139">
        <f t="shared" si="2"/>
        <v>1.8331964200786866E-2</v>
      </c>
      <c r="J6" s="396">
        <f>_xll.BDP(F6&amp;" EQUITY","PX_YEST_CLOSE")</f>
        <v>231.29</v>
      </c>
      <c r="K6" s="397" t="s">
        <v>82</v>
      </c>
      <c r="L6" s="398" cm="1">
        <f t="array" ref="L6">_xll.BDP(K6&amp;" EQUITY","LAST_PRICE")</f>
        <v>601.91999999999996</v>
      </c>
      <c r="M6" s="32">
        <f t="shared" si="1"/>
        <v>2.1310602024506853E-3</v>
      </c>
      <c r="N6" s="400">
        <f>_xll.BDP(K6&amp;" EQUITY","PX_YEST_CLOSE")</f>
        <v>600.64</v>
      </c>
      <c r="O6" s="26">
        <f>SUMIF(O12:O57,"&lt;0")</f>
        <v>-1.6383006097769815E-2</v>
      </c>
      <c r="P6" s="19">
        <f>SUMIF($F$12:$F$57,"Short",P12:P57)</f>
        <v>-0.44281710914156536</v>
      </c>
      <c r="R6" s="26">
        <f>SUMIF(R12:R57,"&lt;0")</f>
        <v>-4.4913645378186172E-3</v>
      </c>
      <c r="S6" s="137">
        <f>SUMIF($F$12:$F$57,"Short",S12:S57)</f>
        <v>-1.4558142795373588E-2</v>
      </c>
      <c r="T6" t="s">
        <v>48</v>
      </c>
      <c r="U6" s="32">
        <f>SUMIF($F$12:$F$57,"Short",U12:U57)</f>
        <v>-1.7301813581727454E-2</v>
      </c>
      <c r="V6" s="38">
        <f>SUMIF($F$12:$F$57,"Short",V12:V57)</f>
        <v>-0.4573752519369389</v>
      </c>
      <c r="W6" s="5">
        <f>V6/U6/10000</f>
        <v>2.6435104607760631E-3</v>
      </c>
      <c r="X6" s="5">
        <f>$X$3-W6</f>
        <v>-1.9389439893329388E-3</v>
      </c>
      <c r="Y6" s="54">
        <f>-$U6*X6*10000</f>
        <v>-0.33547247448849454</v>
      </c>
      <c r="Z6" s="9">
        <f>U6*$X$3*10000</f>
        <v>-0.12190277744844437</v>
      </c>
      <c r="AA6" s="32">
        <f>SUMIF($F$12:$F$57,"Short",AA12:AA57)</f>
        <v>-4.9273444002024686E-3</v>
      </c>
      <c r="AB6" s="205">
        <f>AA6/U6</f>
        <v>0.28478774071443386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401.32</v>
      </c>
      <c r="D7" s="32">
        <f t="shared" si="0"/>
        <v>-1.2940473820425291E-3</v>
      </c>
      <c r="E7" s="400">
        <f>_xll.BDP(B7&amp;" EQUITY","PX_YEST_CLOSE")</f>
        <v>401.84</v>
      </c>
      <c r="F7" t="s">
        <v>983</v>
      </c>
      <c r="H7" s="399" cm="1">
        <f t="array" ref="H7">_xll.BDP(F7&amp;" EQUITY","LAST_PRICE")</f>
        <v>281.58</v>
      </c>
      <c r="I7" s="139">
        <f t="shared" si="2"/>
        <v>-8.870116156283081E-3</v>
      </c>
      <c r="J7" s="396">
        <f>_xll.BDP(F7&amp;" EQUITY","PX_YEST_CLOSE")</f>
        <v>284.10000000000002</v>
      </c>
      <c r="K7" s="397" t="s">
        <v>88</v>
      </c>
      <c r="L7" s="401" cm="1">
        <f t="array" ref="L7">_xll.BDP(K7&amp;" EQUITY","LAST_PRICE")</f>
        <v>102.68</v>
      </c>
      <c r="M7" s="32">
        <f t="shared" si="1"/>
        <v>1.1426319936958418E-2</v>
      </c>
      <c r="N7" s="400">
        <f>_xll.BDP(K7&amp;" EQUITY","PX_YEST_CLOSE")</f>
        <v>101.52</v>
      </c>
      <c r="O7" s="28">
        <f>O5+O6</f>
        <v>5.5734634486321426E-3</v>
      </c>
      <c r="P7" s="136">
        <f>SUM(P12:P57)</f>
        <v>-0.64424270005571027</v>
      </c>
      <c r="Q7" s="27"/>
      <c r="R7" s="28">
        <f>R5+R6</f>
        <v>5.7564123811673518E-3</v>
      </c>
      <c r="S7" s="136">
        <f>SUM(S12:S57)</f>
        <v>-1.1330558261078001</v>
      </c>
      <c r="T7" s="363" t="s">
        <v>846</v>
      </c>
      <c r="U7" s="271">
        <f>U5+U6</f>
        <v>1.0716000954797838E-2</v>
      </c>
      <c r="V7" s="272">
        <f>V5+V6</f>
        <v>-2.2651436342522091</v>
      </c>
      <c r="W7" s="43">
        <f>V7/U7/10000</f>
        <v>-2.1137956629595524E-2</v>
      </c>
      <c r="X7" s="43"/>
      <c r="Y7" s="55">
        <f>Y5+Y6</f>
        <v>-2.3406449840592396</v>
      </c>
      <c r="Z7" s="46">
        <f>Z5+Z6</f>
        <v>7.5501349807030646E-2</v>
      </c>
      <c r="AA7" s="33">
        <f>AA5+AA6</f>
        <v>3.5262039764032874E-2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305.72000000000003</v>
      </c>
      <c r="D8" s="32">
        <f t="shared" si="0"/>
        <v>-1.0614886731391548E-2</v>
      </c>
      <c r="E8" s="400">
        <f>_xll.BDP(B8&amp;" EQUITY","PX_YEST_CLOSE")</f>
        <v>309</v>
      </c>
      <c r="F8" t="s">
        <v>280</v>
      </c>
      <c r="H8" s="399" cm="1">
        <f t="array" ref="H8">_xll.BDP(F8&amp;" EQUITY","LAST_PRICE")</f>
        <v>425.99</v>
      </c>
      <c r="I8" s="139">
        <f t="shared" si="2"/>
        <v>-1.2013822854094691E-2</v>
      </c>
      <c r="J8" s="396">
        <f>_xll.BDP(F8&amp;" EQUITY","PX_YEST_CLOSE")</f>
        <v>431.17</v>
      </c>
      <c r="K8" s="397" t="s">
        <v>89</v>
      </c>
      <c r="L8" s="401" cm="1">
        <f t="array" ref="L8">_xll.BDP(K8&amp;" EQUITY","LAST_PRICE")</f>
        <v>262.95999999999998</v>
      </c>
      <c r="M8" s="32">
        <f t="shared" si="1"/>
        <v>1.3177159590043841E-2</v>
      </c>
      <c r="N8" s="400">
        <f>_xll.BDP(K8&amp;" EQUITY","PX_YEST_CLOSE")</f>
        <v>259.54000000000002</v>
      </c>
      <c r="O8" s="29">
        <f>O5-O6</f>
        <v>3.8339475644171769E-2</v>
      </c>
      <c r="P8" s="30"/>
      <c r="Q8" s="6"/>
      <c r="R8" s="29">
        <f>R5-R6</f>
        <v>1.4739141456804586E-2</v>
      </c>
      <c r="S8" s="30"/>
      <c r="T8" s="6" t="s">
        <v>15</v>
      </c>
      <c r="U8" s="34">
        <f>U5-U6</f>
        <v>4.5319628118252742E-2</v>
      </c>
      <c r="V8" s="40"/>
      <c r="AA8" s="34">
        <f>AA5-AA6</f>
        <v>4.5116728564437811E-2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639.77</v>
      </c>
      <c r="D9" s="32">
        <f t="shared" si="0"/>
        <v>-1.5450670195903404E-2</v>
      </c>
      <c r="E9" s="400">
        <f>_xll.BDP(B9&amp;" EQUITY","PX_YEST_CLOSE")</f>
        <v>649.80999999999995</v>
      </c>
      <c r="F9" t="s">
        <v>996</v>
      </c>
      <c r="H9" s="399" cm="1">
        <f t="array" ref="H9">_xll.BDP(F9&amp;" EQUITY","LAST_PRICE")</f>
        <v>204.53</v>
      </c>
      <c r="I9" s="139">
        <f>H9/J9-1</f>
        <v>3.8774909197996088E-3</v>
      </c>
      <c r="J9" s="396">
        <f>_xll.BDP(F9&amp;" EQUITY","PX_YEST_CLOSE")</f>
        <v>203.74</v>
      </c>
      <c r="K9" s="397" t="s">
        <v>337</v>
      </c>
      <c r="L9" s="401" cm="1">
        <f t="array" ref="L9">_xll.BDP(K9&amp;" EQUITY","LAST_PRICE")</f>
        <v>87.94</v>
      </c>
      <c r="M9" s="32">
        <f t="shared" si="1"/>
        <v>9.0648307515777127E-3</v>
      </c>
      <c r="N9" s="400">
        <f>_xll.BDP(K9&amp;" EQUITY","PX_YEST_CLOSE")</f>
        <v>87.15</v>
      </c>
      <c r="O9" s="29"/>
      <c r="P9" s="45"/>
      <c r="Q9" s="29"/>
      <c r="R9" s="29"/>
      <c r="S9" s="45"/>
      <c r="T9" s="266" t="s">
        <v>797</v>
      </c>
      <c r="U9" s="267">
        <f>SUM(U49:U51)</f>
        <v>6.1387487500165678E-4</v>
      </c>
      <c r="V9" s="268">
        <f>SUM(V49:V51)</f>
        <v>0.48784510808869785</v>
      </c>
      <c r="W9" s="121">
        <v>1.5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552</v>
      </c>
      <c r="C10" s="401" cm="1">
        <f t="array" ref="C10">_xll.BDP(B10&amp;" EQUITY","LAST_PRICE")</f>
        <v>160.13999999999999</v>
      </c>
      <c r="D10" s="32">
        <f t="shared" si="0"/>
        <v>2.3389570552147187E-2</v>
      </c>
      <c r="E10" s="400">
        <f>_xll.BDP(B10&amp;" EQUITY","PX_YEST_CLOSE")</f>
        <v>156.47999999999999</v>
      </c>
      <c r="F10" t="s">
        <v>271</v>
      </c>
      <c r="H10" s="399" cm="1">
        <f t="array" ref="H10">_xll.BDP(F10&amp;" EQUITY","LAST_PRICE")</f>
        <v>107.08</v>
      </c>
      <c r="I10" s="139">
        <f>H10/J10-1</f>
        <v>3.6692806660857613E-2</v>
      </c>
      <c r="J10" s="396">
        <f>_xll.BDP(F10&amp;" EQUITY","PX_YEST_CLOSE")</f>
        <v>103.29</v>
      </c>
      <c r="K10" s="397" t="s">
        <v>78</v>
      </c>
      <c r="L10" s="401" cm="1">
        <f t="array" ref="L10">_xll.BDP(K10&amp;" EQUITY","LAST_PRICE")</f>
        <v>103.94</v>
      </c>
      <c r="M10" s="32">
        <f t="shared" si="1"/>
        <v>5.7590557590557534E-2</v>
      </c>
      <c r="N10" s="400">
        <f>_xll.BDP(K10&amp;" EQUITY","PX_YEST_CLOSE")</f>
        <v>98.28</v>
      </c>
      <c r="P10" s="49">
        <f>SUM(Tabelad[D1 P&amp;L bps])</f>
        <v>-0.64424270005571027</v>
      </c>
      <c r="Q10" s="6"/>
      <c r="S10" s="49">
        <f>SUM(Tabelad[Options P&amp;L bps])</f>
        <v>-1.1330558261078001</v>
      </c>
      <c r="T10" s="269" t="s">
        <v>847</v>
      </c>
      <c r="U10" s="269">
        <f>U7+U9</f>
        <v>1.1329875829799494E-2</v>
      </c>
      <c r="V10" s="270">
        <f>V7+V9</f>
        <v>-1.7772985261635112</v>
      </c>
      <c r="W10" s="16">
        <f>AE7*W9/10000</f>
        <v>378654.06855000003</v>
      </c>
      <c r="X10" s="274"/>
      <c r="Y10" s="53">
        <v>0.35</v>
      </c>
      <c r="Z10" s="37">
        <f>SUM(Tabelad[Column1])</f>
        <v>6.6413829472157708</v>
      </c>
      <c r="AA10" s="124">
        <f>SUM(Tabelad[Expo Beta Adj])</f>
        <v>3.5873813213993522E-2</v>
      </c>
      <c r="AD10" s="15">
        <f>SUM(Tabelad[Daily P&amp;L])</f>
        <v>-152721.62694629785</v>
      </c>
      <c r="AE10" s="139"/>
      <c r="AF10" s="185" t="str">
        <f>_xll.BDP(B10&amp;" Equity","EXPECTED_REPORT_DT")</f>
        <v>10/03/2026</v>
      </c>
      <c r="AG10" s="139"/>
      <c r="AH10" s="19" t="e">
        <f>SUM(AH12:AH57)+#REF!+#REF!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1012</v>
      </c>
      <c r="AA11" s="56" t="s">
        <v>131</v>
      </c>
      <c r="AB11" s="347" t="s">
        <v>372</v>
      </c>
      <c r="AC11" s="56" t="s">
        <v>1013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7" si="3">IF(T12&gt;0,"Long","Short")</f>
        <v>Long</v>
      </c>
      <c r="G12" s="15"/>
      <c r="H12" s="362">
        <v>3678</v>
      </c>
      <c r="I12" s="35" cm="1">
        <f t="array" ref="I12">_xll.BDP(B12&amp;" Equity","LAST_PRICE")</f>
        <v>155.72999999999999</v>
      </c>
      <c r="J12" s="50">
        <f t="shared" ref="J12:J57" si="4">I12/K12-1</f>
        <v>-1.8900018900018911E-2</v>
      </c>
      <c r="K12" s="355">
        <f>_xll.BDP(B12&amp;" equity","PX_YEST_CLOSE")</f>
        <v>158.72999999999999</v>
      </c>
      <c r="L12" s="52">
        <f>_xll.BDP(E12&amp;" Curncy","PX_LAST")</f>
        <v>1</v>
      </c>
      <c r="M12" s="51">
        <v>1</v>
      </c>
      <c r="N12" s="15">
        <f t="shared" ref="N12:N57" si="5">IFERROR(IF(((I12/L12)*H12*M12)&lt;&gt;0,((I12/L12)*H12*M12),0),"-")</f>
        <v>572774.93999999994</v>
      </c>
      <c r="O12" s="284">
        <f>IFERROR(IF(Tabelad[[#This Row],[D1 Exp USD]]&lt;&gt;0,N12/$AE$7,0),"-")</f>
        <v>2.2689903037092295E-4</v>
      </c>
      <c r="P12" s="19">
        <f>IFERROR(IF(Tabelad[[#This Row],[D1 Exp USD]]&lt;&gt;0,((I12-K12)/L12*M12*H12)/$AD$7*10000,0),"-")</f>
        <v>-4.3710080980721051E-2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57" si="6">N12+Q12</f>
        <v>572774.93999999994</v>
      </c>
      <c r="U12" s="47">
        <f t="shared" ref="U12:U57" si="7">T12/$AE$7</f>
        <v>2.2689903037092295E-4</v>
      </c>
      <c r="V12" s="19">
        <f t="shared" ref="V12:V57" si="8">P12+S12</f>
        <v>-4.3710080980721051E-2</v>
      </c>
      <c r="W12" s="15">
        <f t="shared" ref="W12:W57" si="9">$W$10/(I12/L12*M12)</f>
        <v>2431.4779974956659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5.2571116656009831E-2</v>
      </c>
      <c r="AA12" s="18">
        <f>Tabelad[[#This Row],[Exp %]]*Tabelad[[#This Row],[Beta]]</f>
        <v>1.962202609871776E-4</v>
      </c>
      <c r="AB12" s="35">
        <f>_xll.BDP($B12&amp;" Equity","volatility_10d")</f>
        <v>37.071020758489276</v>
      </c>
      <c r="AC12" s="35">
        <f>_xll.BDP(B12&amp;" EQUITY","eqy_beta")</f>
        <v>0.86479109525680542</v>
      </c>
      <c r="AD12" s="15">
        <f>Tabelad[[#This Row],[D1 P&amp;L bps]]*$AD$5/10000</f>
        <v>-10361.738954516512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57" si="10">(T12*AG12)/$AD$7*10000</f>
        <v>#VALUE!</v>
      </c>
      <c r="AI12" s="361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362">
        <v>4500</v>
      </c>
      <c r="I13" s="35" cm="1">
        <f t="array" ref="I13">_xll.BDP(B13&amp;" Equity","LAST_PRICE")</f>
        <v>137.01</v>
      </c>
      <c r="J13" s="50">
        <f t="shared" si="4"/>
        <v>-9.9002746061569447E-3</v>
      </c>
      <c r="K13" s="355">
        <f>_xll.BDP(B13&amp;" equity","PX_YEST_CLOSE")</f>
        <v>138.38</v>
      </c>
      <c r="L13" s="52">
        <f>_xll.BDP(E13&amp;" Curncy","PX_LAST")</f>
        <v>1</v>
      </c>
      <c r="M13" s="51">
        <v>1</v>
      </c>
      <c r="N13" s="15">
        <f t="shared" si="5"/>
        <v>616545</v>
      </c>
      <c r="O13" s="284">
        <f>IFERROR(IF(Tabelad[[#This Row],[D1 Exp USD]]&lt;&gt;0,N13/$AE$7,0),"-")</f>
        <v>2.4423809931356407E-4</v>
      </c>
      <c r="P13" s="19">
        <f>IFERROR(IF(Tabelad[[#This Row],[D1 Exp USD]]&lt;&gt;0,((I13-K13)/L13*M13*H13)/$AD$7*10000,0),"-")</f>
        <v>-2.4422027301626438E-2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>Q13/$AE$7</f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6"/>
        <v>616545</v>
      </c>
      <c r="U13" s="47">
        <f t="shared" si="7"/>
        <v>2.4423809931356407E-4</v>
      </c>
      <c r="V13" s="19">
        <f t="shared" si="8"/>
        <v>-2.4422027301626438E-2</v>
      </c>
      <c r="W13" s="15">
        <f t="shared" si="9"/>
        <v>2763.6965809065036</v>
      </c>
      <c r="X13" s="18"/>
      <c r="Y13" s="301">
        <f>Tabelad[[#This Row],[Exp %]]*$Y$10*$AD$7/Tabelad[[#This Row],[Price Today]]</f>
        <v>1575</v>
      </c>
      <c r="Z13" s="195">
        <f>Tabelad[[#This Row],[Vol 10d]]/16*Tabelad[[#This Row],[Exp %]]*100</f>
        <v>7.5550722910508003E-2</v>
      </c>
      <c r="AA13" s="18">
        <f>Tabelad[[#This Row],[Exp %]]*Tabelad[[#This Row],[Beta]]</f>
        <v>2.5388663927316434E-4</v>
      </c>
      <c r="AB13" s="35">
        <f>_xll.BDP($B13&amp;" Equity","volatility_10d")</f>
        <v>49.493161384956586</v>
      </c>
      <c r="AC13" s="35">
        <f>_xll.BDP(B13&amp;" EQUITY","eqy_beta")</f>
        <v>1.0395046472549438</v>
      </c>
      <c r="AD13" s="15">
        <f>Tabelad[[#This Row],[D1 P&amp;L bps]]*$AD$5/10000</f>
        <v>-5789.3892201010049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362">
        <v>10000</v>
      </c>
      <c r="I14" s="35" cm="1">
        <f t="array" ref="I14">_xll.BDP(B14&amp;" Equity","LAST_PRICE")</f>
        <v>33.68</v>
      </c>
      <c r="J14" s="50">
        <f t="shared" si="4"/>
        <v>-4.1395623891188338E-3</v>
      </c>
      <c r="K14" s="355">
        <f>_xll.BDP(B14&amp;" equity","PX_YEST_CLOSE")</f>
        <v>33.82</v>
      </c>
      <c r="L14" s="52">
        <f>_xll.BDP(E14&amp;" Curncy","PX_LAST")</f>
        <v>1</v>
      </c>
      <c r="M14" s="51">
        <v>1</v>
      </c>
      <c r="N14" s="15">
        <f t="shared" si="5"/>
        <v>336800</v>
      </c>
      <c r="O14" s="284">
        <f>IFERROR(IF(Tabelad[[#This Row],[D1 Exp USD]]&lt;&gt;0,N14/$AE$7,0),"-")</f>
        <v>1.3341993179542187E-4</v>
      </c>
      <c r="P14" s="19">
        <f>IFERROR(IF(Tabelad[[#This Row],[D1 Exp USD]]&lt;&gt;0,((I14-K14)/L14*M14*H14)/$AD$7*10000,0),"-")</f>
        <v>-5.5459591601422619E-3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909958.94402265549</v>
      </c>
      <c r="R14" s="18">
        <f>Q14/$AE$7</f>
        <v>3.6047108149684325E-4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0</v>
      </c>
      <c r="T14" s="13">
        <f t="shared" si="6"/>
        <v>1246758.9440226555</v>
      </c>
      <c r="U14" s="47">
        <f t="shared" si="7"/>
        <v>4.9389101329226517E-4</v>
      </c>
      <c r="V14" s="19">
        <f t="shared" si="8"/>
        <v>-5.5459591601422619E-3</v>
      </c>
      <c r="W14" s="15">
        <f t="shared" si="9"/>
        <v>11242.697997327792</v>
      </c>
      <c r="X14" s="18"/>
      <c r="Y14" s="301">
        <f>Tabelad[[#This Row],[Exp %]]*$Y$10*$AD$7/Tabelad[[#This Row],[Price Today]]</f>
        <v>12956.224180757999</v>
      </c>
      <c r="Z14" s="195">
        <f>Tabelad[[#This Row],[Vol 10d]]/16*Tabelad[[#This Row],[Exp %]]*100</f>
        <v>4.1079334746928736E-2</v>
      </c>
      <c r="AA14" s="18">
        <f>Tabelad[[#This Row],[Exp %]]*Tabelad[[#This Row],[Beta]]</f>
        <v>5.6273247576804598E-4</v>
      </c>
      <c r="AB14" s="35">
        <f>_xll.BDP($B14&amp;" Equity","volatility_10d")</f>
        <v>13.307983710201945</v>
      </c>
      <c r="AC14" s="35">
        <f>_xll.BDP(B14&amp;" EQUITY","eqy_beta")</f>
        <v>1.1393859386444092</v>
      </c>
      <c r="AD14" s="15">
        <f>Tabelad[[#This Row],[D1 P&amp;L bps]]*$AD$5/10000</f>
        <v>-1314.7031481170177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-9.4618480000000001E-3</v>
      </c>
      <c r="AH14" s="19">
        <f t="shared" si="10"/>
        <v>-4.6731216963373928E-2</v>
      </c>
      <c r="AI14" s="361" t="str">
        <f>_xll.BDP(B14&amp;" Equity","DVD_EX_DT")</f>
        <v>19/12/2025</v>
      </c>
    </row>
    <row r="15" spans="1:39" s="58" customFormat="1">
      <c r="A15" s="488"/>
      <c r="B15" s="349" t="s">
        <v>82</v>
      </c>
      <c r="C15" s="58" t="s">
        <v>26</v>
      </c>
      <c r="E15" s="58" t="s">
        <v>137</v>
      </c>
      <c r="F15" s="133" t="str">
        <f t="shared" si="3"/>
        <v>Short</v>
      </c>
      <c r="G15" s="330"/>
      <c r="H15" s="457"/>
      <c r="I15" s="14" cm="1">
        <f t="array" ref="I15">_xll.BDP(B15&amp;" Equity","LAST_PRICE")</f>
        <v>601.91999999999996</v>
      </c>
      <c r="J15" s="456">
        <f t="shared" si="4"/>
        <v>2.1310602024506853E-3</v>
      </c>
      <c r="K15" s="489">
        <f>_xll.BDP(B15&amp;" equity","PX_YEST_CLOSE")</f>
        <v>600.64</v>
      </c>
      <c r="L15" s="8">
        <f>_xll.BDP(E15&amp;" Curncy","PX_LAST")</f>
        <v>1</v>
      </c>
      <c r="M15" s="455">
        <v>1</v>
      </c>
      <c r="N15" s="330">
        <f t="shared" si="5"/>
        <v>0</v>
      </c>
      <c r="O15" s="494">
        <f>IFERROR(IF(Tabelad[[#This Row],[D1 Exp USD]]&lt;&gt;0,N15/$AE$7,0),"-")</f>
        <v>0</v>
      </c>
      <c r="P15" s="454">
        <f>IFERROR(IF(Tabelad[[#This Row],[D1 Exp USD]]&lt;&gt;0,((I15-K15)/L15*M15*H15)/$AD$7*10000,0),"-")</f>
        <v>0</v>
      </c>
      <c r="Q15" s="330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-10213795.055580139</v>
      </c>
      <c r="R15" s="125">
        <f>Q15/$AE$7</f>
        <v>-4.0460921605935847E-3</v>
      </c>
      <c r="S15" s="454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-3.5256454660904282E-2</v>
      </c>
      <c r="T15" s="495">
        <f t="shared" si="6"/>
        <v>-10213795.055580139</v>
      </c>
      <c r="U15" s="496">
        <f t="shared" si="7"/>
        <v>-4.0460921605935847E-3</v>
      </c>
      <c r="V15" s="454">
        <f t="shared" si="8"/>
        <v>-3.5256454660904282E-2</v>
      </c>
      <c r="W15" s="330">
        <f t="shared" si="9"/>
        <v>629.0770676335726</v>
      </c>
      <c r="X15" s="125"/>
      <c r="Y15" s="453">
        <f>Tabelad[[#This Row],[Exp %]]*$Y$10*$AD$7/Tabelad[[#This Row],[Price Today]]</f>
        <v>-5939.0421807765961</v>
      </c>
      <c r="Z15" s="452">
        <f>Tabelad[[#This Row],[Vol 10d]]/16*Tabelad[[#This Row],[Exp %]]*100</f>
        <v>-0.56096160682891083</v>
      </c>
      <c r="AA15" s="125">
        <f>Tabelad[[#This Row],[Exp %]]*Tabelad[[#This Row],[Beta]]</f>
        <v>-4.0508899147288866E-3</v>
      </c>
      <c r="AB15" s="14">
        <f>_xll.BDP($B15&amp;" Equity","volatility_10d")</f>
        <v>22.182850397421085</v>
      </c>
      <c r="AC15" s="14">
        <f>_xll.BDP(B15&amp;" EQUITY","eqy_beta")</f>
        <v>1.0011857748031616</v>
      </c>
      <c r="AD15" s="330">
        <f>Tabelad[[#This Row],[D1 P&amp;L bps]]*$AD$5/10000</f>
        <v>0</v>
      </c>
      <c r="AE15" s="265"/>
      <c r="AF15" s="451" t="str">
        <f>_xll.BDP(B15&amp;" Equity","EXPECTED_REPORT_DT")</f>
        <v>#N/A N/A</v>
      </c>
      <c r="AG15" s="450">
        <f>_xll.BDP(B15&amp;" Index","CHG_PCT_1D_PRE_FROM_REGULAR")/100</f>
        <v>-4.6621820000000003E-4</v>
      </c>
      <c r="AH15" s="454">
        <f t="shared" si="10"/>
        <v>1.8863618041460521E-2</v>
      </c>
      <c r="AI15" s="449" t="str">
        <f>_xll.BDP(B15&amp;" Equity","DVD_EX_DT")</f>
        <v>22/12/2025</v>
      </c>
    </row>
    <row r="16" spans="1:39" s="310" customFormat="1">
      <c r="A16" s="497"/>
      <c r="B16" s="498" t="s">
        <v>573</v>
      </c>
      <c r="C16" s="310" t="s">
        <v>26</v>
      </c>
      <c r="E16" s="310" t="s">
        <v>137</v>
      </c>
      <c r="F16" s="499" t="str">
        <f t="shared" si="3"/>
        <v>Short</v>
      </c>
      <c r="G16" s="500"/>
      <c r="H16" s="501">
        <v>-15</v>
      </c>
      <c r="I16" s="121" cm="1">
        <f t="array" ref="I16">_xll.BDP(B16&amp;" Index","LAST_PRICE")</f>
        <v>24783.5</v>
      </c>
      <c r="J16" s="502">
        <f t="shared" si="4"/>
        <v>6.2580749354013143E-4</v>
      </c>
      <c r="K16" s="355">
        <f>_xll.BDP(B16&amp;" Index","PX_YEST_CLOSE")</f>
        <v>24768</v>
      </c>
      <c r="L16" s="177">
        <f>_xll.BDP(E16&amp;" Curncy","PX_LAST")</f>
        <v>1</v>
      </c>
      <c r="M16" s="503">
        <v>20</v>
      </c>
      <c r="N16" s="500">
        <f t="shared" si="5"/>
        <v>-7435050</v>
      </c>
      <c r="O16" s="504">
        <f>IFERROR(IF(Tabelad[[#This Row],[D1 Exp USD]]&lt;&gt;0,N16/$AE$7,0),"-")</f>
        <v>-2.94532026097254E-3</v>
      </c>
      <c r="P16" s="505">
        <f>IFERROR(IF(Tabelad[[#This Row],[D1 Exp USD]]&lt;&gt;0,((I16-K16)/L16*M16*H16)/$AD$7*10000,0),"-")</f>
        <v>-1.8420507210472437E-2</v>
      </c>
      <c r="Q16" s="500"/>
      <c r="R16" s="338"/>
      <c r="S16" s="505"/>
      <c r="T16" s="506">
        <f t="shared" si="6"/>
        <v>-7435050</v>
      </c>
      <c r="U16" s="507">
        <f t="shared" si="7"/>
        <v>-2.94532026097254E-3</v>
      </c>
      <c r="V16" s="505">
        <f t="shared" si="8"/>
        <v>-1.8420507210472437E-2</v>
      </c>
      <c r="W16" s="500">
        <f t="shared" si="9"/>
        <v>0.7639237164847581</v>
      </c>
      <c r="X16" s="338"/>
      <c r="Y16" s="508">
        <f>Tabelad[[#This Row],[Exp %]]*$Y$10*$AD$7/Tabelad[[#This Row],[Price Today]]</f>
        <v>-104.99999999999999</v>
      </c>
      <c r="Z16" s="509">
        <f>Tabelad[[#This Row],[Vol 10d]]/16*Tabelad[[#This Row],[Exp %]]*100</f>
        <v>-0.40638678157889679</v>
      </c>
      <c r="AA16" s="338"/>
      <c r="AB16" s="121">
        <f>_xll.BDP($B16&amp;" Index","volatility_10d")</f>
        <v>22.076337814331055</v>
      </c>
      <c r="AC16" s="121" t="str">
        <f>_xll.BDP(B16&amp;" Index","eqy_beta")</f>
        <v>#N/A Field Not Applicable</v>
      </c>
      <c r="AD16" s="500">
        <f>Tabelad[[#This Row],[D1 P&amp;L bps]]*$AD$5/10000</f>
        <v>-4366.6925991029339</v>
      </c>
      <c r="AE16" s="295"/>
      <c r="AF16" s="510" t="str">
        <f>_xll.BDP(B16&amp;" Index","EXPECTED_REPORT_DT")</f>
        <v>#N/A Field Not Applicable</v>
      </c>
      <c r="AG16" s="511" t="e">
        <f>_xll.BDP(B16&amp;" Index","CHG_PCT_1D_PRE_FROM_REGULAR")/100</f>
        <v>#VALUE!</v>
      </c>
      <c r="AH16" s="505" t="e">
        <f t="shared" si="10"/>
        <v>#VALUE!</v>
      </c>
      <c r="AI16" s="512" t="str">
        <f>_xll.BDP(B16&amp;" Index","DVD_EX_DT")</f>
        <v>#N/A Field Not Applicable</v>
      </c>
    </row>
    <row r="17" spans="1:35" s="310" customFormat="1">
      <c r="A17" s="497"/>
      <c r="B17" s="498" t="s">
        <v>573</v>
      </c>
      <c r="C17" s="310" t="s">
        <v>26</v>
      </c>
      <c r="E17" s="310" t="s">
        <v>137</v>
      </c>
      <c r="F17" s="499" t="str">
        <f t="shared" si="3"/>
        <v>Short</v>
      </c>
      <c r="G17" s="500"/>
      <c r="H17" s="501">
        <v>-50</v>
      </c>
      <c r="I17" s="121" cm="1">
        <f t="array" ref="I17">_xll.BDP(B17&amp;" Index","LAST_PRICE")</f>
        <v>24783.5</v>
      </c>
      <c r="J17" s="502">
        <f t="shared" si="4"/>
        <v>4.2884923900838867E-3</v>
      </c>
      <c r="K17" s="355">
        <v>24677.67</v>
      </c>
      <c r="L17" s="177">
        <f>_xll.BDP(E17&amp;" Curncy","PX_LAST")</f>
        <v>1</v>
      </c>
      <c r="M17" s="503">
        <v>20</v>
      </c>
      <c r="N17" s="500">
        <f t="shared" si="5"/>
        <v>-24783500</v>
      </c>
      <c r="O17" s="504">
        <f>IFERROR(IF(Tabelad[[#This Row],[D1 Exp USD]]&lt;&gt;0,N17/$AE$7,0),"-")</f>
        <v>-9.8177342032418E-3</v>
      </c>
      <c r="P17" s="505">
        <f>IFERROR(IF(Tabelad[[#This Row],[D1 Exp USD]]&lt;&gt;0,((I17-K17)/L17*M17*H17)/$AD$7*10000,0),"-")</f>
        <v>-0.41923489851275919</v>
      </c>
      <c r="Q17" s="500"/>
      <c r="R17" s="338"/>
      <c r="S17" s="505"/>
      <c r="T17" s="506">
        <f t="shared" si="6"/>
        <v>-24783500</v>
      </c>
      <c r="U17" s="507">
        <f t="shared" si="7"/>
        <v>-9.8177342032418E-3</v>
      </c>
      <c r="V17" s="505">
        <f t="shared" si="8"/>
        <v>-0.41923489851275919</v>
      </c>
      <c r="W17" s="500">
        <f t="shared" si="9"/>
        <v>0.7639237164847581</v>
      </c>
      <c r="X17" s="338"/>
      <c r="Y17" s="508">
        <f>Tabelad[[#This Row],[Exp %]]*$Y$10*$AD$7/Tabelad[[#This Row],[Price Today]]</f>
        <v>-350</v>
      </c>
      <c r="Z17" s="509">
        <f>Tabelad[[#This Row],[Vol 10d]]/16*Tabelad[[#This Row],[Exp %]]*100</f>
        <v>-1.3546226052629895</v>
      </c>
      <c r="AA17" s="338"/>
      <c r="AB17" s="121">
        <f>_xll.BDP($B17&amp;" Index","volatility_10d")</f>
        <v>22.076337814331055</v>
      </c>
      <c r="AC17" s="121" t="str">
        <f>_xll.BDP(B17&amp;" Index","eqy_beta")</f>
        <v>#N/A Field Not Applicable</v>
      </c>
      <c r="AD17" s="500">
        <f>Tabelad[[#This Row],[D1 P&amp;L bps]]*$AD$5/10000</f>
        <v>-99382.167260875503</v>
      </c>
      <c r="AE17" s="295"/>
      <c r="AF17" s="510" t="str">
        <f>_xll.BDP(B17&amp;" Index","EXPECTED_REPORT_DT")</f>
        <v>#N/A Field Not Applicable</v>
      </c>
      <c r="AG17" s="511" t="e">
        <f>_xll.BDP(B17&amp;" Index","CHG_PCT_1D_PRE_FROM_REGULAR")/100</f>
        <v>#VALUE!</v>
      </c>
      <c r="AH17" s="505" t="e">
        <f t="shared" si="10"/>
        <v>#VALUE!</v>
      </c>
      <c r="AI17" s="512" t="str">
        <f>_xll.BDP(B17&amp;" Index","DVD_EX_DT")</f>
        <v>#N/A Field Not Applicable</v>
      </c>
    </row>
    <row r="18" spans="1:35">
      <c r="B18" s="39" t="s">
        <v>807</v>
      </c>
      <c r="C18" t="s">
        <v>830</v>
      </c>
      <c r="E18" t="s">
        <v>137</v>
      </c>
      <c r="F18" s="21" t="s">
        <v>47</v>
      </c>
      <c r="G18" s="15"/>
      <c r="H18" s="362">
        <v>2000</v>
      </c>
      <c r="I18" s="35" cm="1">
        <f t="array" ref="I18">_xll.BDP(B18&amp;" Equity","LAST_PRICE")</f>
        <v>306.02</v>
      </c>
      <c r="J18" s="50">
        <f t="shared" si="4"/>
        <v>-1.0828457833662042E-2</v>
      </c>
      <c r="K18" s="355">
        <f>_xll.BDP(B18&amp;" equity","PX_YEST_CLOSE")</f>
        <v>309.37</v>
      </c>
      <c r="L18" s="52">
        <f>_xll.BDP(E18&amp;" Curncy","PX_LAST")</f>
        <v>1</v>
      </c>
      <c r="M18" s="51">
        <v>1</v>
      </c>
      <c r="N18" s="15">
        <f t="shared" si="5"/>
        <v>612040</v>
      </c>
      <c r="O18" s="284">
        <f>IFERROR(IF(Tabelad[[#This Row],[D1 Exp USD]]&lt;&gt;0,N18/$AE$7,0),"-")</f>
        <v>2.4245348888381831E-4</v>
      </c>
      <c r="P18" s="19">
        <f>IFERROR(IF(Tabelad[[#This Row],[D1 Exp USD]]&lt;&gt;0,((I18-K18)/L18*M18*H18)/$AD$7*10000,0),"-")</f>
        <v>-2.65413759806809E-2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8">
        <f t="shared" ref="R18:R24" si="11">Q18/$AE$7</f>
        <v>0</v>
      </c>
      <c r="S18" s="19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>
        <f t="shared" si="6"/>
        <v>612040</v>
      </c>
      <c r="U18" s="47">
        <f t="shared" si="7"/>
        <v>2.4245348888381831E-4</v>
      </c>
      <c r="V18" s="19">
        <f t="shared" si="8"/>
        <v>-2.65413759806809E-2</v>
      </c>
      <c r="W18" s="15">
        <f t="shared" si="9"/>
        <v>1237.3507239722896</v>
      </c>
      <c r="X18" s="18"/>
      <c r="Y18" s="301">
        <f>Tabelad[[#This Row],[Exp %]]*$Y$10*$AD$7/Tabelad[[#This Row],[Price Today]]</f>
        <v>700</v>
      </c>
      <c r="Z18" s="195">
        <f>Tabelad[[#This Row],[Vol 10d]]/16*Tabelad[[#This Row],[Exp %]]*100</f>
        <v>2.3411127646998188E-2</v>
      </c>
      <c r="AA18" s="18">
        <f>Tabelad[[#This Row],[Exp %]]*Tabelad[[#This Row],[Beta]]</f>
        <v>2.4865621237368568E-4</v>
      </c>
      <c r="AB18" s="35">
        <f>_xll.BDP($B18&amp;" Equity","volatility_10d")</f>
        <v>15.449480396277806</v>
      </c>
      <c r="AC18" s="35">
        <f>_xll.BDP(B18&amp;" EQUITY","eqy_beta")</f>
        <v>1.0255831480026245</v>
      </c>
      <c r="AD18" s="15">
        <f>Tabelad[[#This Row],[D1 P&amp;L bps]]*$AD$5/10000</f>
        <v>-6291.7936374171741</v>
      </c>
      <c r="AE18" s="206"/>
      <c r="AF18" s="185" t="str">
        <f>_xll.BDP(B18&amp;" Equity","EXPECTED_REPORT_DT")</f>
        <v>24/04/2026</v>
      </c>
      <c r="AG18" s="139">
        <f>_xll.BDP(B18&amp;" Index","CHG_PCT_1D_PRE_FROM_REGULAR")/100</f>
        <v>-5.1718210000000001E-3</v>
      </c>
      <c r="AH18" s="19">
        <f t="shared" si="10"/>
        <v>-1.2539260453325983E-2</v>
      </c>
      <c r="AI18" s="361" t="str">
        <f>_xll.BDP(B18&amp;" Equity","DVD_EX_DT")</f>
        <v>09/03/2026</v>
      </c>
    </row>
    <row r="19" spans="1:35">
      <c r="B19" s="39" t="s">
        <v>29</v>
      </c>
      <c r="C19" t="s">
        <v>830</v>
      </c>
      <c r="E19" t="s">
        <v>137</v>
      </c>
      <c r="F19" s="21" t="s">
        <v>47</v>
      </c>
      <c r="G19" s="15"/>
      <c r="H19" s="362">
        <v>8100</v>
      </c>
      <c r="I19" s="35" cm="1">
        <f t="array" ref="I19">_xll.BDP(B19&amp;" Equity","LAST_PRICE")</f>
        <v>639.77</v>
      </c>
      <c r="J19" s="50">
        <f t="shared" si="4"/>
        <v>-1.5450670195903404E-2</v>
      </c>
      <c r="K19" s="355">
        <f>_xll.BDP(B19&amp;" equity","PX_YEST_CLOSE")</f>
        <v>649.80999999999995</v>
      </c>
      <c r="L19" s="52">
        <f>_xll.BDP(E19&amp;" Curncy","PX_LAST")</f>
        <v>1</v>
      </c>
      <c r="M19" s="51">
        <v>1</v>
      </c>
      <c r="N19" s="15">
        <f t="shared" si="5"/>
        <v>5182137</v>
      </c>
      <c r="O19" s="284">
        <f>IFERROR(IF(Tabelad[[#This Row],[D1 Exp USD]]&lt;&gt;0,N19/$AE$7,0),"-")</f>
        <v>2.0528514403044301E-3</v>
      </c>
      <c r="P19" s="19">
        <f>IFERROR(IF(Tabelad[[#This Row],[D1 Exp USD]]&lt;&gt;0,((I19-K19)/L19*M19*H19)/$AD$7*10000,0),"-")</f>
        <v>-0.32215684481386131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3199101.6604730487</v>
      </c>
      <c r="R19" s="18">
        <f>Q19/$AE$7</f>
        <v>1.2672919398661966E-3</v>
      </c>
      <c r="S19" s="19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-0.2491720222663906</v>
      </c>
      <c r="T19" s="13">
        <f t="shared" si="6"/>
        <v>8381238.6604730487</v>
      </c>
      <c r="U19" s="47">
        <f t="shared" si="7"/>
        <v>3.320143380170627E-3</v>
      </c>
      <c r="V19" s="19">
        <f t="shared" si="8"/>
        <v>-0.57132886708025188</v>
      </c>
      <c r="W19" s="15">
        <f t="shared" si="9"/>
        <v>591.85968168247973</v>
      </c>
      <c r="X19" s="18"/>
      <c r="Y19" s="301">
        <f>Tabelad[[#This Row],[Exp %]]*$Y$10*$AD$7/Tabelad[[#This Row],[Price Today]]</f>
        <v>4585.1376762986183</v>
      </c>
      <c r="Z19" s="195">
        <f>Tabelad[[#This Row],[Vol 10d]]/16*Tabelad[[#This Row],[Exp %]]*100</f>
        <v>0.57368628584555437</v>
      </c>
      <c r="AA19" s="18">
        <f>Tabelad[[#This Row],[Exp %]]*Tabelad[[#This Row],[Beta]]</f>
        <v>3.9517703120889591E-3</v>
      </c>
      <c r="AB19" s="35">
        <f>_xll.BDP($B19&amp;" Equity","volatility_10d")</f>
        <v>27.64633789115803</v>
      </c>
      <c r="AC19" s="35" cm="1">
        <f t="array" ref="AC19">_xll.BDP(B19&amp;" EQUITY","eqy_beta")</f>
        <v>1.1902408599853516</v>
      </c>
      <c r="AD19" s="15">
        <f>Tabelad[[#This Row],[D1 P&amp;L bps]]*$AD$5/10000</f>
        <v>-76369.227726762503</v>
      </c>
      <c r="AE19" s="206"/>
      <c r="AF19" s="185" t="str">
        <f>_xll.BDP(B19&amp;" Equity","EXPECTED_REPORT_DT")</f>
        <v>30/04/2026</v>
      </c>
      <c r="AG19" s="139" t="e">
        <f>_xll.BDP(B19&amp;" Index","CHG_PCT_1D_PRE_FROM_REGULAR")/100</f>
        <v>#VALUE!</v>
      </c>
      <c r="AH19" s="19" t="e">
        <f t="shared" si="10"/>
        <v>#VALUE!</v>
      </c>
      <c r="AI19" s="361" t="str">
        <f>_xll.BDP(B19&amp;" Equity","DVD_EX_DT")</f>
        <v>16/03/2026</v>
      </c>
    </row>
    <row r="20" spans="1:35">
      <c r="B20" s="39" t="s">
        <v>316</v>
      </c>
      <c r="C20" t="s">
        <v>830</v>
      </c>
      <c r="E20" t="s">
        <v>137</v>
      </c>
      <c r="F20" s="21" t="s">
        <v>48</v>
      </c>
      <c r="G20" s="15"/>
      <c r="H20" s="362"/>
      <c r="I20" s="35" cm="1">
        <f t="array" ref="I20">_xll.BDP(B20&amp;" Equity","LAST_PRICE")</f>
        <v>198.79</v>
      </c>
      <c r="J20" s="50">
        <f t="shared" si="4"/>
        <v>-4.0581162324649922E-3</v>
      </c>
      <c r="K20" s="355">
        <f>_xll.BDP(B20&amp;" equity","PX_YEST_CLOSE")</f>
        <v>199.6</v>
      </c>
      <c r="L20" s="52">
        <f>_xll.BDP(E20&amp;" Curncy","PX_LAST")</f>
        <v>1</v>
      </c>
      <c r="M20" s="51">
        <v>1</v>
      </c>
      <c r="N20" s="15">
        <f t="shared" si="5"/>
        <v>0</v>
      </c>
      <c r="O20" s="284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130871.79509103298</v>
      </c>
      <c r="R20" s="18">
        <f>Q20/$AE$7</f>
        <v>5.1843545056383753E-5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3.505838469089894E-2</v>
      </c>
      <c r="T20" s="13">
        <f t="shared" si="6"/>
        <v>130871.79509103298</v>
      </c>
      <c r="U20" s="47">
        <f t="shared" si="7"/>
        <v>5.1843545056383753E-5</v>
      </c>
      <c r="V20" s="19">
        <f t="shared" si="8"/>
        <v>3.505838469089894E-2</v>
      </c>
      <c r="W20" s="15">
        <f t="shared" si="9"/>
        <v>1904.7943485587809</v>
      </c>
      <c r="X20" s="18"/>
      <c r="Y20" s="301">
        <f>Tabelad[[#This Row],[Exp %]]*$Y$10*$AD$7/Tabelad[[#This Row],[Price Today]]</f>
        <v>230.41968047618866</v>
      </c>
      <c r="Z20" s="195">
        <f>Tabelad[[#This Row],[Vol 10d]]/16*Tabelad[[#This Row],[Exp %]]*100</f>
        <v>9.1538884814698056E-3</v>
      </c>
      <c r="AA20" s="18">
        <f>Tabelad[[#This Row],[Exp %]]*Tabelad[[#This Row],[Beta]]</f>
        <v>6.6098460693528915E-5</v>
      </c>
      <c r="AB20" s="35">
        <f>_xll.BDP($B20&amp;" Equity","volatility_10d")</f>
        <v>28.250810307093815</v>
      </c>
      <c r="AC20" s="35" cm="1">
        <f t="array" ref="AC20">_xll.BDP(B20&amp;" EQUITY","eqy_beta")</f>
        <v>1.2749602794647217</v>
      </c>
      <c r="AD20" s="15">
        <f>Tabelad[[#This Row],[D1 P&amp;L bps]]*$AD$5/10000</f>
        <v>0</v>
      </c>
      <c r="AE20" s="206"/>
      <c r="AF20" s="185" t="str">
        <f>_xll.BDP(B20&amp;" Equity","EXPECTED_REPORT_DT")</f>
        <v>01/05/2026</v>
      </c>
      <c r="AG20" s="139">
        <f>_xll.BDP(B20&amp;" Index","CHG_PCT_1D_PRE_FROM_REGULAR")/100</f>
        <v>-3.557148E-3</v>
      </c>
      <c r="AH20" s="19">
        <f t="shared" si="10"/>
        <v>-1.8441516261022536E-3</v>
      </c>
      <c r="AI20" s="361" t="str">
        <f>_xll.BDP(B20&amp;" Equity","DVD_EX_DT")</f>
        <v>#N/A Field Not Applicable</v>
      </c>
    </row>
    <row r="21" spans="1:35">
      <c r="B21" s="39" t="s">
        <v>982</v>
      </c>
      <c r="C21" t="s">
        <v>830</v>
      </c>
      <c r="E21" t="s">
        <v>137</v>
      </c>
      <c r="F21" s="21" t="s">
        <v>48</v>
      </c>
      <c r="G21" s="15"/>
      <c r="H21" s="362"/>
      <c r="I21" s="35" cm="1">
        <f t="array" ref="I21">_xll.BDP(B21&amp;" Equity","LAST_PRICE")</f>
        <v>76.87</v>
      </c>
      <c r="J21" s="50">
        <f t="shared" si="4"/>
        <v>1.3313999472712945E-2</v>
      </c>
      <c r="K21" s="355">
        <f>_xll.BDP(B21&amp;" equity","PX_YEST_CLOSE")</f>
        <v>75.86</v>
      </c>
      <c r="L21" s="52">
        <f>_xll.BDP(E21&amp;" Curncy","PX_LAST")</f>
        <v>1</v>
      </c>
      <c r="M21" s="51">
        <v>1</v>
      </c>
      <c r="N21" s="15">
        <f t="shared" si="5"/>
        <v>0</v>
      </c>
      <c r="O21" s="284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-394320.68084180349</v>
      </c>
      <c r="R21" s="18">
        <f>Q21/$AE$7</f>
        <v>-1.5620617085343748E-4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1.3270687990340377E-2</v>
      </c>
      <c r="T21" s="13">
        <f t="shared" si="6"/>
        <v>-394320.68084180349</v>
      </c>
      <c r="U21" s="47">
        <f t="shared" si="7"/>
        <v>-1.5620617085343748E-4</v>
      </c>
      <c r="V21" s="19">
        <f t="shared" si="8"/>
        <v>1.3270687990340377E-2</v>
      </c>
      <c r="W21" s="15">
        <f t="shared" si="9"/>
        <v>4925.9017633667227</v>
      </c>
      <c r="X21" s="18"/>
      <c r="Y21" s="301">
        <f>Tabelad[[#This Row],[Exp %]]*$Y$10*$AD$7/Tabelad[[#This Row],[Price Today]]</f>
        <v>-1795.3979223966594</v>
      </c>
      <c r="Z21" s="195">
        <f>Tabelad[[#This Row],[Vol 10d]]/16*Tabelad[[#This Row],[Exp %]]*100</f>
        <v>-3.7000333591987317E-2</v>
      </c>
      <c r="AA21" s="18">
        <f>Tabelad[[#This Row],[Exp %]]*Tabelad[[#This Row],[Beta]]</f>
        <v>-1.7342045210348936E-4</v>
      </c>
      <c r="AB21" s="35">
        <f>_xll.BDP($B21&amp;" Equity","volatility_10d")</f>
        <v>37.898972507766928</v>
      </c>
      <c r="AC21" s="35" cm="1">
        <f t="array" ref="AC21">_xll.BDP(B21&amp;" EQUITY","eqy_beta")</f>
        <v>1.1102023124694824</v>
      </c>
      <c r="AD21" s="15">
        <f>Tabelad[[#This Row],[D1 P&amp;L bps]]*$AD$5/10000</f>
        <v>0</v>
      </c>
      <c r="AE21" s="206"/>
      <c r="AF21" s="185" t="str">
        <f>_xll.BDP(B21&amp;" Equity","EXPECTED_REPORT_DT")</f>
        <v>17/04/2026</v>
      </c>
      <c r="AG21" s="139">
        <f>_xll.BDP(B21&amp;" Index","CHG_PCT_1D_PRE_FROM_REGULAR")/100</f>
        <v>1.3181979999999998E-3</v>
      </c>
      <c r="AH21" s="19">
        <f t="shared" si="10"/>
        <v>-2.0591066200665955E-3</v>
      </c>
      <c r="AI21" s="361" t="str">
        <f>_xll.BDP(B21&amp;" Equity","DVD_EX_DT")</f>
        <v>#N/A Field Not Applicable</v>
      </c>
    </row>
    <row r="22" spans="1:35" s="446" customFormat="1" ht="15.75" thickBot="1">
      <c r="A22" s="448"/>
      <c r="B22" s="447" t="s">
        <v>425</v>
      </c>
      <c r="C22" s="446" t="s">
        <v>796</v>
      </c>
      <c r="E22" s="446" t="s">
        <v>137</v>
      </c>
      <c r="F22" s="459" t="s">
        <v>47</v>
      </c>
      <c r="G22" s="475"/>
      <c r="H22" s="471">
        <v>38496</v>
      </c>
      <c r="I22" s="474" cm="1">
        <f t="array" ref="I22">_xll.BDP(B22&amp;" Equity","LAST_PRICE")</f>
        <v>133.97</v>
      </c>
      <c r="J22" s="469">
        <f t="shared" si="4"/>
        <v>2.4235474006116142E-2</v>
      </c>
      <c r="K22" s="473">
        <f>_xll.BDP(B22&amp;" equity","PX_YEST_CLOSE")</f>
        <v>130.80000000000001</v>
      </c>
      <c r="L22" s="468">
        <f>_xll.BDP(E22&amp;" Curncy","PX_LAST")</f>
        <v>1</v>
      </c>
      <c r="M22" s="472">
        <v>1</v>
      </c>
      <c r="N22" s="475">
        <f t="shared" si="5"/>
        <v>5157309.12</v>
      </c>
      <c r="O22" s="470">
        <f>IFERROR(IF(Tabelad[[#This Row],[D1 Exp USD]]&lt;&gt;0,N22/$AE$7,0),"-")</f>
        <v>2.043016125410651E-3</v>
      </c>
      <c r="P22" s="467">
        <f>IFERROR(IF(Tabelad[[#This Row],[D1 Exp USD]]&lt;&gt;0,((I22-K22)/L22*M22*H22)/$AD$7*10000,0),"-")</f>
        <v>0.48341875924100453</v>
      </c>
      <c r="Q22" s="47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274">
        <f>Q22/$AE$7</f>
        <v>0</v>
      </c>
      <c r="S22" s="467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464">
        <f t="shared" si="6"/>
        <v>5157309.12</v>
      </c>
      <c r="U22" s="466">
        <f t="shared" si="7"/>
        <v>2.043016125410651E-3</v>
      </c>
      <c r="V22" s="467">
        <f t="shared" si="8"/>
        <v>0.48341875924100453</v>
      </c>
      <c r="W22" s="475">
        <f t="shared" si="9"/>
        <v>2826.4094091960887</v>
      </c>
      <c r="X22" s="274"/>
      <c r="Y22" s="463">
        <f>Tabelad[[#This Row],[Exp %]]*$Y$10*$AD$7/Tabelad[[#This Row],[Price Today]]</f>
        <v>13473.599999999999</v>
      </c>
      <c r="Z22" s="465">
        <f>Tabelad[[#This Row],[Vol 10d]]/16*Tabelad[[#This Row],[Exp %]]*100</f>
        <v>0.52127265335873851</v>
      </c>
      <c r="AA22" s="274">
        <f>Tabelad[[#This Row],[Exp %]]*Tabelad[[#This Row],[Beta]]</f>
        <v>1.8442421173168503E-3</v>
      </c>
      <c r="AB22" s="474">
        <f>_xll.BDP($B22&amp;" Equity","volatility_10d")</f>
        <v>40.823772020220275</v>
      </c>
      <c r="AC22" s="474">
        <f>_xll.BDP(B22&amp;" EQUITY","eqy_beta")</f>
        <v>0.9027056097984314</v>
      </c>
      <c r="AD22" s="475">
        <f>Tabelad[[#This Row],[D1 P&amp;L bps]]*$AD$5/10000</f>
        <v>114597.33948287286</v>
      </c>
      <c r="AE22" s="462"/>
      <c r="AF22" s="461" t="str">
        <f>_xll.BDP(B22&amp;" Equity","EXPECTED_REPORT_DT")</f>
        <v>#N/A N/A</v>
      </c>
      <c r="AG22" s="460">
        <f>_xll.BDP(B22&amp;" Index","CHG_PCT_1D_PRE_FROM_REGULAR")/100</f>
        <v>6.6513389999999992E-3</v>
      </c>
      <c r="AH22" s="467">
        <f t="shared" si="10"/>
        <v>0.13588792832572752</v>
      </c>
      <c r="AI22" s="458" t="str">
        <f>_xll.BDP(B22&amp;" Equity","DVD_EX_DT")</f>
        <v>16/12/2025</v>
      </c>
    </row>
    <row r="23" spans="1:35">
      <c r="B23" s="408" t="s">
        <v>432</v>
      </c>
      <c r="C23" s="424" t="s">
        <v>796</v>
      </c>
      <c r="D23" s="424"/>
      <c r="E23" s="424" t="s">
        <v>770</v>
      </c>
      <c r="F23" s="425" t="s">
        <v>47</v>
      </c>
      <c r="G23" s="409"/>
      <c r="H23" s="426">
        <v>1563</v>
      </c>
      <c r="I23" s="410" cm="1">
        <f t="array" ref="I23">_xll.BDP(B23&amp;" Equity","LAST_PRICE")</f>
        <v>886000</v>
      </c>
      <c r="J23" s="411">
        <f t="shared" si="4"/>
        <v>-8.9485458612975632E-3</v>
      </c>
      <c r="K23" s="412">
        <f>_xll.BDP(B23&amp;" equity","PX_YEST_CLOSE")</f>
        <v>894000</v>
      </c>
      <c r="L23" s="413">
        <f>_xll.BDP(E23&amp;" Curncy","PX_LAST")</f>
        <v>1444.1</v>
      </c>
      <c r="M23" s="414">
        <v>1</v>
      </c>
      <c r="N23" s="409">
        <f t="shared" si="5"/>
        <v>958948.82625856937</v>
      </c>
      <c r="O23" s="415">
        <f>IFERROR(IF(Tabelad[[#This Row],[D1 Exp USD]]&lt;&gt;0,N23/$AE$7,0),"-")</f>
        <v>3.7987793050688301E-4</v>
      </c>
      <c r="P23" s="416">
        <f>IFERROR(IF(Tabelad[[#This Row],[D1 Exp USD]]&lt;&gt;0,((I23-K23)/L23*M23*H23)/$AD$7*10000,0),"-")</f>
        <v>-3.4300490339221938E-2</v>
      </c>
      <c r="Q23" s="409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417">
        <f t="shared" si="11"/>
        <v>0</v>
      </c>
      <c r="S23" s="418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427">
        <f t="shared" si="6"/>
        <v>958948.82625856937</v>
      </c>
      <c r="U23" s="406">
        <f t="shared" si="7"/>
        <v>3.7987793050688301E-4</v>
      </c>
      <c r="V23" s="403">
        <f t="shared" si="8"/>
        <v>-3.4300490339221938E-2</v>
      </c>
      <c r="W23" s="15">
        <f t="shared" si="9"/>
        <v>617.17194175288375</v>
      </c>
      <c r="X23" s="18"/>
      <c r="Y23" s="301">
        <f>Tabelad[[#This Row],[Exp %]]*$Y$10*$AD$7/Tabelad[[#This Row],[Price Today]]</f>
        <v>0.37881725642268543</v>
      </c>
      <c r="Z23" s="195">
        <f>Tabelad[[#This Row],[Vol 10d]]/16*Tabelad[[#This Row],[Exp %]]*100</f>
        <v>0.14720967832839024</v>
      </c>
      <c r="AA23" s="18">
        <f>Tabelad[[#This Row],[Exp %]]*Tabelad[[#This Row],[Beta]]</f>
        <v>6.413015649672487E-4</v>
      </c>
      <c r="AB23" s="35">
        <f>_xll.BDP($B23&amp;" Equity","volatility_10d")</f>
        <v>62.002940000000002</v>
      </c>
      <c r="AC23" s="35">
        <f>_xll.BDP(B23&amp;" EQUITY","eqy_beta")</f>
        <v>1.688178</v>
      </c>
      <c r="AD23" s="15">
        <f>Tabelad[[#This Row],[D1 P&amp;L bps]]*$AD$5/10000</f>
        <v>-8131.1386053870037</v>
      </c>
      <c r="AE23" s="206"/>
      <c r="AF23" s="185" t="str">
        <f>_xll.BDP(B23&amp;" Equity","EXPECTED_REPORT_DT")</f>
        <v>23/04/2026</v>
      </c>
      <c r="AG23" s="139" t="e">
        <f>_xll.BDP(B23&amp;" Index","CHG_PCT_1D_PRE_FROM_REGULAR")/100</f>
        <v>#VALUE!</v>
      </c>
      <c r="AH23" s="19" t="e">
        <f t="shared" si="10"/>
        <v>#VALUE!</v>
      </c>
      <c r="AI23" s="361" t="str">
        <f>_xll.BDP(B23&amp;" Equity","DVD_EX_DT")</f>
        <v>26/02/2026</v>
      </c>
    </row>
    <row r="24" spans="1:35">
      <c r="B24" s="419" t="s">
        <v>523</v>
      </c>
      <c r="C24" t="s">
        <v>796</v>
      </c>
      <c r="E24" t="s">
        <v>770</v>
      </c>
      <c r="F24" s="21" t="s">
        <v>47</v>
      </c>
      <c r="G24" s="420"/>
      <c r="H24" s="362">
        <v>1468</v>
      </c>
      <c r="I24" s="421" cm="1">
        <f t="array" ref="I24">_xll.BDP(B24&amp;" Equity","LAST_PRICE")</f>
        <v>562000</v>
      </c>
      <c r="J24" s="50">
        <f t="shared" si="4"/>
        <v>-1.2302284710017597E-2</v>
      </c>
      <c r="K24" s="355">
        <f>_xll.BDP(B24&amp;" equity","PX_YEST_CLOSE")</f>
        <v>569000</v>
      </c>
      <c r="L24" s="422">
        <f>_xll.BDP(E24&amp;" Curncy","PX_LAST")</f>
        <v>1444.1</v>
      </c>
      <c r="M24" s="51">
        <v>1</v>
      </c>
      <c r="N24" s="420">
        <f t="shared" si="5"/>
        <v>571301.15642961022</v>
      </c>
      <c r="O24" s="423">
        <f>IFERROR(IF(Tabelad[[#This Row],[D1 Exp USD]]&lt;&gt;0,N24/$AE$7,0),"-")</f>
        <v>2.2631520583576081E-4</v>
      </c>
      <c r="P24" s="19">
        <f>IFERROR(IF(Tabelad[[#This Row],[D1 Exp USD]]&lt;&gt;0,((I24-K24)/L24*M24*H24)/$AD$7*10000,0),"-")</f>
        <v>-2.8188726705521808E-2</v>
      </c>
      <c r="Q24" s="420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39">
        <f t="shared" si="11"/>
        <v>0</v>
      </c>
      <c r="S24" s="185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428">
        <f t="shared" si="6"/>
        <v>571301.15642961022</v>
      </c>
      <c r="U24" s="407">
        <f t="shared" si="7"/>
        <v>2.2631520583576081E-4</v>
      </c>
      <c r="V24" s="404">
        <f t="shared" si="8"/>
        <v>-2.8188726705521808E-2</v>
      </c>
      <c r="W24" s="15">
        <f t="shared" si="9"/>
        <v>972.97925336842525</v>
      </c>
      <c r="X24" s="18"/>
      <c r="Y24" s="301">
        <f>Tabelad[[#This Row],[Exp %]]*$Y$10*$AD$7/Tabelad[[#This Row],[Price Today]]</f>
        <v>0.35579253514299569</v>
      </c>
      <c r="Z24" s="195">
        <f>Tabelad[[#This Row],[Vol 10d]]/16*Tabelad[[#This Row],[Exp %]]*100</f>
        <v>0.10475297755285885</v>
      </c>
      <c r="AA24" s="18">
        <f>Tabelad[[#This Row],[Exp %]]*Tabelad[[#This Row],[Beta]]</f>
        <v>4.5097061595192214E-4</v>
      </c>
      <c r="AB24" s="35">
        <f>_xll.BDP($B24&amp;" Equity","volatility_10d")</f>
        <v>74.058109999999999</v>
      </c>
      <c r="AC24" s="35">
        <f>_xll.BDP(B24&amp;" EQUITY","eqy_beta")</f>
        <v>1.992666</v>
      </c>
      <c r="AD24" s="15">
        <f>Tabelad[[#This Row],[D1 P&amp;L bps]]*$AD$5/10000</f>
        <v>-6682.3080861289882</v>
      </c>
      <c r="AE24" s="206"/>
      <c r="AF24" s="185" t="str">
        <f>_xll.BDP(B24&amp;" Equity","EXPECTED_REPORT_DT")</f>
        <v>11/03/2026</v>
      </c>
      <c r="AG24" s="139" t="e">
        <f>_xll.BDP(B24&amp;" Index","CHG_PCT_1D_PRE_FROM_REGULAR")/100</f>
        <v>#VALUE!</v>
      </c>
      <c r="AH24" s="19" t="e">
        <f t="shared" si="10"/>
        <v>#VALUE!</v>
      </c>
      <c r="AI24" s="361" t="str">
        <f>_xll.BDP(B24&amp;" Equity","DVD_EX_DT")</f>
        <v>#N/A N/A</v>
      </c>
    </row>
    <row r="25" spans="1:35">
      <c r="B25" s="419" t="s">
        <v>956</v>
      </c>
      <c r="C25" t="s">
        <v>796</v>
      </c>
      <c r="E25" t="s">
        <v>770</v>
      </c>
      <c r="F25" s="21" t="s">
        <v>47</v>
      </c>
      <c r="G25" s="420"/>
      <c r="H25" s="362">
        <v>7080</v>
      </c>
      <c r="I25" s="421" cm="1">
        <f t="array" ref="I25">_xll.BDP(B25&amp;" Equity","LAST_PRICE")</f>
        <v>182400</v>
      </c>
      <c r="J25" s="50">
        <f t="shared" si="4"/>
        <v>1.3896609227348478E-2</v>
      </c>
      <c r="K25" s="355">
        <f>_xll.BDP(B25&amp;" equity","PX_YEST_CLOSE")</f>
        <v>179900</v>
      </c>
      <c r="L25" s="422">
        <f>_xll.BDP(E25&amp;" Curncy","PX_LAST")</f>
        <v>1444.1</v>
      </c>
      <c r="M25" s="51">
        <v>1</v>
      </c>
      <c r="N25" s="420">
        <f t="shared" si="5"/>
        <v>894253.86053597403</v>
      </c>
      <c r="O25" s="423">
        <f>IFERROR(IF(Tabelad[[#This Row],[D1 Exp USD]]&lt;&gt;0,N25/$AE$7,0),"-")</f>
        <v>3.5424967066657469E-4</v>
      </c>
      <c r="P25" s="19">
        <f>IFERROR(IF(Tabelad[[#This Row],[D1 Exp USD]]&lt;&gt;0,((I25-K25)/L25*M25*H25)/$AD$7*10000,0),"-")</f>
        <v>4.8553957054080964E-2</v>
      </c>
      <c r="Q25" s="420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39">
        <f>Q25/$AE$7</f>
        <v>0</v>
      </c>
      <c r="S25" s="185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428">
        <f t="shared" si="6"/>
        <v>894253.86053597403</v>
      </c>
      <c r="U25" s="407">
        <f t="shared" si="7"/>
        <v>3.5424967066657469E-4</v>
      </c>
      <c r="V25" s="404">
        <f t="shared" si="8"/>
        <v>4.8553957054080964E-2</v>
      </c>
      <c r="W25" s="15">
        <f t="shared" si="9"/>
        <v>2997.8856381198193</v>
      </c>
      <c r="X25" s="18"/>
      <c r="Y25" s="301">
        <f>Tabelad[[#This Row],[Exp %]]*$Y$10*$AD$7/Tabelad[[#This Row],[Price Today]]</f>
        <v>1.7159476490547747</v>
      </c>
      <c r="Z25" s="195">
        <f>Tabelad[[#This Row],[Vol 10d]]/16*Tabelad[[#This Row],[Exp %]]*100</f>
        <v>0.15392486941710246</v>
      </c>
      <c r="AA25" s="18">
        <f>Tabelad[[#This Row],[Exp %]]*Tabelad[[#This Row],[Beta]]</f>
        <v>4.0980948051457894E-4</v>
      </c>
      <c r="AB25" s="35">
        <f>_xll.BDP($B25&amp;" Equity","volatility_10d")</f>
        <v>69.521529999999998</v>
      </c>
      <c r="AC25" s="35">
        <f>_xll.BDP(B25&amp;" EQUITY","eqy_beta")</f>
        <v>1.156838</v>
      </c>
      <c r="AD25" s="15">
        <f>Tabelad[[#This Row],[D1 P&amp;L bps]]*$AD$5/10000</f>
        <v>11510.009062328054</v>
      </c>
      <c r="AE25" s="206"/>
      <c r="AF25" s="185" t="str">
        <f>_xll.BDP(B25&amp;" Equity","EXPECTED_REPORT_DT")</f>
        <v>07/04/2026</v>
      </c>
      <c r="AG25" s="139" t="e">
        <f>_xll.BDP(B25&amp;" Index","CHG_PCT_1D_PRE_FROM_REGULAR")/100</f>
        <v>#VALUE!</v>
      </c>
      <c r="AH25" s="19" t="e">
        <f t="shared" si="10"/>
        <v>#VALUE!</v>
      </c>
      <c r="AI25" s="361" t="str">
        <f>_xll.BDP(B25&amp;" Equity","DVD_EX_DT")</f>
        <v>29/12/2025</v>
      </c>
    </row>
    <row r="26" spans="1:35">
      <c r="B26" s="419" t="s">
        <v>1041</v>
      </c>
      <c r="C26" t="s">
        <v>796</v>
      </c>
      <c r="E26" t="s">
        <v>770</v>
      </c>
      <c r="F26" s="21" t="s">
        <v>47</v>
      </c>
      <c r="G26" s="420"/>
      <c r="H26" s="362">
        <v>4400</v>
      </c>
      <c r="I26" s="421" cm="1">
        <f t="array" ref="I26">_xll.BDP(B26&amp;" Equity","LAST_PRICE")</f>
        <v>127600</v>
      </c>
      <c r="J26" s="50">
        <f t="shared" si="4"/>
        <v>4.5045045045045029E-2</v>
      </c>
      <c r="K26" s="355">
        <f>_xll.BDP(B26&amp;" equity","PX_YEST_CLOSE")</f>
        <v>122100</v>
      </c>
      <c r="L26" s="422">
        <f>_xll.BDP(E26&amp;" Curncy","PX_LAST")</f>
        <v>1444.1</v>
      </c>
      <c r="M26" s="51">
        <v>1</v>
      </c>
      <c r="N26" s="420">
        <f t="shared" si="5"/>
        <v>388781.94030884287</v>
      </c>
      <c r="O26" s="423">
        <f>IFERROR(IF(Tabelad[[#This Row],[D1 Exp USD]]&lt;&gt;0,N26/$AE$7,0),"-")</f>
        <v>1.5401205451097861E-4</v>
      </c>
      <c r="P26" s="19">
        <f>IFERROR(IF(Tabelad[[#This Row],[D1 Exp USD]]&lt;&gt;0,((I26-K26)/L26*M26*H26)/$AD$7*10000,0),"-")</f>
        <v>6.6384506254732148E-2</v>
      </c>
      <c r="Q26" s="420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39">
        <f>Q26/$AE$7</f>
        <v>0</v>
      </c>
      <c r="S26" s="185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28">
        <f t="shared" si="6"/>
        <v>388781.94030884287</v>
      </c>
      <c r="U26" s="407">
        <f t="shared" si="7"/>
        <v>1.5401205451097861E-4</v>
      </c>
      <c r="V26" s="404">
        <f t="shared" si="8"/>
        <v>6.6384506254732148E-2</v>
      </c>
      <c r="W26" s="15">
        <f t="shared" si="9"/>
        <v>4285.3788432057609</v>
      </c>
      <c r="X26" s="18"/>
      <c r="Y26" s="301">
        <f>Tabelad[[#This Row],[Exp %]]*$Y$10*$AD$7/Tabelad[[#This Row],[Price Today]]</f>
        <v>1.0664081434803683</v>
      </c>
      <c r="Z26" s="195">
        <f>Tabelad[[#This Row],[Vol 10d]]/16*Tabelad[[#This Row],[Exp %]]*100</f>
        <v>6.7092203926343755E-2</v>
      </c>
      <c r="AA26" s="18">
        <f>Tabelad[[#This Row],[Exp %]]*Tabelad[[#This Row],[Beta]]</f>
        <v>1.7360870233901001E-4</v>
      </c>
      <c r="AB26" s="35">
        <f>_xll.BDP($B26&amp;" Equity","volatility_10d")</f>
        <v>69.700729999999993</v>
      </c>
      <c r="AC26" s="35">
        <f>_xll.BDP(B26&amp;" EQUITY","eqy_beta")</f>
        <v>1.1272409999999999</v>
      </c>
      <c r="AD26" s="15">
        <f>Tabelad[[#This Row],[D1 P&amp;L bps]]*$AD$5/10000</f>
        <v>15736.848548493719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si="10"/>
        <v>#VALUE!</v>
      </c>
      <c r="AI26" s="361" t="str">
        <f>_xll.BDP(B26&amp;" Equity","DVD_EX_DT")</f>
        <v>29/12/2025</v>
      </c>
    </row>
    <row r="27" spans="1:35" ht="15.75" thickBot="1">
      <c r="B27" s="429" t="s">
        <v>433</v>
      </c>
      <c r="C27" s="430" t="s">
        <v>545</v>
      </c>
      <c r="D27" s="430"/>
      <c r="E27" s="430" t="s">
        <v>1015</v>
      </c>
      <c r="F27" s="431" t="s">
        <v>47</v>
      </c>
      <c r="G27" s="432"/>
      <c r="H27" s="433">
        <v>17950</v>
      </c>
      <c r="I27" s="434" cm="1">
        <f t="array" ref="I27">_xll.BDP(B27&amp;" Equity","LAST_PRICE")</f>
        <v>1915</v>
      </c>
      <c r="J27" s="435">
        <f t="shared" si="4"/>
        <v>0</v>
      </c>
      <c r="K27" s="436">
        <f>_xll.BDP(B27&amp;" equity","PX_YEST_CLOSE")</f>
        <v>1915</v>
      </c>
      <c r="L27" s="437">
        <f>_xll.BDP(E27&amp;" Curncy","PX_LAST")</f>
        <v>31.510999999999999</v>
      </c>
      <c r="M27" s="438">
        <v>1</v>
      </c>
      <c r="N27" s="432">
        <f t="shared" si="5"/>
        <v>1090865.0947288249</v>
      </c>
      <c r="O27" s="439">
        <f>IFERROR(IF(Tabelad[[#This Row],[D1 Exp USD]]&lt;&gt;0,N27/$AE$7,0),"-")</f>
        <v>4.3213523318505416E-4</v>
      </c>
      <c r="P27" s="440">
        <f>IFERROR(IF(Tabelad[[#This Row],[D1 Exp USD]]&lt;&gt;0,((I27-K27)/L27*M27*H27)/$AD$7*10000,0),"-")</f>
        <v>0</v>
      </c>
      <c r="Q27" s="432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441">
        <f>Q27/$AE$7</f>
        <v>0</v>
      </c>
      <c r="S27" s="444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45">
        <f t="shared" si="6"/>
        <v>1090865.0947288249</v>
      </c>
      <c r="U27" s="442">
        <f t="shared" si="7"/>
        <v>4.3213523318505416E-4</v>
      </c>
      <c r="V27" s="443">
        <f t="shared" si="8"/>
        <v>0</v>
      </c>
      <c r="W27" s="15">
        <f t="shared" si="9"/>
        <v>6230.688435550418</v>
      </c>
      <c r="X27" s="18"/>
      <c r="Y27" s="301">
        <f>Tabelad[[#This Row],[Exp %]]*$Y$10*$AD$7/Tabelad[[#This Row],[Price Today]]</f>
        <v>199.37482149090795</v>
      </c>
      <c r="Z27" s="195">
        <f>Tabelad[[#This Row],[Vol 10d]]/16*Tabelad[[#This Row],[Exp %]]*100</f>
        <v>7.7532893284500207E-2</v>
      </c>
      <c r="AA27" s="18">
        <f>Tabelad[[#This Row],[Exp %]]*Tabelad[[#This Row],[Beta]]</f>
        <v>5.4778456069573794E-4</v>
      </c>
      <c r="AB27" s="35">
        <f>_xll.BDP($B27&amp;" Equity","volatility_10d")</f>
        <v>28.706900000000001</v>
      </c>
      <c r="AC27" s="35" cm="1">
        <f t="array" ref="AC27">_xll.BDP(B27&amp;" EQUITY","eqy_beta")</f>
        <v>1.2676229999999999</v>
      </c>
      <c r="AD27" s="15">
        <f>Tabelad[[#This Row],[D1 P&amp;L bps]]*$AD$5/10000</f>
        <v>0</v>
      </c>
      <c r="AE27" s="206"/>
      <c r="AF27" s="185" t="str">
        <f>_xll.BDP(B27&amp;" Equity","EXPECTED_REPORT_DT")</f>
        <v>17/04/2026</v>
      </c>
      <c r="AG27" s="139" t="e">
        <f>_xll.BDP(B27&amp;" Index","CHG_PCT_1D_PRE_FROM_REGULAR")/100</f>
        <v>#VALUE!</v>
      </c>
      <c r="AH27" s="19" t="e">
        <f t="shared" si="10"/>
        <v>#VALUE!</v>
      </c>
      <c r="AI27" s="361" t="str">
        <f>_xll.BDP(B27&amp;" Equity","DVD_EX_DT")</f>
        <v>17/03/2026</v>
      </c>
    </row>
    <row r="28" spans="1:35">
      <c r="B28" s="39" t="s">
        <v>44</v>
      </c>
      <c r="C28" t="s">
        <v>545</v>
      </c>
      <c r="E28" t="s">
        <v>137</v>
      </c>
      <c r="F28" s="21" t="s">
        <v>47</v>
      </c>
      <c r="G28" s="15"/>
      <c r="H28" s="362">
        <v>-5000</v>
      </c>
      <c r="I28" s="35" cm="1">
        <f t="array" ref="I28">_xll.BDP(B28&amp;" Equity","LAST_PRICE")</f>
        <v>366.36</v>
      </c>
      <c r="J28" s="50">
        <f t="shared" si="4"/>
        <v>-4.7269763651182073E-3</v>
      </c>
      <c r="K28" s="355">
        <f>_xll.BDP(B28&amp;" equity","PX_YEST_CLOSE")</f>
        <v>368.1</v>
      </c>
      <c r="L28" s="52">
        <f>_xll.BDP(E28&amp;" Curncy","PX_LAST")</f>
        <v>1</v>
      </c>
      <c r="M28" s="51">
        <v>1</v>
      </c>
      <c r="N28" s="15">
        <f t="shared" si="5"/>
        <v>-1831800</v>
      </c>
      <c r="O28" s="284">
        <f>IFERROR(IF(Tabelad[[#This Row],[D1 Exp USD]]&lt;&gt;0,N28/$AE$7,0),"-")</f>
        <v>-7.2564914211061102E-4</v>
      </c>
      <c r="P28" s="19">
        <f>IFERROR(IF(Tabelad[[#This Row],[D1 Exp USD]]&lt;&gt;0,((I28-K28)/L28*M28*H28)/$AD$7*10000,0),"-")</f>
        <v>3.4464174780884101E-2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14405927.450412512</v>
      </c>
      <c r="R28" s="18">
        <f>Q28/$AE$7</f>
        <v>5.7067632359971291E-3</v>
      </c>
      <c r="S28" s="19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-0.18677998171479104</v>
      </c>
      <c r="T28" s="13">
        <f t="shared" si="6"/>
        <v>12574127.450412512</v>
      </c>
      <c r="U28" s="47">
        <f t="shared" si="7"/>
        <v>4.9811140938865184E-3</v>
      </c>
      <c r="V28" s="19">
        <f t="shared" si="8"/>
        <v>-0.15231580693390695</v>
      </c>
      <c r="W28" s="15">
        <f t="shared" si="9"/>
        <v>1033.5573440058959</v>
      </c>
      <c r="X28" s="18"/>
      <c r="Y28" s="301">
        <f>Tabelad[[#This Row],[Exp %]]*$Y$10*$AD$7/Tabelad[[#This Row],[Price Today]]</f>
        <v>12012.623123824596</v>
      </c>
      <c r="Z28" s="195">
        <f>Tabelad[[#This Row],[Vol 10d]]/16*Tabelad[[#This Row],[Exp %]]*100</f>
        <v>1.356911104171995</v>
      </c>
      <c r="AA28" s="18">
        <f>Tabelad[[#This Row],[Exp %]]*Tabelad[[#This Row],[Beta]]</f>
        <v>7.236918415560057E-3</v>
      </c>
      <c r="AB28" s="35">
        <f>_xll.BDP($B28&amp;" Equity","volatility_10d")</f>
        <v>43.585786748787811</v>
      </c>
      <c r="AC28" s="35" cm="1">
        <f t="array" ref="AC28">_xll.BDP(B28&amp;" EQUITY","eqy_beta")</f>
        <v>1.4528714418411255</v>
      </c>
      <c r="AD28" s="15">
        <f>Tabelad[[#This Row],[D1 P&amp;L bps]]*$AD$5/10000</f>
        <v>8169.9409918700485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1" t="str">
        <f>_xll.BDP(B28&amp;" Equity","DVD_EX_DT")</f>
        <v>17/03/2026</v>
      </c>
    </row>
    <row r="29" spans="1:35" s="58" customFormat="1">
      <c r="A29" s="488"/>
      <c r="B29" s="349" t="s">
        <v>44</v>
      </c>
      <c r="C29" s="58" t="s">
        <v>545</v>
      </c>
      <c r="E29" s="58" t="s">
        <v>137</v>
      </c>
      <c r="F29" s="133" t="s">
        <v>47</v>
      </c>
      <c r="G29" s="330"/>
      <c r="H29" s="457">
        <v>1640</v>
      </c>
      <c r="I29" s="14" cm="1">
        <f t="array" ref="I29">_xll.BDP(B29&amp;" Equity","LAST_PRICE")</f>
        <v>366.36</v>
      </c>
      <c r="J29" s="456">
        <f t="shared" si="4"/>
        <v>-2.5320591358327649E-3</v>
      </c>
      <c r="K29" s="489">
        <v>367.29</v>
      </c>
      <c r="L29" s="8">
        <f>_xll.BDP(E29&amp;" Curncy","PX_LAST")</f>
        <v>1</v>
      </c>
      <c r="M29" s="455">
        <v>1</v>
      </c>
      <c r="N29" s="330">
        <f t="shared" si="5"/>
        <v>600830.4</v>
      </c>
      <c r="O29" s="494">
        <f>IFERROR(IF(Tabelad[[#This Row],[D1 Exp USD]]&lt;&gt;0,N29/$AE$7,0),"-")</f>
        <v>2.3801291861228044E-4</v>
      </c>
      <c r="P29" s="454">
        <f>IFERROR(IF(Tabelad[[#This Row],[D1 Exp USD]]&lt;&gt;0,((I29-K29)/L29*M29*H29)/$AD$7*10000,0),"-")</f>
        <v>-6.0419263650350044E-3</v>
      </c>
      <c r="Q29" s="330"/>
      <c r="R29" s="125"/>
      <c r="S29" s="454"/>
      <c r="T29" s="495">
        <f t="shared" si="6"/>
        <v>600830.4</v>
      </c>
      <c r="U29" s="496">
        <f t="shared" si="7"/>
        <v>2.3801291861228044E-4</v>
      </c>
      <c r="V29" s="454">
        <f t="shared" si="8"/>
        <v>-6.0419263650350044E-3</v>
      </c>
      <c r="W29" s="330">
        <f t="shared" si="9"/>
        <v>1033.5573440058959</v>
      </c>
      <c r="X29" s="125"/>
      <c r="Y29" s="453">
        <f>Tabelad[[#This Row],[Exp %]]*$Y$10*$AD$7/Tabelad[[#This Row],[Price Today]]</f>
        <v>574</v>
      </c>
      <c r="Z29" s="452">
        <f>Tabelad[[#This Row],[Vol 10d]]/16*Tabelad[[#This Row],[Exp %]]*100</f>
        <v>6.4837376963071527E-2</v>
      </c>
      <c r="AA29" s="125">
        <f>Tabelad[[#This Row],[Exp %]]*Tabelad[[#This Row],[Beta]]</f>
        <v>3.4580217224103831E-4</v>
      </c>
      <c r="AB29" s="14">
        <f>_xll.BDP($B29&amp;" Equity","volatility_10d")</f>
        <v>43.585786748787811</v>
      </c>
      <c r="AC29" s="14" cm="1">
        <f t="array" ref="AC29">_xll.BDP(B29&amp;" EQUITY","eqy_beta")</f>
        <v>1.4528714418411255</v>
      </c>
      <c r="AD29" s="330">
        <f>Tabelad[[#This Row],[D1 P&amp;L bps]]*$AD$5/10000</f>
        <v>-1432.2751725057728</v>
      </c>
      <c r="AE29" s="265"/>
      <c r="AF29" s="451" t="str">
        <f>_xll.BDP(B29&amp;" Equity","EXPECTED_REPORT_DT")</f>
        <v>17/04/2026</v>
      </c>
      <c r="AG29" s="450" t="e">
        <f>_xll.BDP(B29&amp;" Index","CHG_PCT_1D_PRE_FROM_REGULAR")/100</f>
        <v>#VALUE!</v>
      </c>
      <c r="AH29" s="454" t="e">
        <f t="shared" si="10"/>
        <v>#VALUE!</v>
      </c>
      <c r="AI29" s="449" t="str">
        <f>_xll.BDP(B29&amp;" Equity","DVD_EX_DT")</f>
        <v>17/03/2026</v>
      </c>
    </row>
    <row r="30" spans="1:35">
      <c r="B30" s="39" t="s">
        <v>84</v>
      </c>
      <c r="C30" t="s">
        <v>545</v>
      </c>
      <c r="E30" t="s">
        <v>137</v>
      </c>
      <c r="F30" s="21" t="s">
        <v>47</v>
      </c>
      <c r="G30" s="15"/>
      <c r="H30" s="362">
        <v>16400</v>
      </c>
      <c r="I30" s="35" cm="1">
        <f t="array" ref="I30">_xll.BDP(B30&amp;" Equity","LAST_PRICE")</f>
        <v>325.17</v>
      </c>
      <c r="J30" s="50">
        <f t="shared" si="4"/>
        <v>-1.8117583114412583E-2</v>
      </c>
      <c r="K30" s="355">
        <f>_xll.BDP(B30&amp;" equity","PX_YEST_CLOSE")</f>
        <v>331.17</v>
      </c>
      <c r="L30" s="52">
        <f>_xll.BDP(E30&amp;" Curncy","PX_LAST")</f>
        <v>1</v>
      </c>
      <c r="M30" s="51">
        <v>1</v>
      </c>
      <c r="N30" s="15">
        <f t="shared" si="5"/>
        <v>5332788</v>
      </c>
      <c r="O30" s="284">
        <f>IFERROR(IF(Tabelad[[#This Row],[D1 Exp USD]]&lt;&gt;0,N30/$AE$7,0),"-")</f>
        <v>2.1125303184069012E-3</v>
      </c>
      <c r="P30" s="19">
        <f>IFERROR(IF(Tabelad[[#This Row],[D1 Exp USD]]&lt;&gt;0,((I30-K30)/L30*M30*H30)/$AD$7*10000,0),"-")</f>
        <v>-0.38980170096999739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1884638.8440620899</v>
      </c>
      <c r="R30" s="18">
        <f>Q30/$AE$7</f>
        <v>7.4658071862757352E-4</v>
      </c>
      <c r="S30" s="19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-0.18159054850065734</v>
      </c>
      <c r="T30" s="13">
        <f t="shared" si="6"/>
        <v>7217426.8440620899</v>
      </c>
      <c r="U30" s="47">
        <f t="shared" si="7"/>
        <v>2.8591110370344746E-3</v>
      </c>
      <c r="V30" s="19">
        <f t="shared" si="8"/>
        <v>-0.5713922494706547</v>
      </c>
      <c r="W30" s="15">
        <f t="shared" si="9"/>
        <v>1164.4803289048805</v>
      </c>
      <c r="X30" s="18"/>
      <c r="Y30" s="301">
        <f>Tabelad[[#This Row],[Exp %]]*$Y$10*$AD$7/Tabelad[[#This Row],[Price Today]]</f>
        <v>7768.5499751567831</v>
      </c>
      <c r="Z30" s="195">
        <f>Tabelad[[#This Row],[Vol 10d]]/16*Tabelad[[#This Row],[Exp %]]*100</f>
        <v>1.0283099975803267</v>
      </c>
      <c r="AA30" s="18">
        <f>Tabelad[[#This Row],[Exp %]]*Tabelad[[#This Row],[Beta]]</f>
        <v>5.7954240652692383E-3</v>
      </c>
      <c r="AB30" s="35">
        <f>_xll.BDP($B30&amp;" Equity","volatility_10d")</f>
        <v>57.545718750225795</v>
      </c>
      <c r="AC30" s="35">
        <f>_xll.BDP(B30&amp;" EQUITY","eqy_beta")</f>
        <v>2.0270020961761475</v>
      </c>
      <c r="AD30" s="15">
        <f>Tabelad[[#This Row],[D1 P&amp;L bps]]*$AD$5/10000</f>
        <v>-92404.849839081435</v>
      </c>
      <c r="AE30" s="206"/>
      <c r="AF30" s="185" t="str">
        <f>_xll.BDP(B30&amp;" Equity","EXPECTED_REPORT_DT")</f>
        <v>04/03/2026</v>
      </c>
      <c r="AG30" s="139">
        <f>_xll.BDP(B30&amp;" Index","CHG_PCT_1D_PRE_FROM_REGULAR")/100</f>
        <v>-3.2612170000000003E-3</v>
      </c>
      <c r="AH30" s="19">
        <f t="shared" si="10"/>
        <v>-9.3241815188644592E-2</v>
      </c>
      <c r="AI30" s="361" t="str">
        <f>_xll.BDP(B30&amp;" Equity","DVD_EX_DT")</f>
        <v>22/12/2025</v>
      </c>
    </row>
    <row r="31" spans="1:35" s="58" customFormat="1">
      <c r="A31" s="488"/>
      <c r="B31" s="349" t="s">
        <v>84</v>
      </c>
      <c r="C31" s="58" t="s">
        <v>545</v>
      </c>
      <c r="E31" s="58" t="s">
        <v>137</v>
      </c>
      <c r="F31" s="133" t="s">
        <v>47</v>
      </c>
      <c r="G31" s="330"/>
      <c r="H31" s="457">
        <v>-3650</v>
      </c>
      <c r="I31" s="14" cm="1">
        <f t="array" ref="I31">_xll.BDP(B31&amp;" Equity","LAST_PRICE")</f>
        <v>325.17</v>
      </c>
      <c r="J31" s="456">
        <f t="shared" si="4"/>
        <v>-1.0829556170717569E-2</v>
      </c>
      <c r="K31" s="607">
        <v>328.73</v>
      </c>
      <c r="L31" s="8">
        <f>_xll.BDP(E31&amp;" Curncy","PX_LAST")</f>
        <v>1</v>
      </c>
      <c r="M31" s="455">
        <v>1</v>
      </c>
      <c r="N31" s="330">
        <f t="shared" si="5"/>
        <v>-1186870.5</v>
      </c>
      <c r="O31" s="494">
        <f>IFERROR(IF(Tabelad[[#This Row],[D1 Exp USD]]&lt;&gt;0,N31/$AE$7,0),"-")</f>
        <v>-4.7016680866982858E-4</v>
      </c>
      <c r="P31" s="454">
        <f>IFERROR(IF(Tabelad[[#This Row],[D1 Exp USD]]&lt;&gt;0,((I31-K31)/L31*M31*H31)/$AD$7*10000,0),"-")</f>
        <v>5.1474423804920219E-2</v>
      </c>
      <c r="Q31" s="330"/>
      <c r="R31" s="125"/>
      <c r="S31" s="454"/>
      <c r="T31" s="495">
        <f t="shared" si="6"/>
        <v>-1186870.5</v>
      </c>
      <c r="U31" s="496">
        <f t="shared" si="7"/>
        <v>-4.7016680866982858E-4</v>
      </c>
      <c r="V31" s="454">
        <f t="shared" si="8"/>
        <v>5.1474423804920219E-2</v>
      </c>
      <c r="W31" s="330">
        <f t="shared" si="9"/>
        <v>1164.4803289048805</v>
      </c>
      <c r="X31" s="125"/>
      <c r="Y31" s="453">
        <f>Tabelad[[#This Row],[Exp %]]*$Y$10*$AD$7/Tabelad[[#This Row],[Price Today]]</f>
        <v>-1277.5</v>
      </c>
      <c r="Z31" s="452">
        <f>Tabelad[[#This Row],[Vol 10d]]/16*Tabelad[[#This Row],[Exp %]]*100</f>
        <v>-0.16910054335878236</v>
      </c>
      <c r="AA31" s="125">
        <f>Tabelad[[#This Row],[Exp %]]*Tabelad[[#This Row],[Beta]]</f>
        <v>-9.5302910672619221E-4</v>
      </c>
      <c r="AB31" s="14">
        <f>_xll.BDP($B31&amp;" Equity","volatility_10d")</f>
        <v>57.545718750225795</v>
      </c>
      <c r="AC31" s="14">
        <f>_xll.BDP(B31&amp;" EQUITY","eqy_beta")</f>
        <v>2.0270020961761475</v>
      </c>
      <c r="AD31" s="330">
        <f>Tabelad[[#This Row],[D1 P&amp;L bps]]*$AD$5/10000</f>
        <v>12202.323361880335</v>
      </c>
      <c r="AE31" s="265"/>
      <c r="AF31" s="451" t="str">
        <f>_xll.BDP(B31&amp;" Equity","EXPECTED_REPORT_DT")</f>
        <v>04/03/2026</v>
      </c>
      <c r="AG31" s="450">
        <f>_xll.BDP(B31&amp;" Index","CHG_PCT_1D_PRE_FROM_REGULAR")/100</f>
        <v>-3.2612170000000003E-3</v>
      </c>
      <c r="AH31" s="454">
        <f t="shared" si="10"/>
        <v>1.5333159892697923E-2</v>
      </c>
      <c r="AI31" s="449" t="str">
        <f>_xll.BDP(B31&amp;" Equity","DVD_EX_DT")</f>
        <v>22/12/2025</v>
      </c>
    </row>
    <row r="32" spans="1:35">
      <c r="B32" s="39" t="s">
        <v>342</v>
      </c>
      <c r="C32" t="s">
        <v>545</v>
      </c>
      <c r="E32" t="s">
        <v>137</v>
      </c>
      <c r="F32" s="21" t="s">
        <v>47</v>
      </c>
      <c r="G32" s="15"/>
      <c r="H32" s="362">
        <v>-1000</v>
      </c>
      <c r="I32" s="35" cm="1">
        <f t="array" ref="I32">_xll.BDP(B32&amp;" Equity","LAST_PRICE")</f>
        <v>46.79</v>
      </c>
      <c r="J32" s="50">
        <f t="shared" si="4"/>
        <v>6.6695352839931665E-3</v>
      </c>
      <c r="K32" s="355">
        <f>_xll.BDP(B32&amp;" equity","PX_YEST_CLOSE")</f>
        <v>46.48</v>
      </c>
      <c r="L32" s="52">
        <f>_xll.BDP(E32&amp;" Curncy","PX_LAST")</f>
        <v>1</v>
      </c>
      <c r="M32" s="51">
        <v>1</v>
      </c>
      <c r="N32" s="15">
        <f t="shared" si="5"/>
        <v>-46790</v>
      </c>
      <c r="O32" s="284">
        <f>IFERROR(IF(Tabelad[[#This Row],[D1 Exp USD]]&lt;&gt;0,N32/$AE$7,0),"-")</f>
        <v>-1.8535387793075386E-5</v>
      </c>
      <c r="P32" s="19">
        <f>IFERROR(IF(Tabelad[[#This Row],[D1 Exp USD]]&lt;&gt;0,((I32-K32)/L32*M32*H32)/$AD$7*10000,0),"-")</f>
        <v>-1.2280338140315049E-3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741849.28742051125</v>
      </c>
      <c r="R32" s="18">
        <f>Q32/$AE$7</f>
        <v>2.9387613221534126E-4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2.7333655860700981E-2</v>
      </c>
      <c r="T32" s="13">
        <f t="shared" si="6"/>
        <v>695059.28742051125</v>
      </c>
      <c r="U32" s="47">
        <f t="shared" si="7"/>
        <v>2.7534074442226586E-4</v>
      </c>
      <c r="V32" s="19">
        <f t="shared" si="8"/>
        <v>2.6105622046669476E-2</v>
      </c>
      <c r="W32" s="15">
        <f t="shared" si="9"/>
        <v>8092.6280946783509</v>
      </c>
      <c r="X32" s="18"/>
      <c r="Y32" s="301">
        <f>Tabelad[[#This Row],[Exp %]]*$Y$10*$AD$7/Tabelad[[#This Row],[Price Today]]</f>
        <v>5199.2039024829855</v>
      </c>
      <c r="Z32" s="195">
        <f>Tabelad[[#This Row],[Vol 10d]]/16*Tabelad[[#This Row],[Exp %]]*100</f>
        <v>9.0747477724735098E-2</v>
      </c>
      <c r="AA32" s="18">
        <f>Tabelad[[#This Row],[Exp %]]*Tabelad[[#This Row],[Beta]]</f>
        <v>4.0423623480170996E-4</v>
      </c>
      <c r="AB32" s="35">
        <f>_xll.BDP($B32&amp;" Equity","volatility_10d")</f>
        <v>52.733192344719562</v>
      </c>
      <c r="AC32" s="35">
        <f>_xll.BDP(B32&amp;" EQUITY","eqy_beta")</f>
        <v>1.4681308269500732</v>
      </c>
      <c r="AD32" s="15">
        <f>Tabelad[[#This Row],[D1 P&amp;L bps]]*$AD$5/10000</f>
        <v>-291.11283994019772</v>
      </c>
      <c r="AE32" s="206"/>
      <c r="AF32" s="185" t="str">
        <f>_xll.BDP(B32&amp;" Equity","EXPECTED_REPORT_DT")</f>
        <v>24/04/2026</v>
      </c>
      <c r="AG32" s="139" t="e">
        <f>_xll.BDP(B32&amp;" Index","CHG_PCT_1D_PRE_FROM_REGULAR")/100</f>
        <v>#VALUE!</v>
      </c>
      <c r="AH32" s="19" t="e">
        <f t="shared" si="10"/>
        <v>#VALUE!</v>
      </c>
      <c r="AI32" s="361" t="str">
        <f>_xll.BDP(B32&amp;" Equity","DVD_EX_DT")</f>
        <v>03/09/2024</v>
      </c>
    </row>
    <row r="33" spans="1:35">
      <c r="B33" s="39" t="s">
        <v>42</v>
      </c>
      <c r="C33" t="s">
        <v>545</v>
      </c>
      <c r="E33" t="s">
        <v>137</v>
      </c>
      <c r="F33" s="21" t="s">
        <v>47</v>
      </c>
      <c r="G33" s="15"/>
      <c r="H33" s="362">
        <v>52700</v>
      </c>
      <c r="I33" s="35" cm="1">
        <f t="array" ref="I33">_xll.BDP(B33&amp;" Equity","LAST_PRICE")</f>
        <v>182.81</v>
      </c>
      <c r="J33" s="50">
        <f t="shared" si="4"/>
        <v>-2.2092650048143758E-2</v>
      </c>
      <c r="K33" s="355">
        <f>_xll.BDP(B33&amp;" equity","PX_YEST_CLOSE")</f>
        <v>186.94</v>
      </c>
      <c r="L33" s="52">
        <f>_xll.BDP(E33&amp;" Curncy","PX_LAST")</f>
        <v>1</v>
      </c>
      <c r="M33" s="51">
        <v>1</v>
      </c>
      <c r="N33" s="15">
        <f t="shared" si="5"/>
        <v>9634087</v>
      </c>
      <c r="O33" s="284">
        <f>IFERROR(IF(Tabelad[[#This Row],[D1 Exp USD]]&lt;&gt;0,N33/$AE$7,0),"-")</f>
        <v>3.8164466462326618E-3</v>
      </c>
      <c r="P33" s="19">
        <f>IFERROR(IF(Tabelad[[#This Row],[D1 Exp USD]]&lt;&gt;0,((I33-K33)/L33*M33*H33)/$AD$7*10000,0),"-")</f>
        <v>-0.86220254083151227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3599065.9705538303</v>
      </c>
      <c r="R33" s="18">
        <f>Q33/$AE$7</f>
        <v>1.4257337776678025E-3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-0.41614500698067303</v>
      </c>
      <c r="T33" s="13">
        <f t="shared" si="6"/>
        <v>13233152.97055383</v>
      </c>
      <c r="U33" s="47">
        <f t="shared" si="7"/>
        <v>5.2421804239004641E-3</v>
      </c>
      <c r="V33" s="19">
        <f t="shared" si="8"/>
        <v>-1.2783475478121853</v>
      </c>
      <c r="W33" s="15">
        <f t="shared" si="9"/>
        <v>2071.2984440129098</v>
      </c>
      <c r="X33" s="18"/>
      <c r="Y33" s="301">
        <f>Tabelad[[#This Row],[Exp %]]*$Y$10*$AD$7/Tabelad[[#This Row],[Price Today]]</f>
        <v>25335.613695606586</v>
      </c>
      <c r="Z33" s="195">
        <f>Tabelad[[#This Row],[Vol 10d]]/16*Tabelad[[#This Row],[Exp %]]*100</f>
        <v>1.8359793854985287</v>
      </c>
      <c r="AA33" s="18">
        <f>Tabelad[[#This Row],[Exp %]]*Tabelad[[#This Row],[Beta]]</f>
        <v>9.6708294146759331E-3</v>
      </c>
      <c r="AB33" s="35">
        <f>_xll.BDP($B33&amp;" Equity","volatility_10d")</f>
        <v>56.037121564998294</v>
      </c>
      <c r="AC33" s="35" cm="1">
        <f t="array" ref="AC33">_xll.BDP(B33&amp;" EQUITY","eqy_beta")</f>
        <v>1.8448104858398438</v>
      </c>
      <c r="AD33" s="15">
        <f>Tabelad[[#This Row],[D1 P&amp;L bps]]*$AD$5/10000</f>
        <v>-204390.32492201109</v>
      </c>
      <c r="AE33" s="206"/>
      <c r="AF33" s="185" t="str">
        <f>_xll.BDP(B33&amp;" Equity","EXPECTED_REPORT_DT")</f>
        <v>25/02/2026</v>
      </c>
      <c r="AG33" s="139">
        <f>_xll.BDP(B33&amp;" Index","CHG_PCT_1D_PRE_FROM_REGULAR")/100</f>
        <v>2.1932370000000002E-3</v>
      </c>
      <c r="AH33" s="19">
        <f t="shared" si="10"/>
        <v>0.11497344066374184</v>
      </c>
      <c r="AI33" s="361" t="str">
        <f>_xll.BDP(B33&amp;" Equity","DVD_EX_DT")</f>
        <v>04/12/2025</v>
      </c>
    </row>
    <row r="34" spans="1:35" s="58" customFormat="1">
      <c r="A34" s="488"/>
      <c r="B34" s="349" t="s">
        <v>42</v>
      </c>
      <c r="C34" s="58" t="s">
        <v>545</v>
      </c>
      <c r="E34" s="58" t="s">
        <v>137</v>
      </c>
      <c r="F34" s="133" t="s">
        <v>47</v>
      </c>
      <c r="G34" s="330"/>
      <c r="H34" s="457">
        <v>3270</v>
      </c>
      <c r="I34" s="14" cm="1">
        <f t="array" ref="I34">_xll.BDP(B34&amp;" Equity","LAST_PRICE")</f>
        <v>182.81</v>
      </c>
      <c r="J34" s="456">
        <f t="shared" si="4"/>
        <v>-3.3257005779085969E-3</v>
      </c>
      <c r="K34" s="489">
        <v>183.42</v>
      </c>
      <c r="L34" s="8">
        <f>_xll.BDP(E34&amp;" Curncy","PX_LAST")</f>
        <v>1</v>
      </c>
      <c r="M34" s="455">
        <v>1</v>
      </c>
      <c r="N34" s="330">
        <f t="shared" si="5"/>
        <v>597788.69999999995</v>
      </c>
      <c r="O34" s="494">
        <f>IFERROR(IF(Tabelad[[#This Row],[D1 Exp USD]]&lt;&gt;0,N34/$AE$7,0),"-")</f>
        <v>2.3680797975675149E-4</v>
      </c>
      <c r="P34" s="454">
        <f>IFERROR(IF(Tabelad[[#This Row],[D1 Exp USD]]&lt;&gt;0,((I34-K34)/L34*M34*H34)/$AD$7*10000,0),"-")</f>
        <v>-7.9018033833824688E-3</v>
      </c>
      <c r="Q34" s="330"/>
      <c r="R34" s="125"/>
      <c r="S34" s="454"/>
      <c r="T34" s="495">
        <f t="shared" si="6"/>
        <v>597788.69999999995</v>
      </c>
      <c r="U34" s="496">
        <f t="shared" si="7"/>
        <v>2.3680797975675149E-4</v>
      </c>
      <c r="V34" s="454">
        <f t="shared" si="8"/>
        <v>-7.9018033833824688E-3</v>
      </c>
      <c r="W34" s="330">
        <f t="shared" si="9"/>
        <v>2071.2984440129098</v>
      </c>
      <c r="X34" s="125"/>
      <c r="Y34" s="453">
        <f>Tabelad[[#This Row],[Exp %]]*$Y$10*$AD$7/Tabelad[[#This Row],[Price Today]]</f>
        <v>1144.4999999999998</v>
      </c>
      <c r="Z34" s="452">
        <f>Tabelad[[#This Row],[Vol 10d]]/16*Tabelad[[#This Row],[Exp %]]*100</f>
        <v>8.2937734682442116E-2</v>
      </c>
      <c r="AA34" s="125">
        <f>Tabelad[[#This Row],[Exp %]]*Tabelad[[#This Row],[Beta]]</f>
        <v>4.3686584418580458E-4</v>
      </c>
      <c r="AB34" s="14">
        <f>_xll.BDP($B34&amp;" Equity","volatility_10d")</f>
        <v>56.037121564998294</v>
      </c>
      <c r="AC34" s="14" cm="1">
        <f t="array" ref="AC34">_xll.BDP(B34&amp;" EQUITY","eqy_beta")</f>
        <v>1.8448104858398438</v>
      </c>
      <c r="AD34" s="330">
        <f>Tabelad[[#This Row],[D1 P&amp;L bps]]*$AD$5/10000</f>
        <v>-1873.1702639635291</v>
      </c>
      <c r="AE34" s="265"/>
      <c r="AF34" s="451" t="str">
        <f>_xll.BDP(B34&amp;" Equity","EXPECTED_REPORT_DT")</f>
        <v>25/02/2026</v>
      </c>
      <c r="AG34" s="450">
        <f>_xll.BDP(B34&amp;" Index","CHG_PCT_1D_PRE_FROM_REGULAR")/100</f>
        <v>2.1932370000000002E-3</v>
      </c>
      <c r="AH34" s="454">
        <f t="shared" si="10"/>
        <v>5.1937602309775838E-3</v>
      </c>
      <c r="AI34" s="449" t="str">
        <f>_xll.BDP(B34&amp;" Equity","DVD_EX_DT")</f>
        <v>04/12/2025</v>
      </c>
    </row>
    <row r="35" spans="1:35">
      <c r="B35" s="39" t="s">
        <v>85</v>
      </c>
      <c r="C35" t="s">
        <v>545</v>
      </c>
      <c r="E35" t="s">
        <v>137</v>
      </c>
      <c r="F35" s="21" t="s">
        <v>48</v>
      </c>
      <c r="G35" s="15"/>
      <c r="H35" s="362">
        <v>-5600</v>
      </c>
      <c r="I35" s="35" cm="1">
        <f t="array" ref="I35">_xll.BDP(B35&amp;" Equity","LAST_PRICE")</f>
        <v>78.61</v>
      </c>
      <c r="J35" s="50">
        <f t="shared" si="4"/>
        <v>4.85747155822569E-3</v>
      </c>
      <c r="K35" s="355">
        <f>_xll.BDP(B35&amp;" equity","PX_YEST_CLOSE")</f>
        <v>78.23</v>
      </c>
      <c r="L35" s="52">
        <f>_xll.BDP(E35&amp;" Curncy","PX_LAST")</f>
        <v>1</v>
      </c>
      <c r="M35" s="51">
        <v>1</v>
      </c>
      <c r="N35" s="15">
        <f t="shared" si="5"/>
        <v>-440216</v>
      </c>
      <c r="O35" s="284">
        <f>IFERROR(IF(Tabelad[[#This Row],[D1 Exp USD]]&lt;&gt;0,N35/$AE$7,0),"-")</f>
        <v>-1.7438713983151258E-4</v>
      </c>
      <c r="P35" s="19">
        <f>IFERROR(IF(Tabelad[[#This Row],[D1 Exp USD]]&lt;&gt;0,((I35-K35)/L35*M35*H35)/$AD$7*10000,0),"-")</f>
        <v>-8.4298579234161029E-3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-540004.09876741469</v>
      </c>
      <c r="R35" s="47">
        <f>Q35/$AE$7</f>
        <v>-2.1391719129096415E-4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-2.7630760815708623E-2</v>
      </c>
      <c r="T35" s="13">
        <f t="shared" si="6"/>
        <v>-980220.09876741469</v>
      </c>
      <c r="U35" s="47">
        <f t="shared" si="7"/>
        <v>-3.8830433112247673E-4</v>
      </c>
      <c r="V35" s="19">
        <f t="shared" si="8"/>
        <v>-3.6060618739124722E-2</v>
      </c>
      <c r="W35" s="15">
        <f t="shared" si="9"/>
        <v>4816.8689549675619</v>
      </c>
      <c r="X35" s="18"/>
      <c r="Y35" s="301">
        <f>Tabelad[[#This Row],[Exp %]]*$Y$10*$AD$7/Tabelad[[#This Row],[Price Today]]</f>
        <v>-4364.2925145477057</v>
      </c>
      <c r="Z35" s="195">
        <f>Tabelad[[#This Row],[Vol 10d]]/16*Tabelad[[#This Row],[Exp %]]*100</f>
        <v>-0.14313980726989153</v>
      </c>
      <c r="AA35" s="18">
        <f>Tabelad[[#This Row],[Exp %]]*Tabelad[[#This Row],[Beta]]</f>
        <v>-7.6913249406362232E-4</v>
      </c>
      <c r="AB35" s="35">
        <f>_xll.BDP($B35&amp;" Equity","volatility_10d")</f>
        <v>58.980462816313306</v>
      </c>
      <c r="AC35" s="35">
        <f>_xll.BDP(B35&amp;" EQUITY","eqy_beta")</f>
        <v>1.9807466268539429</v>
      </c>
      <c r="AD35" s="15">
        <f>Tabelad[[#This Row],[D1 P&amp;L bps]]*$AD$5/10000</f>
        <v>-1998.3487851378347</v>
      </c>
      <c r="AE35" s="206"/>
      <c r="AF35" s="185" t="str">
        <f>_xll.BDP(B35&amp;" Equity","EXPECTED_REPORT_DT")</f>
        <v>05/03/2026</v>
      </c>
      <c r="AG35" s="139">
        <f>_xll.BDP(B35&amp;" Index","CHG_PCT_1D_PRE_FROM_REGULAR")/100</f>
        <v>-3.5792710000000002E-3</v>
      </c>
      <c r="AH35" s="19">
        <f t="shared" si="10"/>
        <v>1.3898464315610787E-2</v>
      </c>
      <c r="AI35" s="361" t="str">
        <f>_xll.BDP(B35&amp;" Equity","DVD_EX_DT")</f>
        <v>09/01/2026</v>
      </c>
    </row>
    <row r="36" spans="1:35">
      <c r="B36" s="39" t="s">
        <v>728</v>
      </c>
      <c r="C36" t="s">
        <v>729</v>
      </c>
      <c r="E36" t="s">
        <v>137</v>
      </c>
      <c r="F36" s="21" t="s">
        <v>47</v>
      </c>
      <c r="G36" s="15"/>
      <c r="H36" s="362">
        <v>4000</v>
      </c>
      <c r="I36" s="35" cm="1">
        <f t="array" ref="I36">_xll.BDP(B36&amp;" Equity","LAST_PRICE")</f>
        <v>562.74</v>
      </c>
      <c r="J36" s="50">
        <f t="shared" si="4"/>
        <v>-3.5512288760154997E-2</v>
      </c>
      <c r="K36" s="355">
        <f>_xll.BDP(B36&amp;" equity","PX_YEST_CLOSE")</f>
        <v>583.46</v>
      </c>
      <c r="L36" s="52">
        <f>_xll.BDP(E36&amp;" Curncy","PX_LAST")</f>
        <v>1</v>
      </c>
      <c r="M36" s="51">
        <v>1</v>
      </c>
      <c r="N36" s="15">
        <f t="shared" si="5"/>
        <v>2250960</v>
      </c>
      <c r="O36" s="284">
        <f>IFERROR(IF(Tabelad[[#This Row],[D1 Exp USD]]&lt;&gt;0,N36/$AE$7,0),"-")</f>
        <v>8.9169515936526964E-4</v>
      </c>
      <c r="P36" s="19">
        <f>IFERROR(IF(Tabelad[[#This Row],[D1 Exp USD]]&lt;&gt;0,((I36-K36)/L36*M36*H36)/$AD$7*10000,0),"-")</f>
        <v>-0.32832078228042105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997668.87440979481</v>
      </c>
      <c r="R36" s="18">
        <f>Q36/$AE$7</f>
        <v>3.9521648805869995E-4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-0.11289988290289427</v>
      </c>
      <c r="T36" s="13">
        <f t="shared" si="6"/>
        <v>3248628.8744097948</v>
      </c>
      <c r="U36" s="47">
        <f t="shared" si="7"/>
        <v>1.2869116474239696E-3</v>
      </c>
      <c r="V36" s="19">
        <f t="shared" si="8"/>
        <v>-0.44122066518331532</v>
      </c>
      <c r="W36" s="15">
        <f t="shared" si="9"/>
        <v>672.87569490350791</v>
      </c>
      <c r="X36" s="18"/>
      <c r="Y36" s="301">
        <f>Tabelad[[#This Row],[Exp %]]*$Y$10*$AD$7/Tabelad[[#This Row],[Price Today]]</f>
        <v>2020.5069944262505</v>
      </c>
      <c r="Z36" s="195">
        <f>Tabelad[[#This Row],[Vol 10d]]/16*Tabelad[[#This Row],[Exp %]]*100</f>
        <v>0.62002107189768041</v>
      </c>
      <c r="AA36" s="18">
        <f>Tabelad[[#This Row],[Exp %]]*Tabelad[[#This Row],[Beta]]</f>
        <v>2.5957406283818071E-3</v>
      </c>
      <c r="AB36" s="35">
        <f>_xll.BDP($B36&amp;" Equity","volatility_10d")</f>
        <v>77.086388721561221</v>
      </c>
      <c r="AC36" s="35">
        <f>_xll.BDP(B36&amp;" EQUITY","eqy_beta")</f>
        <v>2.0170309543609619</v>
      </c>
      <c r="AD36" s="15">
        <f>Tabelad[[#This Row],[D1 P&amp;L bps]]*$AD$5/10000</f>
        <v>-77830.426368527245</v>
      </c>
      <c r="AE36" s="206"/>
      <c r="AF36" s="185" t="str">
        <f>_xll.BDP(B36&amp;" Equity","EXPECTED_REPORT_DT")</f>
        <v>06/05/2026</v>
      </c>
      <c r="AG36" s="139" t="e">
        <f>_xll.BDP(B36&amp;" Index","CHG_PCT_1D_PRE_FROM_REGULAR")/100</f>
        <v>#VALUE!</v>
      </c>
      <c r="AH36" s="19" t="e">
        <f t="shared" si="10"/>
        <v>#VALUE!</v>
      </c>
      <c r="AI36" s="361" t="str">
        <f>_xll.BDP(B36&amp;" Equity","DVD_EX_DT")</f>
        <v>#N/A N/A</v>
      </c>
    </row>
    <row r="37" spans="1:35" s="58" customFormat="1">
      <c r="A37" s="488"/>
      <c r="B37" s="349" t="s">
        <v>728</v>
      </c>
      <c r="C37" s="58" t="s">
        <v>729</v>
      </c>
      <c r="E37" s="58" t="s">
        <v>137</v>
      </c>
      <c r="F37" s="133" t="s">
        <v>47</v>
      </c>
      <c r="G37" s="330"/>
      <c r="H37" s="457">
        <v>445</v>
      </c>
      <c r="I37" s="14" cm="1">
        <f t="array" ref="I37">_xll.BDP(B37&amp;" Equity","LAST_PRICE")</f>
        <v>562.74</v>
      </c>
      <c r="J37" s="456">
        <f t="shared" si="4"/>
        <v>0</v>
      </c>
      <c r="K37" s="489">
        <f>+Tabelad[[#This Row],[Price Today]]</f>
        <v>562.74</v>
      </c>
      <c r="L37" s="8">
        <f>_xll.BDP(E37&amp;" Curncy","PX_LAST")</f>
        <v>1</v>
      </c>
      <c r="M37" s="455">
        <v>1</v>
      </c>
      <c r="N37" s="330">
        <f t="shared" si="5"/>
        <v>250419.30000000002</v>
      </c>
      <c r="O37" s="494">
        <f>IFERROR(IF(Tabelad[[#This Row],[D1 Exp USD]]&lt;&gt;0,N37/$AE$7,0),"-")</f>
        <v>9.9201086479386262E-5</v>
      </c>
      <c r="P37" s="454">
        <f>IFERROR(IF(Tabelad[[#This Row],[D1 Exp USD]]&lt;&gt;0,((I37-K37)/L37*M37*H37)/$AD$7*10000,0),"-")</f>
        <v>0</v>
      </c>
      <c r="Q37" s="330"/>
      <c r="R37" s="125"/>
      <c r="S37" s="454"/>
      <c r="T37" s="495">
        <f t="shared" si="6"/>
        <v>250419.30000000002</v>
      </c>
      <c r="U37" s="496">
        <f t="shared" si="7"/>
        <v>9.9201086479386262E-5</v>
      </c>
      <c r="V37" s="454">
        <f t="shared" si="8"/>
        <v>0</v>
      </c>
      <c r="W37" s="330">
        <f t="shared" si="9"/>
        <v>672.87569490350791</v>
      </c>
      <c r="X37" s="125"/>
      <c r="Y37" s="453">
        <f>Tabelad[[#This Row],[Exp %]]*$Y$10*$AD$7/Tabelad[[#This Row],[Price Today]]</f>
        <v>155.75</v>
      </c>
      <c r="Z37" s="452">
        <f>Tabelad[[#This Row],[Vol 10d]]/16*Tabelad[[#This Row],[Exp %]]*100</f>
        <v>4.7794084462194873E-2</v>
      </c>
      <c r="AA37" s="125">
        <f>Tabelad[[#This Row],[Exp %]]*Tabelad[[#This Row],[Beta]]</f>
        <v>2.0009166213516078E-4</v>
      </c>
      <c r="AB37" s="14">
        <f>_xll.BDP($B37&amp;" Equity","volatility_10d")</f>
        <v>77.086388721561221</v>
      </c>
      <c r="AC37" s="14">
        <f>_xll.BDP(B37&amp;" EQUITY","eqy_beta")</f>
        <v>2.0170309543609619</v>
      </c>
      <c r="AD37" s="330">
        <f>Tabelad[[#This Row],[D1 P&amp;L bps]]*$AD$5/10000</f>
        <v>0</v>
      </c>
      <c r="AE37" s="265"/>
      <c r="AF37" s="451" t="str">
        <f>_xll.BDP(B37&amp;" Equity","EXPECTED_REPORT_DT")</f>
        <v>06/05/2026</v>
      </c>
      <c r="AG37" s="450" t="e">
        <f>_xll.BDP(B37&amp;" Index","CHG_PCT_1D_PRE_FROM_REGULAR")/100</f>
        <v>#VALUE!</v>
      </c>
      <c r="AH37" s="454" t="e">
        <f t="shared" si="10"/>
        <v>#VALUE!</v>
      </c>
      <c r="AI37" s="449" t="str">
        <f>_xll.BDP(B37&amp;" Equity","DVD_EX_DT")</f>
        <v>#N/A N/A</v>
      </c>
    </row>
    <row r="38" spans="1:35" s="58" customFormat="1">
      <c r="A38" s="488"/>
      <c r="B38" s="349" t="s">
        <v>1052</v>
      </c>
      <c r="C38" s="58" t="s">
        <v>729</v>
      </c>
      <c r="E38" s="58" t="s">
        <v>137</v>
      </c>
      <c r="F38" s="133" t="s">
        <v>47</v>
      </c>
      <c r="G38" s="330"/>
      <c r="H38" s="457">
        <v>2880</v>
      </c>
      <c r="I38" s="14" cm="1">
        <f t="array" ref="I38">_xll.BDP(B38&amp;" Equity","LAST_PRICE")</f>
        <v>217.23</v>
      </c>
      <c r="J38" s="456">
        <f t="shared" si="4"/>
        <v>-4.9926713081714924E-3</v>
      </c>
      <c r="K38" s="489">
        <v>218.32</v>
      </c>
      <c r="L38" s="8">
        <f>_xll.BDP(E38&amp;" Curncy","PX_LAST")</f>
        <v>1</v>
      </c>
      <c r="M38" s="455">
        <v>1</v>
      </c>
      <c r="N38" s="330">
        <f t="shared" si="5"/>
        <v>625622.4</v>
      </c>
      <c r="O38" s="494">
        <f>IFERROR(IF(Tabelad[[#This Row],[D1 Exp USD]]&lt;&gt;0,N38/$AE$7,0),"-")</f>
        <v>2.4783402000501229E-4</v>
      </c>
      <c r="P38" s="454">
        <f>IFERROR(IF(Tabelad[[#This Row],[D1 Exp USD]]&lt;&gt;0,((I38-K38)/L38*M38*H38)/$AD$7*10000,0),"-")</f>
        <v>-1.2435624996798981E-2</v>
      </c>
      <c r="Q38" s="330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25">
        <f>Q38/$AE$7</f>
        <v>0</v>
      </c>
      <c r="S38" s="454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495">
        <f t="shared" si="6"/>
        <v>625622.4</v>
      </c>
      <c r="U38" s="496">
        <f t="shared" si="7"/>
        <v>2.4783402000501229E-4</v>
      </c>
      <c r="V38" s="454">
        <f t="shared" si="8"/>
        <v>-1.2435624996798981E-2</v>
      </c>
      <c r="W38" s="330">
        <f t="shared" si="9"/>
        <v>1743.1020970860379</v>
      </c>
      <c r="X38" s="125"/>
      <c r="Y38" s="453">
        <f>Tabelad[[#This Row],[Exp %]]*$Y$10*$AD$7/Tabelad[[#This Row],[Price Today]]</f>
        <v>1008</v>
      </c>
      <c r="Z38" s="452">
        <f>Tabelad[[#This Row],[Vol 10d]]/16*Tabelad[[#This Row],[Exp %]]*100</f>
        <v>0.13683576949876444</v>
      </c>
      <c r="AA38" s="125">
        <f>Tabelad[[#This Row],[Exp %]]*Tabelad[[#This Row],[Beta]]</f>
        <v>5.3887577998845367E-4</v>
      </c>
      <c r="AB38" s="14">
        <f>_xll.BDP($B38&amp;" Equity","volatility_10d")</f>
        <v>88.340265470251111</v>
      </c>
      <c r="AC38" s="14">
        <f>_xll.BDP(B38&amp;" EQUITY","eqy_beta")</f>
        <v>2.1743414402008057</v>
      </c>
      <c r="AD38" s="330">
        <f>Tabelad[[#This Row],[D1 P&amp;L bps]]*$AD$5/10000</f>
        <v>-2947.9400875492415</v>
      </c>
      <c r="AE38" s="265"/>
      <c r="AF38" s="451" t="str">
        <f>_xll.BDP(B38&amp;" Equity","EXPECTED_REPORT_DT")</f>
        <v>07/05/2026</v>
      </c>
      <c r="AG38" s="450">
        <f>_xll.BDP(B38&amp;" Index","CHG_PCT_1D_PRE_FROM_REGULAR")/100</f>
        <v>2.1888000000000001E-2</v>
      </c>
      <c r="AH38" s="454">
        <f t="shared" si="10"/>
        <v>5.4245910298697096E-2</v>
      </c>
      <c r="AI38" s="449" t="str">
        <f>_xll.BDP(B38&amp;" Equity","DVD_EX_DT")</f>
        <v>27/02/2004</v>
      </c>
    </row>
    <row r="39" spans="1:35">
      <c r="B39" s="39" t="s">
        <v>1079</v>
      </c>
      <c r="C39" t="s">
        <v>729</v>
      </c>
      <c r="E39" t="s">
        <v>137</v>
      </c>
      <c r="F39" s="21" t="s">
        <v>47</v>
      </c>
      <c r="G39" s="15"/>
      <c r="H39" s="362">
        <v>8000</v>
      </c>
      <c r="I39" s="35" cm="1">
        <f t="array" ref="I39">_xll.BDP(B39&amp;" Equity","LAST_PRICE")</f>
        <v>111.76</v>
      </c>
      <c r="J39" s="50">
        <f t="shared" si="4"/>
        <v>6.8349106203995813E-2</v>
      </c>
      <c r="K39" s="355">
        <f>_xll.BDP(B39&amp;" equity","PX_YEST_CLOSE")</f>
        <v>104.61</v>
      </c>
      <c r="L39" s="52">
        <f>_xll.BDP(E39&amp;" Curncy","PX_LAST")</f>
        <v>1</v>
      </c>
      <c r="M39" s="51">
        <v>1</v>
      </c>
      <c r="N39" s="15">
        <f t="shared" si="5"/>
        <v>894080</v>
      </c>
      <c r="O39" s="284">
        <f>IFERROR(IF(Tabelad[[#This Row],[D1 Exp USD]]&lt;&gt;0,N39/$AE$7,0),"-")</f>
        <v>3.5418079756428382E-4</v>
      </c>
      <c r="P39" s="19">
        <f>IFERROR(IF(Tabelad[[#This Row],[D1 Exp USD]]&lt;&gt;0,((I39-K39)/L39*M39*H39)/$AD$7*10000,0),"-")</f>
        <v>0.22659204568581168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>Q39/$AE$7</f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6"/>
        <v>894080</v>
      </c>
      <c r="U39" s="47">
        <f t="shared" si="7"/>
        <v>3.5418079756428382E-4</v>
      </c>
      <c r="V39" s="19">
        <f t="shared" si="8"/>
        <v>0.22659204568581168</v>
      </c>
      <c r="W39" s="15">
        <f t="shared" si="9"/>
        <v>3388.1001122942021</v>
      </c>
      <c r="X39" s="18"/>
      <c r="Y39" s="301">
        <f>Tabelad[[#This Row],[Exp %]]*$Y$10*$AD$7/Tabelad[[#This Row],[Price Today]]</f>
        <v>2799.9999999999995</v>
      </c>
      <c r="Z39" s="195">
        <f>Tabelad[[#This Row],[Vol 10d]]/16*Tabelad[[#This Row],[Exp %]]*100</f>
        <v>0.15965251873455941</v>
      </c>
      <c r="AA39" s="18">
        <f>Tabelad[[#This Row],[Exp %]]*Tabelad[[#This Row],[Beta]]</f>
        <v>2.5750337229530062E-4</v>
      </c>
      <c r="AB39" s="35">
        <f>_xll.BDP($B39&amp;" Equity","volatility_10d")</f>
        <v>72.122495553681716</v>
      </c>
      <c r="AC39" s="35">
        <f>_xll.BDP(B39&amp;" EQUITY","eqy_beta")</f>
        <v>0.72703933715820313</v>
      </c>
      <c r="AD39" s="15">
        <f>Tabelad[[#This Row],[D1 P&amp;L bps]]*$AD$5/10000</f>
        <v>53715.014337352266</v>
      </c>
      <c r="AE39" s="206"/>
      <c r="AF39" s="185" t="str">
        <f>_xll.BDP(B39&amp;" Equity","EXPECTED_REPORT_DT")</f>
        <v>19/02/2026</v>
      </c>
      <c r="AG39" s="139">
        <f>_xll.BDP(B39&amp;" Index","CHG_PCT_1D_PRE_FROM_REGULAR")/100</f>
        <v>-1.0515310000000001E-3</v>
      </c>
      <c r="AH39" s="19">
        <f t="shared" si="10"/>
        <v>-3.7243208824356893E-3</v>
      </c>
      <c r="AI39" s="361" t="str">
        <f>_xll.BDP(B39&amp;" Equity","DVD_EX_DT")</f>
        <v>#N/A Field Not Applicable</v>
      </c>
    </row>
    <row r="40" spans="1:35" s="58" customFormat="1">
      <c r="A40" s="488"/>
      <c r="B40" s="349" t="s">
        <v>1079</v>
      </c>
      <c r="C40" s="58" t="s">
        <v>729</v>
      </c>
      <c r="E40" s="58" t="s">
        <v>137</v>
      </c>
      <c r="F40" s="133" t="s">
        <v>47</v>
      </c>
      <c r="G40" s="330"/>
      <c r="H40" s="457">
        <v>7760</v>
      </c>
      <c r="I40" s="14" cm="1">
        <f t="array" ref="I40">_xll.BDP(B40&amp;" Equity","LAST_PRICE")</f>
        <v>111.76</v>
      </c>
      <c r="J40" s="456">
        <f t="shared" si="4"/>
        <v>0</v>
      </c>
      <c r="K40" s="489">
        <f>+Tabelad[[#This Row],[Price Today]]</f>
        <v>111.76</v>
      </c>
      <c r="L40" s="8">
        <f>_xll.BDP(E40&amp;" Curncy","PX_LAST")</f>
        <v>1</v>
      </c>
      <c r="M40" s="455">
        <v>1</v>
      </c>
      <c r="N40" s="330">
        <f t="shared" si="5"/>
        <v>867257.60000000009</v>
      </c>
      <c r="O40" s="494">
        <f>IFERROR(IF(Tabelad[[#This Row],[D1 Exp USD]]&lt;&gt;0,N40/$AE$7,0),"-")</f>
        <v>3.4355537363735532E-4</v>
      </c>
      <c r="P40" s="454">
        <f>IFERROR(IF(Tabelad[[#This Row],[D1 Exp USD]]&lt;&gt;0,((I40-K40)/L40*M40*H40)/$AD$7*10000,0),"-")</f>
        <v>0</v>
      </c>
      <c r="Q40" s="330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25">
        <f>Q40/$AE$7</f>
        <v>0</v>
      </c>
      <c r="S40" s="454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495">
        <f t="shared" si="6"/>
        <v>867257.60000000009</v>
      </c>
      <c r="U40" s="496">
        <f t="shared" si="7"/>
        <v>3.4355537363735532E-4</v>
      </c>
      <c r="V40" s="454">
        <f t="shared" si="8"/>
        <v>0</v>
      </c>
      <c r="W40" s="330">
        <f t="shared" si="9"/>
        <v>3388.1001122942021</v>
      </c>
      <c r="X40" s="125"/>
      <c r="Y40" s="453">
        <f>Tabelad[[#This Row],[Exp %]]*$Y$10*$AD$7/Tabelad[[#This Row],[Price Today]]</f>
        <v>2715.9999999999995</v>
      </c>
      <c r="Z40" s="452">
        <f>Tabelad[[#This Row],[Vol 10d]]/16*Tabelad[[#This Row],[Exp %]]*100</f>
        <v>0.15486294317252264</v>
      </c>
      <c r="AA40" s="125">
        <f>Tabelad[[#This Row],[Exp %]]*Tabelad[[#This Row],[Beta]]</f>
        <v>2.4977827112644164E-4</v>
      </c>
      <c r="AB40" s="14">
        <f>_xll.BDP($B40&amp;" Equity","volatility_10d")</f>
        <v>72.122495553681716</v>
      </c>
      <c r="AC40" s="14">
        <f>_xll.BDP(B40&amp;" EQUITY","eqy_beta")</f>
        <v>0.72703933715820313</v>
      </c>
      <c r="AD40" s="330">
        <f>Tabelad[[#This Row],[D1 P&amp;L bps]]*$AD$5/10000</f>
        <v>0</v>
      </c>
      <c r="AE40" s="265"/>
      <c r="AF40" s="451" t="str">
        <f>_xll.BDP(B40&amp;" Equity","EXPECTED_REPORT_DT")</f>
        <v>19/02/2026</v>
      </c>
      <c r="AG40" s="450">
        <f>_xll.BDP(B40&amp;" Index","CHG_PCT_1D_PRE_FROM_REGULAR")/100</f>
        <v>-1.0515310000000001E-3</v>
      </c>
      <c r="AH40" s="454">
        <f t="shared" si="10"/>
        <v>-3.6125912559626197E-3</v>
      </c>
      <c r="AI40" s="449" t="str">
        <f>_xll.BDP(B40&amp;" Equity","DVD_EX_DT")</f>
        <v>#N/A Field Not Applicable</v>
      </c>
    </row>
    <row r="41" spans="1:35">
      <c r="B41" s="39" t="s">
        <v>892</v>
      </c>
      <c r="C41" t="s">
        <v>729</v>
      </c>
      <c r="E41" t="s">
        <v>137</v>
      </c>
      <c r="F41" s="21" t="s">
        <v>47</v>
      </c>
      <c r="G41" s="15"/>
      <c r="H41" s="362">
        <v>30560</v>
      </c>
      <c r="I41" s="35" cm="1">
        <f t="array" ref="I41">_xll.BDP(B41&amp;" Equity","LAST_PRICE")</f>
        <v>76.849999999999994</v>
      </c>
      <c r="J41" s="50">
        <f t="shared" si="4"/>
        <v>2.4666666666666615E-2</v>
      </c>
      <c r="K41" s="355">
        <f>_xll.BDP(B41&amp;" equity","PX_YEST_CLOSE")</f>
        <v>75</v>
      </c>
      <c r="L41" s="52">
        <f>_xll.BDP(E41&amp;" Curncy","PX_LAST")</f>
        <v>1</v>
      </c>
      <c r="M41" s="51">
        <v>1</v>
      </c>
      <c r="N41" s="15">
        <f t="shared" si="5"/>
        <v>2348536</v>
      </c>
      <c r="O41" s="284">
        <f>IFERROR(IF(Tabelad[[#This Row],[D1 Exp USD]]&lt;&gt;0,N41/$AE$7,0),"-")</f>
        <v>9.3034891015170108E-4</v>
      </c>
      <c r="P41" s="19">
        <f>IFERROR(IF(Tabelad[[#This Row],[D1 Exp USD]]&lt;&gt;0,((I41-K41)/L41*M41*H41)/$AD$7*10000,0),"-")</f>
        <v>0.22396167648414333</v>
      </c>
      <c r="Q41" s="15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-189703.20205204183</v>
      </c>
      <c r="R41" s="18">
        <f>Q41/$AE$7</f>
        <v>-7.5149015080631102E-5</v>
      </c>
      <c r="S41" s="19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7.5610319227877205E-4</v>
      </c>
      <c r="T41" s="13">
        <f t="shared" si="6"/>
        <v>2158832.7979479581</v>
      </c>
      <c r="U41" s="47">
        <f t="shared" si="7"/>
        <v>8.5519989507106995E-4</v>
      </c>
      <c r="V41" s="19">
        <f t="shared" si="8"/>
        <v>0.22471777967642212</v>
      </c>
      <c r="W41" s="15">
        <f t="shared" si="9"/>
        <v>4927.1837156798965</v>
      </c>
      <c r="X41" s="18"/>
      <c r="Y41" s="301">
        <f>Tabelad[[#This Row],[Exp %]]*$Y$10*$AD$7/Tabelad[[#This Row],[Price Today]]</f>
        <v>9832.0296588391066</v>
      </c>
      <c r="Z41" s="195">
        <f>Tabelad[[#This Row],[Vol 10d]]/16*Tabelad[[#This Row],[Exp %]]*100</f>
        <v>0.44022202975457059</v>
      </c>
      <c r="AA41" s="18">
        <f>Tabelad[[#This Row],[Exp %]]*Tabelad[[#This Row],[Beta]]</f>
        <v>7.9103493593139763E-4</v>
      </c>
      <c r="AB41" s="35">
        <f>_xll.BDP($B41&amp;" Equity","volatility_10d")</f>
        <v>82.36147497992603</v>
      </c>
      <c r="AC41" s="35">
        <f>_xll.BDP(B41&amp;" EQUITY","eqy_beta")</f>
        <v>0.92497080564498901</v>
      </c>
      <c r="AD41" s="15">
        <f>Tabelad[[#This Row],[D1 P&amp;L bps]]*$AD$5/10000</f>
        <v>53091.469415673695</v>
      </c>
      <c r="AE41" s="206"/>
      <c r="AF41" s="185" t="str">
        <f>_xll.BDP(B41&amp;" Equity","EXPECTED_REPORT_DT")</f>
        <v>14/05/2026</v>
      </c>
      <c r="AG41" s="139">
        <f>_xll.BDP(B41&amp;" Index","CHG_PCT_1D_PRE_FROM_REGULAR")/100</f>
        <v>-1.0133360000000001E-2</v>
      </c>
      <c r="AH41" s="19">
        <f t="shared" si="10"/>
        <v>-8.6660484087173778E-2</v>
      </c>
      <c r="AI41" s="361" t="str">
        <f>_xll.BDP(B41&amp;" Equity","DVD_EX_DT")</f>
        <v>02/04/2026</v>
      </c>
    </row>
    <row r="42" spans="1:35" s="58" customFormat="1">
      <c r="A42" s="488"/>
      <c r="B42" s="349" t="s">
        <v>892</v>
      </c>
      <c r="C42" s="58" t="s">
        <v>729</v>
      </c>
      <c r="E42" s="58" t="s">
        <v>137</v>
      </c>
      <c r="F42" s="133" t="s">
        <v>47</v>
      </c>
      <c r="G42" s="330"/>
      <c r="H42" s="457">
        <v>4550</v>
      </c>
      <c r="I42" s="14" cm="1">
        <f t="array" ref="I42">_xll.BDP(B42&amp;" Equity","LAST_PRICE")</f>
        <v>76.849999999999994</v>
      </c>
      <c r="J42" s="456">
        <f t="shared" si="4"/>
        <v>-6.5019505851771076E-4</v>
      </c>
      <c r="K42" s="489">
        <v>76.900000000000006</v>
      </c>
      <c r="L42" s="8">
        <f>_xll.BDP(E42&amp;" Curncy","PX_LAST")</f>
        <v>1</v>
      </c>
      <c r="M42" s="455">
        <v>1</v>
      </c>
      <c r="N42" s="330">
        <f t="shared" si="5"/>
        <v>349667.5</v>
      </c>
      <c r="O42" s="494">
        <f>IFERROR(IF(Tabelad[[#This Row],[D1 Exp USD]]&lt;&gt;0,N42/$AE$7,0),"-")</f>
        <v>1.385172624735026E-4</v>
      </c>
      <c r="P42" s="454">
        <f>IFERROR(IF(Tabelad[[#This Row],[D1 Exp USD]]&lt;&gt;0,((I42-K42)/L42*M42*H42)/$AD$7*10000,0),"-")</f>
        <v>-9.0121836352331883E-4</v>
      </c>
      <c r="Q42" s="330"/>
      <c r="R42" s="125"/>
      <c r="S42" s="454"/>
      <c r="T42" s="495">
        <f t="shared" si="6"/>
        <v>349667.5</v>
      </c>
      <c r="U42" s="496">
        <f t="shared" si="7"/>
        <v>1.385172624735026E-4</v>
      </c>
      <c r="V42" s="454">
        <f t="shared" si="8"/>
        <v>-9.0121836352331883E-4</v>
      </c>
      <c r="W42" s="330">
        <f t="shared" si="9"/>
        <v>4927.1837156798965</v>
      </c>
      <c r="X42" s="125"/>
      <c r="Y42" s="453">
        <f>Tabelad[[#This Row],[Exp %]]*$Y$10*$AD$7/Tabelad[[#This Row],[Price Today]]</f>
        <v>1592.4999999999998</v>
      </c>
      <c r="Z42" s="452">
        <f>Tabelad[[#This Row],[Vol 10d]]/16*Tabelad[[#This Row],[Exp %]]*100</f>
        <v>7.1303037796870194E-2</v>
      </c>
      <c r="AA42" s="125">
        <f>Tabelad[[#This Row],[Exp %]]*Tabelad[[#This Row],[Beta]]</f>
        <v>1.2812442386585411E-4</v>
      </c>
      <c r="AB42" s="14">
        <f>_xll.BDP($B42&amp;" Equity","volatility_10d")</f>
        <v>82.36147497992603</v>
      </c>
      <c r="AC42" s="14">
        <f>_xll.BDP(B42&amp;" EQUITY","eqy_beta")</f>
        <v>0.92497080564498901</v>
      </c>
      <c r="AD42" s="330">
        <f>Tabelad[[#This Row],[D1 P&amp;L bps]]*$AD$5/10000</f>
        <v>-213.63926156906308</v>
      </c>
      <c r="AE42" s="265"/>
      <c r="AF42" s="451" t="str">
        <f>_xll.BDP(B42&amp;" Equity","EXPECTED_REPORT_DT")</f>
        <v>14/05/2026</v>
      </c>
      <c r="AG42" s="450">
        <f>_xll.BDP(B42&amp;" Index","CHG_PCT_1D_PRE_FROM_REGULAR")/100</f>
        <v>-1.0133360000000001E-2</v>
      </c>
      <c r="AH42" s="454">
        <f t="shared" si="10"/>
        <v>-1.4036452868584926E-2</v>
      </c>
      <c r="AI42" s="449" t="str">
        <f>_xll.BDP(B42&amp;" Equity","DVD_EX_DT")</f>
        <v>02/04/2026</v>
      </c>
    </row>
    <row r="43" spans="1:35">
      <c r="B43" s="39" t="s">
        <v>790</v>
      </c>
      <c r="C43" t="s">
        <v>791</v>
      </c>
      <c r="E43" t="s">
        <v>137</v>
      </c>
      <c r="F43" s="21" t="s">
        <v>47</v>
      </c>
      <c r="G43" s="15"/>
      <c r="H43" s="362">
        <v>30000</v>
      </c>
      <c r="I43" s="35" cm="1">
        <f t="array" ref="I43">_xll.BDP(B43&amp;" Equity","LAST_PRICE")</f>
        <v>15.22</v>
      </c>
      <c r="J43" s="50">
        <f t="shared" si="4"/>
        <v>7.1830985915493084E-2</v>
      </c>
      <c r="K43" s="355">
        <f>_xll.BDP(B43&amp;" equity","PX_YEST_CLOSE")</f>
        <v>14.2</v>
      </c>
      <c r="L43" s="52">
        <f>_xll.BDP(E43&amp;" Curncy","PX_LAST")</f>
        <v>1</v>
      </c>
      <c r="M43" s="51">
        <v>1</v>
      </c>
      <c r="N43" s="15">
        <f t="shared" si="5"/>
        <v>456600</v>
      </c>
      <c r="O43" s="284">
        <f>IFERROR(IF(Tabelad[[#This Row],[D1 Exp USD]]&lt;&gt;0,N43/$AE$7,0),"-")</f>
        <v>1.8087749660863905E-4</v>
      </c>
      <c r="P43" s="19">
        <f>IFERROR(IF(Tabelad[[#This Row],[D1 Exp USD]]&lt;&gt;0,((I43-K43)/L43*M43*H43)/$AD$7*10000,0),"-")</f>
        <v>0.12121882164310911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ref="R43:R57" si="12">Q43/$AE$7</f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6"/>
        <v>456600</v>
      </c>
      <c r="U43" s="47">
        <f t="shared" si="7"/>
        <v>1.8087749660863905E-4</v>
      </c>
      <c r="V43" s="19">
        <f t="shared" si="8"/>
        <v>0.12121882164310911</v>
      </c>
      <c r="W43" s="15">
        <f t="shared" si="9"/>
        <v>24878.716724704336</v>
      </c>
      <c r="X43" s="18"/>
      <c r="Y43" s="301">
        <f>Tabelad[[#This Row],[Exp %]]*$Y$10*$AD$7/Tabelad[[#This Row],[Price Today]]</f>
        <v>10500.000000000002</v>
      </c>
      <c r="Z43" s="195">
        <f>Tabelad[[#This Row],[Vol 10d]]/16*Tabelad[[#This Row],[Exp %]]*100</f>
        <v>0.17315503619360129</v>
      </c>
      <c r="AA43" s="18">
        <f>Tabelad[[#This Row],[Exp %]]*Tabelad[[#This Row],[Beta]]</f>
        <v>3.7101474094879773E-4</v>
      </c>
      <c r="AB43" s="35">
        <f>_xll.BDP($B43&amp;" Equity","volatility_10d")</f>
        <v>153.16889226369895</v>
      </c>
      <c r="AC43" s="35">
        <f>_xll.BDP(B43&amp;" EQUITY","eqy_beta")</f>
        <v>2.0511934757232666</v>
      </c>
      <c r="AD43" s="15">
        <f>Tabelad[[#This Row],[D1 P&amp;L bps]]*$AD$5/10000</f>
        <v>28735.654523129022</v>
      </c>
      <c r="AE43" s="206"/>
      <c r="AF43" s="185" t="str">
        <f>_xll.BDP(B43&amp;" Equity","EXPECTED_REPORT_DT")</f>
        <v>24/02/2026</v>
      </c>
      <c r="AG43" s="139">
        <f>_xll.BDP(B43&amp;" Index","CHG_PCT_1D_PRE_FROM_REGULAR")/100</f>
        <v>1.2676080000000001E-2</v>
      </c>
      <c r="AH43" s="19">
        <f t="shared" si="10"/>
        <v>2.2928176172108378E-2</v>
      </c>
      <c r="AI43" s="361" t="str">
        <f>_xll.BDP(B43&amp;" Equity","DVD_EX_DT")</f>
        <v>12/10/2017</v>
      </c>
    </row>
    <row r="44" spans="1:35">
      <c r="A44" s="362"/>
      <c r="B44" s="39" t="s">
        <v>1036</v>
      </c>
      <c r="C44" t="s">
        <v>791</v>
      </c>
      <c r="E44" t="s">
        <v>137</v>
      </c>
      <c r="F44" s="21" t="s">
        <v>47</v>
      </c>
      <c r="G44" s="15"/>
      <c r="H44" s="362">
        <v>2700</v>
      </c>
      <c r="I44" s="35" cm="1">
        <f t="array" ref="I44">_xll.BDP(B44&amp;" Equity","LAST_PRICE")</f>
        <v>409.95</v>
      </c>
      <c r="J44" s="50">
        <f t="shared" si="4"/>
        <v>-8.9447600628550505E-3</v>
      </c>
      <c r="K44" s="355">
        <f>_xll.BDP(B44&amp;" equity","PX_YEST_CLOSE")</f>
        <v>413.65</v>
      </c>
      <c r="L44" s="52">
        <f>_xll.BDP(E44&amp;" Curncy","PX_LAST")</f>
        <v>1</v>
      </c>
      <c r="M44" s="51">
        <v>1</v>
      </c>
      <c r="N44" s="15">
        <f t="shared" si="5"/>
        <v>1106865</v>
      </c>
      <c r="O44" s="284">
        <f>IFERROR(IF(Tabelad[[#This Row],[D1 Exp USD]]&lt;&gt;0,N44/$AE$7,0),"-")</f>
        <v>4.3847343469934573E-4</v>
      </c>
      <c r="P44" s="19">
        <f>IFERROR(IF(Tabelad[[#This Row],[D1 Exp USD]]&lt;&gt;0,((I44-K44)/L44*M44*H44)/$AD$7*10000,0),"-")</f>
        <v>-3.957438000701486E-2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 t="shared" si="12"/>
        <v>0</v>
      </c>
      <c r="S44" s="19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>
        <f t="shared" si="6"/>
        <v>1106865</v>
      </c>
      <c r="U44" s="47">
        <f t="shared" si="7"/>
        <v>4.3847343469934573E-4</v>
      </c>
      <c r="V44" s="19">
        <f t="shared" si="8"/>
        <v>-3.957438000701486E-2</v>
      </c>
      <c r="W44" s="15">
        <f t="shared" si="9"/>
        <v>923.65915001829501</v>
      </c>
      <c r="X44" s="18"/>
      <c r="Y44" s="301">
        <f>Tabelad[[#This Row],[Exp %]]*$Y$10*$AD$7/Tabelad[[#This Row],[Price Today]]</f>
        <v>945</v>
      </c>
      <c r="Z44" s="195">
        <f>Tabelad[[#This Row],[Vol 10d]]/16*Tabelad[[#This Row],[Exp %]]*100</f>
        <v>0.26838202646513326</v>
      </c>
      <c r="AA44" s="18">
        <f>Tabelad[[#This Row],[Exp %]]*Tabelad[[#This Row],[Beta]]</f>
        <v>5.5347906418487243E-4</v>
      </c>
      <c r="AB44" s="35">
        <f>_xll.BDP($B44&amp;" Equity","volatility_10d")</f>
        <v>97.933240274557036</v>
      </c>
      <c r="AC44" s="35">
        <f>_xll.BDP(B44&amp;" EQUITY","eqy_beta")</f>
        <v>1.2622864246368408</v>
      </c>
      <c r="AD44" s="15">
        <f>Tabelad[[#This Row],[D1 P&amp;L bps]]*$AD$5/10000</f>
        <v>-9381.3460354920808</v>
      </c>
      <c r="AE44" s="206"/>
      <c r="AF44" s="185" t="str">
        <f>_xll.BDP(B44&amp;" Equity","EXPECTED_REPORT_DT")</f>
        <v>27/03/2026</v>
      </c>
      <c r="AG44" s="139">
        <f>_xll.BDP(B44&amp;" Index","CHG_PCT_1D_PRE_FROM_REGULAR")/100</f>
        <v>4.8353010000000001E-4</v>
      </c>
      <c r="AH44" s="19">
        <f t="shared" si="10"/>
        <v>2.120151037275181E-3</v>
      </c>
      <c r="AI44" s="361" t="str">
        <f>_xll.BDP(B44&amp;" Equity","DVD_EX_DT")</f>
        <v>22/01/2026</v>
      </c>
    </row>
    <row r="45" spans="1:35" s="58" customFormat="1">
      <c r="A45" s="457"/>
      <c r="B45" s="349" t="s">
        <v>1036</v>
      </c>
      <c r="C45" s="58" t="s">
        <v>791</v>
      </c>
      <c r="E45" s="58" t="s">
        <v>137</v>
      </c>
      <c r="F45" s="133" t="s">
        <v>47</v>
      </c>
      <c r="G45" s="330"/>
      <c r="H45" s="457">
        <v>613</v>
      </c>
      <c r="I45" s="14" cm="1">
        <f t="array" ref="I45">_xll.BDP(B45&amp;" Equity","LAST_PRICE")</f>
        <v>409.95</v>
      </c>
      <c r="J45" s="456">
        <f t="shared" si="4"/>
        <v>0</v>
      </c>
      <c r="K45" s="489">
        <f>+Tabelad[[#This Row],[Price Today]]</f>
        <v>409.95</v>
      </c>
      <c r="L45" s="8">
        <f>_xll.BDP(E45&amp;" Curncy","PX_LAST")</f>
        <v>1</v>
      </c>
      <c r="M45" s="455">
        <v>1</v>
      </c>
      <c r="N45" s="330">
        <f t="shared" si="5"/>
        <v>251299.35</v>
      </c>
      <c r="O45" s="494">
        <f>IFERROR(IF(Tabelad[[#This Row],[D1 Exp USD]]&lt;&gt;0,N45/$AE$7,0),"-")</f>
        <v>9.9549709433592199E-5</v>
      </c>
      <c r="P45" s="454">
        <f>IFERROR(IF(Tabelad[[#This Row],[D1 Exp USD]]&lt;&gt;0,((I45-K45)/L45*M45*H45)/$AD$7*10000,0),"-")</f>
        <v>0</v>
      </c>
      <c r="Q45" s="330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25">
        <f t="shared" si="12"/>
        <v>0</v>
      </c>
      <c r="S45" s="454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495">
        <f t="shared" si="6"/>
        <v>251299.35</v>
      </c>
      <c r="U45" s="496">
        <f t="shared" si="7"/>
        <v>9.9549709433592199E-5</v>
      </c>
      <c r="V45" s="454">
        <f t="shared" si="8"/>
        <v>0</v>
      </c>
      <c r="W45" s="330">
        <f t="shared" si="9"/>
        <v>923.65915001829501</v>
      </c>
      <c r="X45" s="125"/>
      <c r="Y45" s="453">
        <f>Tabelad[[#This Row],[Exp %]]*$Y$10*$AD$7/Tabelad[[#This Row],[Price Today]]</f>
        <v>214.55</v>
      </c>
      <c r="Z45" s="452">
        <f>Tabelad[[#This Row],[Vol 10d]]/16*Tabelad[[#This Row],[Exp %]]*100</f>
        <v>6.0932660082639513E-2</v>
      </c>
      <c r="AA45" s="125">
        <f>Tabelad[[#This Row],[Exp %]]*Tabelad[[#This Row],[Beta]]</f>
        <v>1.2566024679456548E-4</v>
      </c>
      <c r="AB45" s="14">
        <f>_xll.BDP($B45&amp;" Equity","volatility_10d")</f>
        <v>97.933240274557036</v>
      </c>
      <c r="AC45" s="14">
        <f>_xll.BDP(B45&amp;" EQUITY","eqy_beta")</f>
        <v>1.2622864246368408</v>
      </c>
      <c r="AD45" s="330">
        <f>Tabelad[[#This Row],[D1 P&amp;L bps]]*$AD$5/10000</f>
        <v>0</v>
      </c>
      <c r="AE45" s="265"/>
      <c r="AF45" s="451" t="str">
        <f>_xll.BDP(B45&amp;" Equity","EXPECTED_REPORT_DT")</f>
        <v>27/03/2026</v>
      </c>
      <c r="AG45" s="450">
        <f>_xll.BDP(B45&amp;" Index","CHG_PCT_1D_PRE_FROM_REGULAR")/100</f>
        <v>4.8353010000000001E-4</v>
      </c>
      <c r="AH45" s="454">
        <f t="shared" si="10"/>
        <v>4.8135280957395778E-4</v>
      </c>
      <c r="AI45" s="449" t="str">
        <f>_xll.BDP(B45&amp;" Equity","DVD_EX_DT")</f>
        <v>22/01/2026</v>
      </c>
    </row>
    <row r="46" spans="1:35">
      <c r="A46" s="362"/>
      <c r="B46" s="39" t="s">
        <v>1037</v>
      </c>
      <c r="C46" t="s">
        <v>791</v>
      </c>
      <c r="E46" t="s">
        <v>137</v>
      </c>
      <c r="F46" s="21" t="s">
        <v>47</v>
      </c>
      <c r="G46" s="15"/>
      <c r="H46" s="362">
        <v>965</v>
      </c>
      <c r="I46" s="35" cm="1">
        <f t="array" ref="I46">_xll.BDP(B46&amp;" Equity","LAST_PRICE")</f>
        <v>802.13</v>
      </c>
      <c r="J46" s="50">
        <f t="shared" si="4"/>
        <v>-1.7671695894973971E-2</v>
      </c>
      <c r="K46" s="355">
        <f>_xll.BDP(B46&amp;" equity","PX_YEST_CLOSE")</f>
        <v>816.56</v>
      </c>
      <c r="L46" s="52">
        <f>_xll.BDP(E46&amp;" Curncy","PX_LAST")</f>
        <v>1</v>
      </c>
      <c r="M46" s="51">
        <v>1</v>
      </c>
      <c r="N46" s="15">
        <f t="shared" si="5"/>
        <v>774055.45</v>
      </c>
      <c r="O46" s="284">
        <f>IFERROR(IF(Tabelad[[#This Row],[D1 Exp USD]]&lt;&gt;0,N46/$AE$7,0),"-")</f>
        <v>3.0663427952753737E-4</v>
      </c>
      <c r="P46" s="19">
        <f>IFERROR(IF(Tabelad[[#This Row],[D1 Exp USD]]&lt;&gt;0,((I46-K46)/L46*M46*H46)/$AD$7*10000,0),"-")</f>
        <v>-5.5162288576444583E-2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8">
        <f t="shared" si="12"/>
        <v>0</v>
      </c>
      <c r="S46" s="19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si="6"/>
        <v>774055.45</v>
      </c>
      <c r="U46" s="47">
        <f t="shared" si="7"/>
        <v>3.0663427952753737E-4</v>
      </c>
      <c r="V46" s="19">
        <f t="shared" si="8"/>
        <v>-5.5162288576444583E-2</v>
      </c>
      <c r="W46" s="15">
        <f t="shared" si="9"/>
        <v>472.0607240098239</v>
      </c>
      <c r="X46" s="18"/>
      <c r="Y46" s="301">
        <f>Tabelad[[#This Row],[Exp %]]*$Y$10*$AD$7/Tabelad[[#This Row],[Price Today]]</f>
        <v>337.74999999999994</v>
      </c>
      <c r="Z46" s="195">
        <f>Tabelad[[#This Row],[Vol 10d]]/16*Tabelad[[#This Row],[Exp %]]*100</f>
        <v>0.1031492596050962</v>
      </c>
      <c r="AA46" s="18">
        <f>Tabelad[[#This Row],[Exp %]]*Tabelad[[#This Row],[Beta]]</f>
        <v>3.8827222479464899E-4</v>
      </c>
      <c r="AB46" s="35">
        <f>_xll.BDP($B46&amp;" Equity","volatility_10d")</f>
        <v>53.822689238282827</v>
      </c>
      <c r="AC46" s="35">
        <f>_xll.BDP(B46&amp;" EQUITY","eqy_beta")</f>
        <v>1.266238808631897</v>
      </c>
      <c r="AD46" s="15">
        <f>Tabelad[[#This Row],[D1 P&amp;L bps]]*$AD$5/10000</f>
        <v>-13076.554001694236</v>
      </c>
      <c r="AE46" s="206"/>
      <c r="AF46" s="185" t="str">
        <f>_xll.BDP(B46&amp;" Equity","EXPECTED_REPORT_DT")</f>
        <v>23/04/2026</v>
      </c>
      <c r="AG46" s="139">
        <f>_xll.BDP(B46&amp;" Index","CHG_PCT_1D_PRE_FROM_REGULAR")/100</f>
        <v>2.4125990000000001E-3</v>
      </c>
      <c r="AH46" s="19">
        <f t="shared" si="10"/>
        <v>7.3978555615385709E-3</v>
      </c>
      <c r="AI46" s="361" t="str">
        <f>_xll.BDP(B46&amp;" Equity","DVD_EX_DT")</f>
        <v>05/01/2026</v>
      </c>
    </row>
    <row r="47" spans="1:35">
      <c r="A47" s="362"/>
      <c r="B47" s="39" t="s">
        <v>1047</v>
      </c>
      <c r="C47" t="s">
        <v>791</v>
      </c>
      <c r="E47" t="s">
        <v>1048</v>
      </c>
      <c r="F47" s="21" t="s">
        <v>47</v>
      </c>
      <c r="G47" s="15"/>
      <c r="H47" s="362">
        <v>2000</v>
      </c>
      <c r="I47" s="35" cm="1">
        <f t="array" ref="I47">_xll.BDP(B47&amp;" Equity","LAST_PRICE")</f>
        <v>162.1</v>
      </c>
      <c r="J47" s="50">
        <f t="shared" si="4"/>
        <v>4.3370508054523249E-3</v>
      </c>
      <c r="K47" s="355">
        <f>_xll.BDP(B47&amp;" equity","PX_YEST_CLOSE")</f>
        <v>161.4</v>
      </c>
      <c r="L47" s="206" cm="1">
        <f t="array" ref="L47">1/_xll.BDP(E47&amp;" Curncy","PX_LAST")</f>
        <v>0.84267295862475766</v>
      </c>
      <c r="M47" s="51">
        <v>1</v>
      </c>
      <c r="N47" s="15">
        <f t="shared" si="5"/>
        <v>384728.14</v>
      </c>
      <c r="O47" s="284">
        <f>IFERROR(IF(Tabelad[[#This Row],[D1 Exp USD]]&lt;&gt;0,N47/$AE$7,0),"-")</f>
        <v>1.5240618229982043E-4</v>
      </c>
      <c r="P47" s="19">
        <f>IFERROR(IF(Tabelad[[#This Row],[D1 Exp USD]]&lt;&gt;0,((I47-K47)/L47*M47*H47)/$AD$7*10000,0),"-")</f>
        <v>6.5813897353406902E-3</v>
      </c>
      <c r="Q47" s="15">
        <f>IF(SUM(SUMIFS(Options!$AL$4:$AL$28, Options!$D$4:$D$28, B47), SUMIFS(Options!$AL$4:$AL$28, Options!$D$4:$D$28, B47 &amp; " US"))=0,0,SUM(SUMIFS(Options!$AL$4:$AL$28, Options!$D$4:$D$28, B47), SUMIFS(Options!$AL$4:$AL$28, Options!$D$4:$D$28, B47 &amp; " US")))</f>
        <v>0</v>
      </c>
      <c r="R47" s="18">
        <f t="shared" si="12"/>
        <v>0</v>
      </c>
      <c r="S47" s="19">
        <f>IF(SUM(SUMIFS(Options!$AK$4:$AK$28, Options!$D$4:$D$28, B47), SUMIFS(Options!$AK$4:$AK$28, Options!$D$4:$D$28, B47 &amp; " US"))=0,0,SUM(SUMIFS(Options!$AK$4:$AK$28, Options!$D$4:$D$28, B47), SUMIFS(Options!AK$4:$AK$28, Options!$D$4:$D$28, B47 &amp; " US")))</f>
        <v>0</v>
      </c>
      <c r="T47" s="13">
        <f t="shared" si="6"/>
        <v>384728.14</v>
      </c>
      <c r="U47" s="47">
        <f t="shared" si="7"/>
        <v>1.5240618229982043E-4</v>
      </c>
      <c r="V47" s="19">
        <f t="shared" si="8"/>
        <v>6.5813897353406902E-3</v>
      </c>
      <c r="W47" s="15">
        <f t="shared" si="9"/>
        <v>1968.4240853814333</v>
      </c>
      <c r="X47" s="18"/>
      <c r="Y47" s="301">
        <f>Tabelad[[#This Row],[Exp %]]*$Y$10*$AD$7/Tabelad[[#This Row],[Price Today]]</f>
        <v>830.68999999999994</v>
      </c>
      <c r="Z47" s="195">
        <f>Tabelad[[#This Row],[Vol 10d]]/16*Tabelad[[#This Row],[Exp %]]*100</f>
        <v>6.7320382576156995E-2</v>
      </c>
      <c r="AA47" s="18">
        <f>Tabelad[[#This Row],[Exp %]]*Tabelad[[#This Row],[Beta]]</f>
        <v>2.0858599681299793E-4</v>
      </c>
      <c r="AB47" s="35">
        <f>_xll.BDP($B47&amp;" Equity","volatility_10d")</f>
        <v>70.674700000000001</v>
      </c>
      <c r="AC47" s="35">
        <f>_xll.BDP(B47&amp;" EQUITY","eqy_beta")</f>
        <v>1.368619</v>
      </c>
      <c r="AD47" s="15">
        <f>Tabelad[[#This Row],[D1 P&amp;L bps]]*$AD$5/10000</f>
        <v>1560.1582258704336</v>
      </c>
      <c r="AE47" s="206"/>
      <c r="AF47" s="185" t="str">
        <f>_xll.BDP(B47&amp;" Equity","EXPECTED_REPORT_DT")</f>
        <v>12/05/2026</v>
      </c>
      <c r="AG47" s="139" t="e">
        <f>_xll.BDP(B47&amp;" Index","CHG_PCT_1D_PRE_FROM_REGULAR")/100</f>
        <v>#VALUE!</v>
      </c>
      <c r="AH47" s="19" t="e">
        <f t="shared" si="10"/>
        <v>#VALUE!</v>
      </c>
      <c r="AI47" s="361" t="str">
        <f>_xll.BDP(B47&amp;" Equity","DVD_EX_DT")</f>
        <v>27/02/2026</v>
      </c>
    </row>
    <row r="48" spans="1:35" ht="15.75" thickBot="1">
      <c r="A48" s="362"/>
      <c r="B48" s="39" t="s">
        <v>974</v>
      </c>
      <c r="C48" t="s">
        <v>791</v>
      </c>
      <c r="E48" t="s">
        <v>137</v>
      </c>
      <c r="F48" s="21" t="s">
        <v>47</v>
      </c>
      <c r="G48" s="15"/>
      <c r="H48" s="362">
        <v>53300</v>
      </c>
      <c r="I48" s="35" cm="1">
        <f t="array" ref="I48">_xll.BDP(B48&amp;" Equity","LAST_PRICE")</f>
        <v>72.28</v>
      </c>
      <c r="J48" s="50">
        <f t="shared" si="4"/>
        <v>1.6167580486433408E-2</v>
      </c>
      <c r="K48" s="355">
        <f>_xll.BDP(B48&amp;" equity","PX_YEST_CLOSE")</f>
        <v>71.13</v>
      </c>
      <c r="L48" s="52">
        <f>_xll.BDP(E48&amp;" Curncy","PX_LAST")</f>
        <v>1</v>
      </c>
      <c r="M48" s="51">
        <v>1</v>
      </c>
      <c r="N48" s="15">
        <f t="shared" si="5"/>
        <v>3852524</v>
      </c>
      <c r="O48" s="284">
        <f>IFERROR(IF(Tabelad[[#This Row],[D1 Exp USD]]&lt;&gt;0,N48/$AE$7,0),"-")</f>
        <v>1.5261386262477015E-3</v>
      </c>
      <c r="P48" s="19">
        <f>IFERROR(IF(Tabelad[[#This Row],[D1 Exp USD]]&lt;&gt;0,((I48-K48)/L48*M48*H48)/$AD$7*10000,0),"-")</f>
        <v>0.24281397622922876</v>
      </c>
      <c r="Q48" s="15">
        <f>IF(SUM(SUMIFS(Options!$AL$4:$AL$28, Options!$D$4:$D$28, B48), SUMIFS(Options!$AL$4:$AL$28, Options!$D$4:$D$28, B48 &amp; " US"))=0,0,SUM(SUMIFS(Options!$AL$4:$AL$28, Options!$D$4:$D$28, B48), SUMIFS(Options!$AL$4:$AL$28, Options!$D$4:$D$28, B48 &amp; " US")))</f>
        <v>0</v>
      </c>
      <c r="R48" s="18">
        <f t="shared" si="12"/>
        <v>0</v>
      </c>
      <c r="S48" s="19">
        <f>IF(SUM(SUMIFS(Options!$AK$4:$AK$28, Options!$D$4:$D$28, B48), SUMIFS(Options!$AK$4:$AK$28, Options!$D$4:$D$28, B48 &amp; " US"))=0,0,SUM(SUMIFS(Options!$AK$4:$AK$28, Options!$D$4:$D$28, B48), SUMIFS(Options!AK$4:$AK$28, Options!$D$4:$D$28, B48 &amp; " US")))</f>
        <v>0</v>
      </c>
      <c r="T48" s="13">
        <f t="shared" si="6"/>
        <v>3852524</v>
      </c>
      <c r="U48" s="47">
        <f t="shared" si="7"/>
        <v>1.5261386262477015E-3</v>
      </c>
      <c r="V48" s="19">
        <f t="shared" si="8"/>
        <v>0.24281397622922876</v>
      </c>
      <c r="W48" s="15">
        <f t="shared" si="9"/>
        <v>5238.7115184006643</v>
      </c>
      <c r="X48" s="18"/>
      <c r="Y48" s="301">
        <f>Tabelad[[#This Row],[Exp %]]*$Y$10*$AD$7/Tabelad[[#This Row],[Price Today]]</f>
        <v>18655</v>
      </c>
      <c r="Z48" s="195">
        <f>Tabelad[[#This Row],[Vol 10d]]/16*Tabelad[[#This Row],[Exp %]]*100</f>
        <v>0.30350649620689457</v>
      </c>
      <c r="AA48" s="18">
        <f>Tabelad[[#This Row],[Exp %]]*Tabelad[[#This Row],[Beta]]</f>
        <v>1.0564596601814451E-3</v>
      </c>
      <c r="AB48" s="35">
        <f>_xll.BDP($B48&amp;" Equity","volatility_10d")</f>
        <v>31.819546768500036</v>
      </c>
      <c r="AC48" s="35">
        <f>_xll.BDP(B48&amp;" EQUITY","eqy_beta")</f>
        <v>0.69224357604980469</v>
      </c>
      <c r="AD48" s="15">
        <f>Tabelad[[#This Row],[D1 P&amp;L bps]]*$AD$5/10000</f>
        <v>57560.521045594767</v>
      </c>
      <c r="AE48" s="206"/>
      <c r="AF48" s="185" t="str">
        <f>_xll.BDP(B48&amp;" Equity","EXPECTED_REPORT_DT")</f>
        <v>05/05/2026</v>
      </c>
      <c r="AG48" s="139">
        <f>_xll.BDP(B48&amp;" Index","CHG_PCT_1D_PRE_FROM_REGULAR")/100</f>
        <v>5.6938900000000001E-3</v>
      </c>
      <c r="AH48" s="19">
        <f t="shared" si="10"/>
        <v>8.6896654626055253E-2</v>
      </c>
      <c r="AI48" s="361" t="str">
        <f>_xll.BDP(B48&amp;" Equity","DVD_EX_DT")</f>
        <v>13/03/2026</v>
      </c>
    </row>
    <row r="49" spans="1:35" ht="15.75" thickBot="1">
      <c r="B49" s="476" t="s">
        <v>78</v>
      </c>
      <c r="C49" s="490" t="s">
        <v>797</v>
      </c>
      <c r="D49" s="490"/>
      <c r="E49" s="490" t="s">
        <v>137</v>
      </c>
      <c r="F49" s="491"/>
      <c r="G49" s="477"/>
      <c r="H49" s="492">
        <v>33738</v>
      </c>
      <c r="I49" s="478" cm="1">
        <f t="array" ref="I49">_xll.BDP(B49&amp;" Equity","LAST_PRICE")</f>
        <v>103.94</v>
      </c>
      <c r="J49" s="479">
        <f t="shared" si="4"/>
        <v>5.7590557590557534E-2</v>
      </c>
      <c r="K49" s="480">
        <f>_xll.BDP(B49&amp;" equity","PX_YEST_CLOSE")</f>
        <v>98.28</v>
      </c>
      <c r="L49" s="481">
        <f>_xll.BDP(E49&amp;" Curncy","PX_LAST")</f>
        <v>1</v>
      </c>
      <c r="M49" s="482">
        <v>1</v>
      </c>
      <c r="N49" s="477">
        <f t="shared" si="5"/>
        <v>3506727.7199999997</v>
      </c>
      <c r="O49" s="483">
        <f>IFERROR(IF(Tabelad[[#This Row],[D1 Exp USD]]&lt;&gt;0,N49/$AE$7,0),"-")</f>
        <v>1.389154908632765E-3</v>
      </c>
      <c r="P49" s="484">
        <f>IFERROR(IF(Tabelad[[#This Row],[D1 Exp USD]]&lt;&gt;0,((I49-K49)/L49*M49*H49)/$AD$7*10000,0),"-")</f>
        <v>0.75645726215715259</v>
      </c>
      <c r="Q49" s="477">
        <f>IF(SUM(SUMIFS(Options!$AL$4:$AL$28, Options!$D$4:$D$28, B49), SUMIFS(Options!$AL$4:$AL$28, Options!$D$4:$D$28, B49 &amp; " US"))=0,0,SUM(SUMIFS(Options!$AL$4:$AL$28, Options!$D$4:$D$28, B49), SUMIFS(Options!$AL$4:$AL$28, Options!$D$4:$D$28, B49 &amp; " US")))</f>
        <v>0</v>
      </c>
      <c r="R49" s="485">
        <f t="shared" si="12"/>
        <v>0</v>
      </c>
      <c r="S49" s="484">
        <f>IF(SUM(SUMIFS(Options!$AK$4:$AK$28, Options!$D$4:$D$28, B49), SUMIFS(Options!$AK$4:$AK$28, Options!$D$4:$D$28, B49 &amp; " US"))=0,0,SUM(SUMIFS(Options!$AK$4:$AK$28, Options!$D$4:$D$28, B49), SUMIFS(Options!AK$4:$AK$28, Options!$D$4:$D$28, B49 &amp; " US")))</f>
        <v>0</v>
      </c>
      <c r="T49" s="493">
        <f t="shared" si="6"/>
        <v>3506727.7199999997</v>
      </c>
      <c r="U49" s="486">
        <f t="shared" si="7"/>
        <v>1.389154908632765E-3</v>
      </c>
      <c r="V49" s="487">
        <f t="shared" si="8"/>
        <v>0.75645726215715259</v>
      </c>
      <c r="W49" s="15">
        <f t="shared" si="9"/>
        <v>3643.0062396574949</v>
      </c>
      <c r="X49" s="18"/>
      <c r="Y49" s="301">
        <f>Tabelad[[#This Row],[Exp %]]*$Y$10*$AD$7/Tabelad[[#This Row],[Price Today]]</f>
        <v>11808.300000000001</v>
      </c>
      <c r="Z49" s="195">
        <f>Tabelad[[#This Row],[Vol 10d]]/16*Tabelad[[#This Row],[Exp %]]*100</f>
        <v>0.69911262622038917</v>
      </c>
      <c r="AA49" s="18">
        <f>Tabelad[[#This Row],[Exp %]]*Tabelad[[#This Row],[Beta]]</f>
        <v>1.3843995341586807E-3</v>
      </c>
      <c r="AB49" s="35">
        <f>_xll.BDP($B49&amp;" Equity","volatility_10d")</f>
        <v>80.522351755107891</v>
      </c>
      <c r="AC49" s="35">
        <f>_xll.BDP(B49&amp;" EQUITY","eqy_beta")</f>
        <v>0.99657678604125977</v>
      </c>
      <c r="AD49" s="15">
        <f>Tabelad[[#This Row],[D1 P&amp;L bps]]*$AD$5/10000</f>
        <v>179322.76730802283</v>
      </c>
      <c r="AE49" s="206"/>
      <c r="AF49" s="185" t="str">
        <f>_xll.BDP(B49&amp;" Equity","EXPECTED_REPORT_DT")</f>
        <v>#N/A N/A</v>
      </c>
      <c r="AG49" s="139">
        <f>_xll.BDP(B49&amp;" Index","CHG_PCT_1D_PRE_FROM_REGULAR")/100</f>
        <v>2.5335750000000001E-2</v>
      </c>
      <c r="AH49" s="19">
        <f t="shared" si="10"/>
        <v>0.3519528147639257</v>
      </c>
      <c r="AI49" s="361" t="str">
        <f>_xll.BDP(B49&amp;" Equity","DVD_EX_DT")</f>
        <v>22/12/2025</v>
      </c>
    </row>
    <row r="50" spans="1:35" s="58" customFormat="1" ht="15.75" thickBot="1">
      <c r="A50" s="488"/>
      <c r="B50" s="573" t="s">
        <v>78</v>
      </c>
      <c r="C50" s="574" t="s">
        <v>797</v>
      </c>
      <c r="D50" s="574"/>
      <c r="E50" s="574" t="s">
        <v>137</v>
      </c>
      <c r="F50" s="575"/>
      <c r="G50" s="576"/>
      <c r="H50" s="577">
        <v>-12700</v>
      </c>
      <c r="I50" s="578" cm="1">
        <f t="array" ref="I50">_xll.BDP(B50&amp;" Equity","LAST_PRICE")</f>
        <v>103.94</v>
      </c>
      <c r="J50" s="579">
        <f t="shared" si="4"/>
        <v>4.947495961227788E-2</v>
      </c>
      <c r="K50" s="580">
        <v>99.04</v>
      </c>
      <c r="L50" s="581">
        <f>_xll.BDP(E50&amp;" Curncy","PX_LAST")</f>
        <v>1</v>
      </c>
      <c r="M50" s="582">
        <v>1</v>
      </c>
      <c r="N50" s="576">
        <f t="shared" si="5"/>
        <v>-1320038</v>
      </c>
      <c r="O50" s="583">
        <f>IFERROR(IF(Tabelad[[#This Row],[D1 Exp USD]]&lt;&gt;0,N50/$AE$7,0),"-")</f>
        <v>-5.2291977413113154E-4</v>
      </c>
      <c r="P50" s="584">
        <f>IFERROR(IF(Tabelad[[#This Row],[D1 Exp USD]]&lt;&gt;0,((I50-K50)/L50*M50*H50)/$AD$7*10000,0),"-")</f>
        <v>-0.24651788466832211</v>
      </c>
      <c r="Q50" s="576">
        <f>IF(SUM(SUMIFS(Options!$AL$4:$AL$28, Options!$D$4:$D$28, B50), SUMIFS(Options!$AL$4:$AL$28, Options!$D$4:$D$28, B50 &amp; " US"))=0,0,SUM(SUMIFS(Options!$AL$4:$AL$28, Options!$D$4:$D$28, B50), SUMIFS(Options!$AL$4:$AL$28, Options!$D$4:$D$28, B50 &amp; " US")))</f>
        <v>0</v>
      </c>
      <c r="R50" s="585">
        <f t="shared" si="12"/>
        <v>0</v>
      </c>
      <c r="S50" s="584">
        <f>IF(SUM(SUMIFS(Options!$AK$4:$AK$28, Options!$D$4:$D$28, B50), SUMIFS(Options!$AK$4:$AK$28, Options!$D$4:$D$28, B50 &amp; " US"))=0,0,SUM(SUMIFS(Options!$AK$4:$AK$28, Options!$D$4:$D$28, B50), SUMIFS(Options!AK$4:$AK$28, Options!$D$4:$D$28, B50 &amp; " US")))</f>
        <v>0</v>
      </c>
      <c r="T50" s="586">
        <f t="shared" si="6"/>
        <v>-1320038</v>
      </c>
      <c r="U50" s="587">
        <f t="shared" si="7"/>
        <v>-5.2291977413113154E-4</v>
      </c>
      <c r="V50" s="588">
        <f t="shared" si="8"/>
        <v>-0.24651788466832211</v>
      </c>
      <c r="W50" s="330">
        <f t="shared" si="9"/>
        <v>3643.0062396574949</v>
      </c>
      <c r="X50" s="125"/>
      <c r="Y50" s="453">
        <f>Tabelad[[#This Row],[Exp %]]*$Y$10*$AD$7/Tabelad[[#This Row],[Price Today]]</f>
        <v>-4444.9999999999991</v>
      </c>
      <c r="Z50" s="452">
        <f>Tabelad[[#This Row],[Vol 10d]]/16*Tabelad[[#This Row],[Exp %]]*100</f>
        <v>-0.26316706245180338</v>
      </c>
      <c r="AA50" s="125">
        <f>Tabelad[[#This Row],[Exp %]]*Tabelad[[#This Row],[Beta]]</f>
        <v>-5.2112970786102452E-4</v>
      </c>
      <c r="AB50" s="14">
        <f>_xll.BDP($B50&amp;" Equity","volatility_10d")</f>
        <v>80.522351755107891</v>
      </c>
      <c r="AC50" s="14">
        <f>_xll.BDP(B50&amp;" EQUITY","eqy_beta")</f>
        <v>0.99657678604125977</v>
      </c>
      <c r="AD50" s="330">
        <f>Tabelad[[#This Row],[D1 P&amp;L bps]]*$AD$5/10000</f>
        <v>-58438.55493380109</v>
      </c>
      <c r="AE50" s="265"/>
      <c r="AF50" s="451" t="str">
        <f>_xll.BDP(B50&amp;" Equity","EXPECTED_REPORT_DT")</f>
        <v>#N/A N/A</v>
      </c>
      <c r="AG50" s="450">
        <f>_xll.BDP(B50&amp;" Index","CHG_PCT_1D_PRE_FROM_REGULAR")/100</f>
        <v>2.5335750000000001E-2</v>
      </c>
      <c r="AH50" s="454">
        <f t="shared" si="10"/>
        <v>-0.13248564667442816</v>
      </c>
      <c r="AI50" s="449" t="str">
        <f>_xll.BDP(B50&amp;" Equity","DVD_EX_DT")</f>
        <v>22/12/2025</v>
      </c>
    </row>
    <row r="51" spans="1:35" s="58" customFormat="1" ht="15.75" thickBot="1">
      <c r="A51" s="488"/>
      <c r="B51" s="573" t="s">
        <v>78</v>
      </c>
      <c r="C51" s="574" t="s">
        <v>797</v>
      </c>
      <c r="D51" s="574"/>
      <c r="E51" s="574" t="s">
        <v>137</v>
      </c>
      <c r="F51" s="575"/>
      <c r="G51" s="576"/>
      <c r="H51" s="577">
        <v>-6129</v>
      </c>
      <c r="I51" s="578" cm="1">
        <f t="array" ref="I51">_xll.BDP(B51&amp;" Equity","LAST_PRICE")</f>
        <v>103.94</v>
      </c>
      <c r="J51" s="579">
        <f t="shared" si="4"/>
        <v>8.8323789187614299E-3</v>
      </c>
      <c r="K51" s="580">
        <v>103.03</v>
      </c>
      <c r="L51" s="581">
        <f>_xll.BDP(E51&amp;" Curncy","PX_LAST")</f>
        <v>1</v>
      </c>
      <c r="M51" s="582">
        <v>1</v>
      </c>
      <c r="N51" s="576">
        <f t="shared" si="5"/>
        <v>-637048.26</v>
      </c>
      <c r="O51" s="583">
        <f>IFERROR(IF(Tabelad[[#This Row],[D1 Exp USD]]&lt;&gt;0,N51/$AE$7,0),"-")</f>
        <v>-2.5236025949997677E-4</v>
      </c>
      <c r="P51" s="584">
        <f>IFERROR(IF(Tabelad[[#This Row],[D1 Exp USD]]&lt;&gt;0,((I51-K51)/L51*M51*H51)/$AD$7*10000,0),"-")</f>
        <v>-2.209426940013258E-2</v>
      </c>
      <c r="Q51" s="576">
        <f>IF(SUM(SUMIFS(Options!$AL$4:$AL$28, Options!$D$4:$D$28, B51), SUMIFS(Options!$AL$4:$AL$28, Options!$D$4:$D$28, B51 &amp; " US"))=0,0,SUM(SUMIFS(Options!$AL$4:$AL$28, Options!$D$4:$D$28, B51), SUMIFS(Options!$AL$4:$AL$28, Options!$D$4:$D$28, B51 &amp; " US")))</f>
        <v>0</v>
      </c>
      <c r="R51" s="585">
        <f t="shared" si="12"/>
        <v>0</v>
      </c>
      <c r="S51" s="584">
        <f>IF(SUM(SUMIFS(Options!$AK$4:$AK$28, Options!$D$4:$D$28, B51), SUMIFS(Options!$AK$4:$AK$28, Options!$D$4:$D$28, B51 &amp; " US"))=0,0,SUM(SUMIFS(Options!$AK$4:$AK$28, Options!$D$4:$D$28, B51), SUMIFS(Options!AK$4:$AK$28, Options!$D$4:$D$28, B51 &amp; " US")))</f>
        <v>0</v>
      </c>
      <c r="T51" s="586">
        <f t="shared" si="6"/>
        <v>-637048.26</v>
      </c>
      <c r="U51" s="587">
        <f t="shared" si="7"/>
        <v>-2.5236025949997677E-4</v>
      </c>
      <c r="V51" s="588">
        <f t="shared" si="8"/>
        <v>-2.209426940013258E-2</v>
      </c>
      <c r="W51" s="330">
        <f t="shared" si="9"/>
        <v>3643.0062396574949</v>
      </c>
      <c r="X51" s="125"/>
      <c r="Y51" s="453">
        <f>Tabelad[[#This Row],[Exp %]]*$Y$10*$AD$7/Tabelad[[#This Row],[Price Today]]</f>
        <v>-2145.1499999999996</v>
      </c>
      <c r="Z51" s="452">
        <f>Tabelad[[#This Row],[Vol 10d]]/16*Tabelad[[#This Row],[Exp %]]*100</f>
        <v>-0.12700400990292149</v>
      </c>
      <c r="AA51" s="125">
        <f>Tabelad[[#This Row],[Exp %]]*Tabelad[[#This Row],[Beta]]</f>
        <v>-2.5149637633702516E-4</v>
      </c>
      <c r="AB51" s="14">
        <f>_xll.BDP($B51&amp;" Equity","volatility_10d")</f>
        <v>80.522351755107891</v>
      </c>
      <c r="AC51" s="14">
        <f>_xll.BDP(B51&amp;" EQUITY","eqy_beta")</f>
        <v>0.99657678604125977</v>
      </c>
      <c r="AD51" s="330">
        <f>Tabelad[[#This Row],[D1 P&amp;L bps]]*$AD$5/10000</f>
        <v>-5237.5801366259402</v>
      </c>
      <c r="AE51" s="265"/>
      <c r="AF51" s="451" t="str">
        <f>_xll.BDP(B51&amp;" Equity","EXPECTED_REPORT_DT")</f>
        <v>#N/A N/A</v>
      </c>
      <c r="AG51" s="450">
        <f>_xll.BDP(B51&amp;" Index","CHG_PCT_1D_PRE_FROM_REGULAR")/100</f>
        <v>2.5335750000000001E-2</v>
      </c>
      <c r="AH51" s="454">
        <f t="shared" si="10"/>
        <v>-6.3937364446265368E-2</v>
      </c>
      <c r="AI51" s="449" t="str">
        <f>_xll.BDP(B51&amp;" Equity","DVD_EX_DT")</f>
        <v>22/12/2025</v>
      </c>
    </row>
    <row r="52" spans="1:35">
      <c r="B52" s="39" t="s">
        <v>36</v>
      </c>
      <c r="C52" t="s">
        <v>831</v>
      </c>
      <c r="E52" t="s">
        <v>137</v>
      </c>
      <c r="F52" s="21" t="s">
        <v>47</v>
      </c>
      <c r="G52" s="15"/>
      <c r="H52" s="362">
        <v>23500</v>
      </c>
      <c r="I52" s="35" cm="1">
        <f t="array" ref="I52">_xll.BDP(B52&amp;" Equity","LAST_PRICE")</f>
        <v>51.65</v>
      </c>
      <c r="J52" s="50">
        <f t="shared" si="4"/>
        <v>-7.7384407041980463E-4</v>
      </c>
      <c r="K52" s="355">
        <f>_xll.BDP(B52&amp;" equity","PX_YEST_CLOSE")</f>
        <v>51.69</v>
      </c>
      <c r="L52" s="52">
        <f>_xll.BDP(E52&amp;" Curncy","PX_LAST")</f>
        <v>1</v>
      </c>
      <c r="M52" s="51">
        <v>1</v>
      </c>
      <c r="N52" s="15">
        <f t="shared" si="5"/>
        <v>1213775</v>
      </c>
      <c r="O52" s="284">
        <f>IFERROR(IF(Tabelad[[#This Row],[D1 Exp USD]]&lt;&gt;0,N52/$AE$7,0),"-")</f>
        <v>4.8082475568583192E-4</v>
      </c>
      <c r="P52" s="19">
        <f>IFERROR(IF(Tabelad[[#This Row],[D1 Exp USD]]&lt;&gt;0,((I52-K52)/L52*M52*H52)/$AD$7*10000,0),"-")</f>
        <v>-3.7237154360954248E-3</v>
      </c>
      <c r="Q52" s="15">
        <f>IF(SUM(SUMIFS(Options!$AL$4:$AL$28, Options!$D$4:$D$28, B52), SUMIFS(Options!$AL$4:$AL$28, Options!$D$4:$D$28, B52 &amp; " US"))=0,0,SUM(SUMIFS(Options!$AL$4:$AL$28, Options!$D$4:$D$28, B52), SUMIFS(Options!$AL$4:$AL$28, Options!$D$4:$D$28, B52 &amp; " US")))</f>
        <v>0</v>
      </c>
      <c r="R52" s="18">
        <f t="shared" si="12"/>
        <v>0</v>
      </c>
      <c r="S52" s="19">
        <f>IF(SUM(SUMIFS(Options!$AK$4:$AK$28, Options!$D$4:$D$28, B52), SUMIFS(Options!$AK$4:$AK$28, Options!$D$4:$D$28, B52 &amp; " US"))=0,0,SUM(SUMIFS(Options!$AK$4:$AK$28, Options!$D$4:$D$28, B52), SUMIFS(Options!AK$4:$AK$28, Options!$D$4:$D$28, B52 &amp; " US")))</f>
        <v>0</v>
      </c>
      <c r="T52" s="13">
        <f t="shared" si="6"/>
        <v>1213775</v>
      </c>
      <c r="U52" s="47">
        <f t="shared" si="7"/>
        <v>4.8082475568583192E-4</v>
      </c>
      <c r="V52" s="19">
        <f t="shared" si="8"/>
        <v>-3.7237154360954248E-3</v>
      </c>
      <c r="W52" s="15">
        <f t="shared" si="9"/>
        <v>7331.1533117134568</v>
      </c>
      <c r="X52" s="18"/>
      <c r="Y52" s="301">
        <f>Tabelad[[#This Row],[Exp %]]*$Y$10*$AD$7/Tabelad[[#This Row],[Price Today]]</f>
        <v>8225</v>
      </c>
      <c r="Z52" s="195">
        <f>Tabelad[[#This Row],[Vol 10d]]/16*Tabelad[[#This Row],[Exp %]]*100</f>
        <v>5.7374917176657887E-2</v>
      </c>
      <c r="AA52" s="18">
        <f>Tabelad[[#This Row],[Exp %]]*Tabelad[[#This Row],[Beta]]</f>
        <v>4.8078552098261692E-4</v>
      </c>
      <c r="AB52" s="35">
        <f>_xll.BDP($B52&amp;" Equity","volatility_10d")</f>
        <v>19.092167447100856</v>
      </c>
      <c r="AC52" s="35">
        <f>_xll.BDP(B52&amp;" EQUITY","eqy_beta")</f>
        <v>0.99991840124130249</v>
      </c>
      <c r="AD52" s="15">
        <f>Tabelad[[#This Row],[D1 P&amp;L bps]]*$AD$5/10000</f>
        <v>-882.72925659283248</v>
      </c>
      <c r="AE52" s="206"/>
      <c r="AF52" s="185" t="str">
        <f>_xll.BDP(B52&amp;" Equity","EXPECTED_REPORT_DT")</f>
        <v>#N/A N/A</v>
      </c>
      <c r="AG52" s="139">
        <f>_xll.BDP(B52&amp;" Index","CHG_PCT_1D_PRE_FROM_REGULAR")/100</f>
        <v>-2.1280089999999997E-3</v>
      </c>
      <c r="AH52" s="19">
        <f t="shared" si="10"/>
        <v>-1.0231994075222513E-2</v>
      </c>
      <c r="AI52" s="361" t="str">
        <f>_xll.BDP(B52&amp;" Equity","DVD_EX_DT")</f>
        <v>22/12/2025</v>
      </c>
    </row>
    <row r="53" spans="1:35" s="58" customFormat="1">
      <c r="A53" s="488"/>
      <c r="B53" s="349" t="s">
        <v>36</v>
      </c>
      <c r="C53" s="58" t="s">
        <v>831</v>
      </c>
      <c r="E53" s="58" t="s">
        <v>137</v>
      </c>
      <c r="F53" s="133" t="s">
        <v>47</v>
      </c>
      <c r="G53" s="330"/>
      <c r="H53" s="457">
        <v>-23500</v>
      </c>
      <c r="I53" s="14" cm="1">
        <f t="array" ref="I53">_xll.BDP(B53&amp;" Equity","LAST_PRICE")</f>
        <v>51.65</v>
      </c>
      <c r="J53" s="456">
        <f t="shared" si="4"/>
        <v>3.8872691933915515E-3</v>
      </c>
      <c r="K53" s="489">
        <v>51.45</v>
      </c>
      <c r="L53" s="8">
        <f>_xll.BDP(E53&amp;" Curncy","PX_LAST")</f>
        <v>1</v>
      </c>
      <c r="M53" s="455">
        <v>1</v>
      </c>
      <c r="N53" s="330">
        <f t="shared" si="5"/>
        <v>-1213775</v>
      </c>
      <c r="O53" s="494">
        <f>IFERROR(IF(Tabelad[[#This Row],[D1 Exp USD]]&lt;&gt;0,N53/$AE$7,0),"-")</f>
        <v>-4.8082475568583192E-4</v>
      </c>
      <c r="P53" s="454">
        <f>IFERROR(IF(Tabelad[[#This Row],[D1 Exp USD]]&lt;&gt;0,((I53-K53)/L53*M53*H53)/$AD$7*10000,0),"-")</f>
        <v>-1.861857718047712E-2</v>
      </c>
      <c r="Q53" s="330">
        <f>IF(SUM(SUMIFS(Options!$AL$4:$AL$28, Options!$D$4:$D$28, B53), SUMIFS(Options!$AL$4:$AL$28, Options!$D$4:$D$28, B53 &amp; " US"))=0,0,SUM(SUMIFS(Options!$AL$4:$AL$28, Options!$D$4:$D$28, B53), SUMIFS(Options!$AL$4:$AL$28, Options!$D$4:$D$28, B53 &amp; " US")))</f>
        <v>0</v>
      </c>
      <c r="R53" s="125">
        <f t="shared" si="12"/>
        <v>0</v>
      </c>
      <c r="S53" s="454">
        <f>IF(SUM(SUMIFS(Options!$AK$4:$AK$28, Options!$D$4:$D$28, B53), SUMIFS(Options!$AK$4:$AK$28, Options!$D$4:$D$28, B53 &amp; " US"))=0,0,SUM(SUMIFS(Options!$AK$4:$AK$28, Options!$D$4:$D$28, B53), SUMIFS(Options!AK$4:$AK$28, Options!$D$4:$D$28, B53 &amp; " US")))</f>
        <v>0</v>
      </c>
      <c r="T53" s="495">
        <f t="shared" si="6"/>
        <v>-1213775</v>
      </c>
      <c r="U53" s="496">
        <f t="shared" si="7"/>
        <v>-4.8082475568583192E-4</v>
      </c>
      <c r="V53" s="454">
        <f t="shared" si="8"/>
        <v>-1.861857718047712E-2</v>
      </c>
      <c r="W53" s="330">
        <f t="shared" si="9"/>
        <v>7331.1533117134568</v>
      </c>
      <c r="X53" s="125"/>
      <c r="Y53" s="453">
        <f>Tabelad[[#This Row],[Exp %]]*$Y$10*$AD$7/Tabelad[[#This Row],[Price Today]]</f>
        <v>-8225</v>
      </c>
      <c r="Z53" s="452">
        <f>Tabelad[[#This Row],[Vol 10d]]/16*Tabelad[[#This Row],[Exp %]]*100</f>
        <v>-5.7374917176657887E-2</v>
      </c>
      <c r="AA53" s="125">
        <f>Tabelad[[#This Row],[Exp %]]*Tabelad[[#This Row],[Beta]]</f>
        <v>-4.8078552098261692E-4</v>
      </c>
      <c r="AB53" s="14">
        <f>_xll.BDP($B53&amp;" Equity","volatility_10d")</f>
        <v>19.092167447100856</v>
      </c>
      <c r="AC53" s="14">
        <f>_xll.BDP(B53&amp;" EQUITY","eqy_beta")</f>
        <v>0.99991840124130249</v>
      </c>
      <c r="AD53" s="330">
        <f>Tabelad[[#This Row],[D1 P&amp;L bps]]*$AD$5/10000</f>
        <v>-4413.6462829641614</v>
      </c>
      <c r="AE53" s="265"/>
      <c r="AF53" s="451" t="str">
        <f>_xll.BDP(B53&amp;" Equity","EXPECTED_REPORT_DT")</f>
        <v>#N/A N/A</v>
      </c>
      <c r="AG53" s="450">
        <f>_xll.BDP(B53&amp;" Index","CHG_PCT_1D_PRE_FROM_REGULAR")/100</f>
        <v>-2.1280089999999997E-3</v>
      </c>
      <c r="AH53" s="454">
        <f t="shared" si="10"/>
        <v>1.0231994075222513E-2</v>
      </c>
      <c r="AI53" s="449" t="str">
        <f>_xll.BDP(B53&amp;" Equity","DVD_EX_DT")</f>
        <v>22/12/2025</v>
      </c>
    </row>
    <row r="54" spans="1:35">
      <c r="B54" s="39" t="s">
        <v>6</v>
      </c>
      <c r="C54" t="s">
        <v>831</v>
      </c>
      <c r="E54" t="s">
        <v>137</v>
      </c>
      <c r="F54" s="21" t="s">
        <v>47</v>
      </c>
      <c r="G54" s="15"/>
      <c r="H54" s="362">
        <v>15000</v>
      </c>
      <c r="I54" s="35" cm="1">
        <f t="array" ref="I54">_xll.BDP(B54&amp;" Equity","LAST_PRICE")</f>
        <v>85.61</v>
      </c>
      <c r="J54" s="50">
        <f t="shared" si="4"/>
        <v>3.1638153269275548E-3</v>
      </c>
      <c r="K54" s="355">
        <f>_xll.BDP(B54&amp;" equity","PX_YEST_CLOSE")</f>
        <v>85.34</v>
      </c>
      <c r="L54" s="52">
        <f>_xll.BDP(E54&amp;" Curncy","PX_LAST")</f>
        <v>1</v>
      </c>
      <c r="M54" s="51">
        <v>1</v>
      </c>
      <c r="N54" s="15">
        <f t="shared" si="5"/>
        <v>1284150</v>
      </c>
      <c r="O54" s="284">
        <f>IFERROR(IF(Tabelad[[#This Row],[D1 Exp USD]]&lt;&gt;0,N54/$AE$7,0),"-")</f>
        <v>5.087031039640469E-4</v>
      </c>
      <c r="P54" s="19">
        <f>IFERROR(IF(Tabelad[[#This Row],[D1 Exp USD]]&lt;&gt;0,((I54-K54)/L54*M54*H54)/$AD$7*10000,0),"-")</f>
        <v>1.6043667570411244E-2</v>
      </c>
      <c r="Q54" s="15">
        <f>IF(SUM(SUMIFS(Options!$AL$4:$AL$28, Options!$D$4:$D$28, B54), SUMIFS(Options!$AL$4:$AL$28, Options!$D$4:$D$28, B54 &amp; " US"))=0,0,SUM(SUMIFS(Options!$AL$4:$AL$28, Options!$D$4:$D$28, B54), SUMIFS(Options!$AL$4:$AL$28, Options!$D$4:$D$28, B54 &amp; " US")))</f>
        <v>0</v>
      </c>
      <c r="R54" s="18">
        <f t="shared" si="12"/>
        <v>0</v>
      </c>
      <c r="S54" s="19">
        <f>IF(SUM(SUMIFS(Options!$AK$4:$AK$28, Options!$D$4:$D$28, B54), SUMIFS(Options!$AK$4:$AK$28, Options!$D$4:$D$28, B54 &amp; " US"))=0,0,SUM(SUMIFS(Options!$AK$4:$AK$28, Options!$D$4:$D$28, B54), SUMIFS(Options!AK$4:$AK$28, Options!$D$4:$D$28, B54 &amp; " US")))</f>
        <v>0</v>
      </c>
      <c r="T54" s="13">
        <f t="shared" si="6"/>
        <v>1284150</v>
      </c>
      <c r="U54" s="47">
        <f t="shared" si="7"/>
        <v>5.087031039640469E-4</v>
      </c>
      <c r="V54" s="19">
        <f t="shared" si="8"/>
        <v>1.6043667570411244E-2</v>
      </c>
      <c r="W54" s="15">
        <f t="shared" si="9"/>
        <v>4423.012131176265</v>
      </c>
      <c r="X54" s="18"/>
      <c r="Y54" s="301">
        <f>Tabelad[[#This Row],[Exp %]]*$Y$10*$AD$7/Tabelad[[#This Row],[Price Today]]</f>
        <v>5249.9999999999991</v>
      </c>
      <c r="Z54" s="195">
        <f>Tabelad[[#This Row],[Vol 10d]]/16*Tabelad[[#This Row],[Exp %]]*100</f>
        <v>8.9554926018377917E-2</v>
      </c>
      <c r="AA54" s="18">
        <f>Tabelad[[#This Row],[Exp %]]*Tabelad[[#This Row],[Beta]]</f>
        <v>5.0673317450963438E-4</v>
      </c>
      <c r="AB54" s="35">
        <f>_xll.BDP($B54&amp;" Equity","volatility_10d")</f>
        <v>28.167290608773577</v>
      </c>
      <c r="AC54" s="35">
        <f>_xll.BDP(B54&amp;" EQUITY","eqy_beta")</f>
        <v>0.99612754583358765</v>
      </c>
      <c r="AD54" s="15">
        <f>Tabelad[[#This Row],[D1 P&amp;L bps]]*$AD$5/10000</f>
        <v>3803.248392767016</v>
      </c>
      <c r="AE54" s="206"/>
      <c r="AF54" s="185" t="str">
        <f>_xll.BDP(B54&amp;" Equity","EXPECTED_REPORT_DT")</f>
        <v>#N/A N/A</v>
      </c>
      <c r="AG54" s="139">
        <f>_xll.BDP(B54&amp;" Index","CHG_PCT_1D_PRE_FROM_REGULAR")/100</f>
        <v>-6.6791619999999998E-3</v>
      </c>
      <c r="AH54" s="19">
        <f t="shared" si="10"/>
        <v>-3.3977104412787111E-2</v>
      </c>
      <c r="AI54" s="361" t="str">
        <f>_xll.BDP(B54&amp;" Equity","DVD_EX_DT")</f>
        <v>22/12/2025</v>
      </c>
    </row>
    <row r="55" spans="1:35">
      <c r="B55" s="39" t="s">
        <v>839</v>
      </c>
      <c r="C55" t="s">
        <v>831</v>
      </c>
      <c r="E55" t="s">
        <v>137</v>
      </c>
      <c r="F55" s="21" t="s">
        <v>48</v>
      </c>
      <c r="G55" s="15"/>
      <c r="H55" s="362">
        <v>0</v>
      </c>
      <c r="I55" s="35" cm="1">
        <f t="array" ref="I55">_xll.BDP(B55&amp;" Equity","LAST_PRICE")</f>
        <v>24.8</v>
      </c>
      <c r="J55" s="50">
        <f t="shared" si="4"/>
        <v>1.9736842105263275E-2</v>
      </c>
      <c r="K55" s="355">
        <f>_xll.BDP(B55&amp;" equity","PX_YEST_CLOSE")</f>
        <v>24.32</v>
      </c>
      <c r="L55" s="52">
        <f>_xll.BDP(E55&amp;" Curncy","PX_LAST")</f>
        <v>1</v>
      </c>
      <c r="M55" s="51">
        <v>1</v>
      </c>
      <c r="N55" s="15">
        <f t="shared" si="5"/>
        <v>0</v>
      </c>
      <c r="O55" s="284">
        <f>IFERROR(IF(Tabelad[[#This Row],[D1 Exp USD]]&lt;&gt;0,N55/$AE$7,0),"-")</f>
        <v>0</v>
      </c>
      <c r="P55" s="19">
        <f>IFERROR(IF(Tabelad[[#This Row],[D1 Exp USD]]&lt;&gt;0,((I55-K55)/L55*M55*H55)/$AD$7*10000,0),"-")</f>
        <v>0</v>
      </c>
      <c r="Q55" s="15">
        <f>IF(SUM(SUMIFS(Options!$AL$4:$AL$28, Options!$D$4:$D$28, B55), SUMIFS(Options!$AL$4:$AL$28, Options!$D$4:$D$28, B55 &amp; " US"))=0,0,SUM(SUMIFS(Options!$AL$4:$AL$28, Options!$D$4:$D$28, B55), SUMIFS(Options!$AL$4:$AL$28, Options!$D$4:$D$28, B55 &amp; " US")))</f>
        <v>0</v>
      </c>
      <c r="R55" s="18">
        <f t="shared" si="12"/>
        <v>0</v>
      </c>
      <c r="S55" s="19">
        <f>IF(SUM(SUMIFS(Options!$AK$4:$AK$28, Options!$D$4:$D$28, B55), SUMIFS(Options!$AK$4:$AK$28, Options!$D$4:$D$28, B55 &amp; " US"))=0,0,SUM(SUMIFS(Options!$AK$4:$AK$28, Options!$D$4:$D$28, B55), SUMIFS(Options!AK$4:$AK$28, Options!$D$4:$D$28, B55 &amp; " US")))</f>
        <v>0</v>
      </c>
      <c r="T55" s="13">
        <f t="shared" si="6"/>
        <v>0</v>
      </c>
      <c r="U55" s="47">
        <f t="shared" si="7"/>
        <v>0</v>
      </c>
      <c r="V55" s="19">
        <f t="shared" si="8"/>
        <v>0</v>
      </c>
      <c r="W55" s="15">
        <f t="shared" si="9"/>
        <v>15268.309215725807</v>
      </c>
      <c r="X55" s="18"/>
      <c r="Y55" s="301">
        <f>Tabelad[[#This Row],[Exp %]]*$Y$10*$AD$7/Tabelad[[#This Row],[Price Today]]</f>
        <v>0</v>
      </c>
      <c r="Z55" s="195">
        <f>Tabelad[[#This Row],[Vol 10d]]/16*Tabelad[[#This Row],[Exp %]]*100</f>
        <v>0</v>
      </c>
      <c r="AA55" s="18">
        <f>Tabelad[[#This Row],[Exp %]]*Tabelad[[#This Row],[Beta]]</f>
        <v>0</v>
      </c>
      <c r="AB55" s="35">
        <f>_xll.BDP($B55&amp;" Equity","volatility_10d")</f>
        <v>24.693807940540001</v>
      </c>
      <c r="AC55" s="35">
        <f>_xll.BDP(B55&amp;" EQUITY","eqy_beta")</f>
        <v>0.36547309160232544</v>
      </c>
      <c r="AD55" s="15">
        <f>Tabelad[[#This Row],[D1 P&amp;L bps]]*$AD$5/10000</f>
        <v>0</v>
      </c>
      <c r="AE55" s="206"/>
      <c r="AF55" s="185" t="str">
        <f>_xll.BDP(B55&amp;" Equity","EXPECTED_REPORT_DT")</f>
        <v>29/04/2026</v>
      </c>
      <c r="AG55" s="139" t="e">
        <f>_xll.BDP(B55&amp;" Index","CHG_PCT_1D_PRE_FROM_REGULAR")/100</f>
        <v>#VALUE!</v>
      </c>
      <c r="AH55" s="19" t="e">
        <f t="shared" si="10"/>
        <v>#VALUE!</v>
      </c>
      <c r="AI55" s="361" t="str">
        <f>_xll.BDP(B55&amp;" Equity","DVD_EX_DT")</f>
        <v>06/03/2026</v>
      </c>
    </row>
    <row r="56" spans="1:35" s="58" customFormat="1">
      <c r="A56" s="488"/>
      <c r="B56" s="349" t="s">
        <v>4</v>
      </c>
      <c r="C56" s="58" t="s">
        <v>831</v>
      </c>
      <c r="E56" s="58" t="s">
        <v>137</v>
      </c>
      <c r="F56" s="133" t="s">
        <v>48</v>
      </c>
      <c r="G56" s="330"/>
      <c r="H56" s="457">
        <v>27500</v>
      </c>
      <c r="I56" s="14" cm="1">
        <f t="array" ref="I56">_xll.BDP(B56&amp;" Equity","LAST_PRICE")</f>
        <v>89.51</v>
      </c>
      <c r="J56" s="456">
        <f t="shared" si="4"/>
        <v>3.7003812514015966E-3</v>
      </c>
      <c r="K56" s="489">
        <v>89.18</v>
      </c>
      <c r="L56" s="8">
        <f>_xll.BDP(E56&amp;" Curncy","PX_LAST")</f>
        <v>1</v>
      </c>
      <c r="M56" s="455">
        <v>1</v>
      </c>
      <c r="N56" s="330">
        <f t="shared" si="5"/>
        <v>2461525</v>
      </c>
      <c r="O56" s="494">
        <f>IFERROR(IF(Tabelad[[#This Row],[D1 Exp USD]]&lt;&gt;0,N56/$AE$7,0),"-")</f>
        <v>9.7510836583350902E-4</v>
      </c>
      <c r="P56" s="454">
        <f>IFERROR(IF(Tabelad[[#This Row],[D1 Exp USD]]&lt;&gt;0,((I56-K56)/L56*M56*H56)/$AD$7*10000,0),"-")</f>
        <v>3.5949699555921831E-2</v>
      </c>
      <c r="Q56" s="330">
        <f>IF(SUM(SUMIFS(Options!$AL$4:$AL$28, Options!$D$4:$D$28, B56), SUMIFS(Options!$AL$4:$AL$28, Options!$D$4:$D$28, B56 &amp; " US"))=0,0,SUM(SUMIFS(Options!$AL$4:$AL$28, Options!$D$4:$D$28, B56), SUMIFS(Options!$AL$4:$AL$28, Options!$D$4:$D$28, B56 &amp; " US")))</f>
        <v>0</v>
      </c>
      <c r="R56" s="125">
        <f t="shared" si="12"/>
        <v>0</v>
      </c>
      <c r="S56" s="454">
        <f>IF(SUM(SUMIFS(Options!$AK$4:$AK$28, Options!$D$4:$D$28, B56), SUMIFS(Options!$AK$4:$AK$28, Options!$D$4:$D$28, B56 &amp; " US"))=0,0,SUM(SUMIFS(Options!$AK$4:$AK$28, Options!$D$4:$D$28, B56), SUMIFS(Options!AK$4:$AK$28, Options!$D$4:$D$28, B56 &amp; " US")))</f>
        <v>0</v>
      </c>
      <c r="T56" s="495">
        <f t="shared" si="6"/>
        <v>2461525</v>
      </c>
      <c r="U56" s="496">
        <f t="shared" si="7"/>
        <v>9.7510836583350902E-4</v>
      </c>
      <c r="V56" s="454">
        <f t="shared" si="8"/>
        <v>3.5949699555921831E-2</v>
      </c>
      <c r="W56" s="330">
        <f t="shared" si="9"/>
        <v>4230.299056529997</v>
      </c>
      <c r="X56" s="125"/>
      <c r="Y56" s="453">
        <f>Tabelad[[#This Row],[Exp %]]*$Y$10*$AD$7/Tabelad[[#This Row],[Price Today]]</f>
        <v>9624.9999999999982</v>
      </c>
      <c r="Z56" s="452">
        <f>Tabelad[[#This Row],[Vol 10d]]/16*Tabelad[[#This Row],[Exp %]]*100</f>
        <v>8.1175339150384537E-2</v>
      </c>
      <c r="AA56" s="125">
        <f>Tabelad[[#This Row],[Exp %]]*Tabelad[[#This Row],[Beta]]</f>
        <v>9.7763918612466189E-4</v>
      </c>
      <c r="AB56" s="14">
        <f>_xll.BDP($B56&amp;" Equity","volatility_10d")</f>
        <v>13.319600896829058</v>
      </c>
      <c r="AC56" s="14">
        <f>_xll.BDP(B56&amp;" EQUITY","eqy_beta")</f>
        <v>1.0025954246520996</v>
      </c>
      <c r="AD56" s="330">
        <f>Tabelad[[#This Row],[D1 P&amp;L bps]]*$AD$5/10000</f>
        <v>8522.0936208298754</v>
      </c>
      <c r="AE56" s="265"/>
      <c r="AF56" s="451" t="str">
        <f>_xll.BDP(B56&amp;" Equity","EXPECTED_REPORT_DT")</f>
        <v>#N/A N/A</v>
      </c>
      <c r="AG56" s="450">
        <f>_xll.BDP(B56&amp;" Index","CHG_PCT_1D_PRE_FROM_REGULAR")/100</f>
        <v>-1.2330520000000001E-3</v>
      </c>
      <c r="AH56" s="454">
        <f t="shared" si="10"/>
        <v>-1.2023593207077399E-2</v>
      </c>
      <c r="AI56" s="449" t="str">
        <f>_xll.BDP(B56&amp;" Equity","DVD_EX_DT")</f>
        <v>22/12/2025</v>
      </c>
    </row>
    <row r="57" spans="1:35">
      <c r="B57" s="39" t="s">
        <v>4</v>
      </c>
      <c r="C57" t="s">
        <v>831</v>
      </c>
      <c r="E57" t="s">
        <v>137</v>
      </c>
      <c r="F57" s="21" t="s">
        <v>48</v>
      </c>
      <c r="G57" s="15"/>
      <c r="H57" s="362">
        <v>-27500</v>
      </c>
      <c r="I57" s="35" cm="1">
        <f t="array" ref="I57">_xll.BDP(B57&amp;" Equity","LAST_PRICE")</f>
        <v>89.51</v>
      </c>
      <c r="J57" s="50">
        <f t="shared" si="4"/>
        <v>3.3628516982402434E-3</v>
      </c>
      <c r="K57" s="355">
        <f>_xll.BDP(B57&amp;" equity","PX_YEST_CLOSE")</f>
        <v>89.21</v>
      </c>
      <c r="L57" s="52">
        <f>_xll.BDP(E57&amp;" Curncy","PX_LAST")</f>
        <v>1</v>
      </c>
      <c r="M57" s="51">
        <v>1</v>
      </c>
      <c r="N57" s="15">
        <f t="shared" si="5"/>
        <v>-2461525</v>
      </c>
      <c r="O57" s="284">
        <f>IFERROR(IF(Tabelad[[#This Row],[D1 Exp USD]]&lt;&gt;0,N57/$AE$7,0),"-")</f>
        <v>-9.7510836583350902E-4</v>
      </c>
      <c r="P57" s="19">
        <f>IFERROR(IF(Tabelad[[#This Row],[D1 Exp USD]]&lt;&gt;0,((I57-K57)/L57*M57*H57)/$AD$7*10000,0),"-")</f>
        <v>-3.2681545050839436E-2</v>
      </c>
      <c r="Q57" s="15">
        <f>IF(SUM(SUMIFS(Options!$AL$4:$AL$28, Options!$D$4:$D$28, B57), SUMIFS(Options!$AL$4:$AL$28, Options!$D$4:$D$28, B57 &amp; " US"))=0,0,SUM(SUMIFS(Options!$AL$4:$AL$28, Options!$D$4:$D$28, B57), SUMIFS(Options!$AL$4:$AL$28, Options!$D$4:$D$28, B57 &amp; " US")))</f>
        <v>0</v>
      </c>
      <c r="R57" s="18">
        <f t="shared" si="12"/>
        <v>0</v>
      </c>
      <c r="S57" s="19">
        <f>IF(SUM(SUMIFS(Options!$AK$4:$AK$28, Options!$D$4:$D$28, B57), SUMIFS(Options!$AK$4:$AK$28, Options!$D$4:$D$28, B57 &amp; " US"))=0,0,SUM(SUMIFS(Options!$AK$4:$AK$28, Options!$D$4:$D$28, B57), SUMIFS(Options!AK$4:$AK$28, Options!$D$4:$D$28, B57 &amp; " US")))</f>
        <v>0</v>
      </c>
      <c r="T57" s="13">
        <f t="shared" si="6"/>
        <v>-2461525</v>
      </c>
      <c r="U57" s="47">
        <f t="shared" si="7"/>
        <v>-9.7510836583350902E-4</v>
      </c>
      <c r="V57" s="19">
        <f t="shared" si="8"/>
        <v>-3.2681545050839436E-2</v>
      </c>
      <c r="W57" s="15">
        <f t="shared" si="9"/>
        <v>4230.299056529997</v>
      </c>
      <c r="X57" s="18"/>
      <c r="Y57" s="301">
        <f>Tabelad[[#This Row],[Exp %]]*$Y$10*$AD$7/Tabelad[[#This Row],[Price Today]]</f>
        <v>-9624.9999999999982</v>
      </c>
      <c r="Z57" s="195">
        <f>Tabelad[[#This Row],[Vol 10d]]/16*Tabelad[[#This Row],[Exp %]]*100</f>
        <v>-8.1175339150384537E-2</v>
      </c>
      <c r="AA57" s="18">
        <f>Tabelad[[#This Row],[Exp %]]*Tabelad[[#This Row],[Beta]]</f>
        <v>-9.7763918612466189E-4</v>
      </c>
      <c r="AB57" s="35">
        <f>_xll.BDP($B57&amp;" Equity","volatility_10d")</f>
        <v>13.319600896829058</v>
      </c>
      <c r="AC57" s="35">
        <f>_xll.BDP(B57&amp;" EQUITY","eqy_beta")</f>
        <v>1.0025954246520996</v>
      </c>
      <c r="AD57" s="15">
        <f>Tabelad[[#This Row],[D1 P&amp;L bps]]*$AD$5/10000</f>
        <v>-7747.3578371184021</v>
      </c>
      <c r="AE57" s="206"/>
      <c r="AF57" s="185" t="str">
        <f>_xll.BDP(B57&amp;" Equity","EXPECTED_REPORT_DT")</f>
        <v>#N/A N/A</v>
      </c>
      <c r="AG57" s="139">
        <f>_xll.BDP(B57&amp;" Index","CHG_PCT_1D_PRE_FROM_REGULAR")/100</f>
        <v>-1.2330520000000001E-3</v>
      </c>
      <c r="AH57" s="19">
        <f t="shared" si="10"/>
        <v>1.2023593207077399E-2</v>
      </c>
      <c r="AI57" s="361" t="str">
        <f>_xll.BDP(B57&amp;" Equity","DVD_EX_DT")</f>
        <v>22/12/2025</v>
      </c>
    </row>
    <row r="58" spans="1:35">
      <c r="C58" s="39"/>
      <c r="D58" s="39"/>
      <c r="E58" s="39"/>
      <c r="H58" s="13"/>
      <c r="I58" s="52"/>
      <c r="K58" s="52"/>
      <c r="L58" s="52"/>
      <c r="M58" s="35"/>
      <c r="S58" s="206"/>
      <c r="U58" s="70"/>
      <c r="V58" s="64"/>
      <c r="X58" s="52"/>
      <c r="Y58" s="360"/>
      <c r="Z58" s="18"/>
      <c r="AG58" s="52"/>
      <c r="AI58" s="47"/>
    </row>
    <row r="59" spans="1:35">
      <c r="C59" s="20"/>
      <c r="D59" s="20"/>
      <c r="E59" s="20"/>
      <c r="H59" s="13"/>
      <c r="L59" s="3"/>
      <c r="S59" s="205"/>
    </row>
    <row r="60" spans="1:35">
      <c r="C60" s="20"/>
      <c r="D60" s="20"/>
      <c r="E60" s="20"/>
      <c r="H60" s="13"/>
      <c r="L60" s="3"/>
      <c r="S60" s="205"/>
    </row>
    <row r="61" spans="1:35">
      <c r="C61" s="20"/>
      <c r="D61" s="20"/>
      <c r="E61" s="20"/>
      <c r="H61" s="13"/>
      <c r="L61" s="3"/>
      <c r="S61" s="205"/>
    </row>
    <row r="62" spans="1:35">
      <c r="C62" s="20"/>
      <c r="D62" s="20"/>
      <c r="E62" s="20"/>
      <c r="H62" s="17"/>
      <c r="J62" s="17"/>
      <c r="S62" s="205"/>
    </row>
    <row r="63" spans="1:35">
      <c r="C63" s="20"/>
      <c r="D63" s="20"/>
      <c r="E63" s="20"/>
      <c r="H63" s="13"/>
      <c r="S63" s="205"/>
    </row>
    <row r="64" spans="1:35">
      <c r="C64" s="20"/>
      <c r="D64" s="20"/>
      <c r="E64" s="20"/>
      <c r="H64" s="13"/>
      <c r="J64" s="17"/>
    </row>
    <row r="65" spans="3:10">
      <c r="C65" s="20"/>
      <c r="D65" s="20"/>
      <c r="E65" s="20"/>
      <c r="J65" s="17"/>
    </row>
    <row r="66" spans="3:10">
      <c r="C66" s="20"/>
      <c r="D66" s="20"/>
      <c r="E66" s="20"/>
      <c r="J66" s="17"/>
    </row>
    <row r="67" spans="3:10">
      <c r="C67" s="20"/>
      <c r="D67" s="20"/>
      <c r="E67" s="20"/>
      <c r="H67" s="13"/>
      <c r="J67" s="17"/>
    </row>
    <row r="68" spans="3:10">
      <c r="C68" s="20"/>
      <c r="D68" s="20"/>
      <c r="E68" s="20"/>
      <c r="H68" s="13"/>
      <c r="J68" s="17"/>
    </row>
    <row r="69" spans="3:10">
      <c r="H69" s="13"/>
      <c r="J69" s="17"/>
    </row>
    <row r="70" spans="3:10">
      <c r="H70" s="13"/>
      <c r="J70" s="17"/>
    </row>
    <row r="71" spans="3:10">
      <c r="H71" s="13"/>
      <c r="J71" s="17"/>
    </row>
    <row r="72" spans="3:10">
      <c r="H72" s="13"/>
      <c r="J72" s="17"/>
    </row>
    <row r="73" spans="3:10">
      <c r="H73" s="13"/>
      <c r="J73" s="17"/>
    </row>
    <row r="74" spans="3:10">
      <c r="H74" s="13"/>
      <c r="J74" s="17"/>
    </row>
    <row r="75" spans="3:10">
      <c r="H75" s="13"/>
      <c r="J75" s="17"/>
    </row>
    <row r="76" spans="3:10">
      <c r="H76" s="13"/>
      <c r="J76" s="17"/>
    </row>
    <row r="77" spans="3:10">
      <c r="H77" s="13"/>
      <c r="J77" s="17"/>
    </row>
    <row r="78" spans="3:10">
      <c r="H78" s="13"/>
      <c r="J78" s="17"/>
    </row>
    <row r="79" spans="3:10">
      <c r="H79" s="13"/>
      <c r="J79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8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8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7">
    <cfRule type="dataBar" priority="58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7">
    <cfRule type="colorScale" priority="58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7">
    <cfRule type="dataBar" priority="589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7">
    <cfRule type="colorScale" priority="58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7">
    <cfRule type="colorScale" priority="58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7">
    <cfRule type="colorScale" priority="58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7">
    <cfRule type="colorScale" priority="58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AB12:AB57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E23" sqref="AE23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-1.7772985261635112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SUM(V4:V28)</f>
        <v>23.111062308563163</v>
      </c>
      <c r="W1" s="49">
        <f>SUM(W4:W28)</f>
        <v>6.9255766396280443</v>
      </c>
      <c r="X1" s="49">
        <f>SUM(X4:X28)</f>
        <v>26.360000000000014</v>
      </c>
      <c r="Y1" s="198"/>
      <c r="AG1" s="42"/>
      <c r="AI1" s="341">
        <f>SUM(AI4:AI28)*252</f>
        <v>-19.770613674474308</v>
      </c>
      <c r="AJ1" s="341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1076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154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6.6</v>
      </c>
      <c r="K4" s="73">
        <f>J4</f>
        <v>6.6</v>
      </c>
      <c r="L4" s="73" cm="1">
        <f t="array" ref="L4">_xll.BDP($B4&amp;" Equity","mid")</f>
        <v>6.25</v>
      </c>
      <c r="M4" s="74">
        <f t="shared" ref="M4:M28" si="0">L4/Z4</f>
        <v>3.1440213290406964E-2</v>
      </c>
      <c r="N4" s="279"/>
      <c r="O4" s="74">
        <f t="shared" ref="O4:O28" si="1">L4/K4-1</f>
        <v>-5.3030303030302983E-2</v>
      </c>
      <c r="P4" s="73" cm="1">
        <f t="array" ref="P4">_xll.BDP($B4&amp;" Equity","bid")</f>
        <v>6.2</v>
      </c>
      <c r="Q4" s="73" cm="1">
        <f t="array" ref="Q4">_xll.BDP($B4&amp;" Equity","ask")</f>
        <v>6.3</v>
      </c>
      <c r="R4" s="75">
        <f t="shared" ref="R4:R28" si="2">(Q4/P4-1)</f>
        <v>1.6129032258064502E-2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-187500</v>
      </c>
      <c r="V4" s="111">
        <f>U4/'Master P&amp;L'!$AD$7*10000</f>
        <v>-0.74276238751904999</v>
      </c>
      <c r="W4" s="111">
        <f>(Y4*H4*T4/S4)/'Master P&amp;L'!$AD$7*10000</f>
        <v>-0.74276238751904999</v>
      </c>
      <c r="X4" s="116">
        <f t="shared" ref="X4:X28" si="4">IF(C4="Put",IF(Z4&lt;AA4,AA4-Z4,0),IF(Z4&gt;AA4,Z4-AA4,0))</f>
        <v>0</v>
      </c>
      <c r="Y4" s="201">
        <f t="shared" ref="Y4:Y28" si="5">L4-X4</f>
        <v>6.25</v>
      </c>
      <c r="Z4" s="76">
        <f>_xll.BDP(D4&amp;" Equity","LAST_PRICE")</f>
        <v>198.79</v>
      </c>
      <c r="AA4" s="76" cm="1">
        <f t="array" ref="AA4">_xll.BDP(B4&amp;" Equity","OPT_STRIKE_PX")</f>
        <v>240</v>
      </c>
      <c r="AB4" s="75">
        <f t="shared" ref="AB4:AB28" si="6">AA4/Z4-1</f>
        <v>0.2073041903516275</v>
      </c>
      <c r="AC4" s="251" cm="1">
        <f t="array" ref="AC4">_xll.BDP($D4&amp;" Equity","volatility_10d")</f>
        <v>28.228213976200806</v>
      </c>
      <c r="AD4" s="76" cm="1">
        <f t="array" ref="AD4">_xll.BDP(B4&amp;" Equity","ivol_mid")</f>
        <v>35.138860000000001</v>
      </c>
      <c r="AE4" s="76">
        <f t="shared" ref="AE4:AE28" si="7">AD4/AC4</f>
        <v>1.2448134348714219</v>
      </c>
      <c r="AF4" s="77" cm="1">
        <f t="array" ref="AF4">_xll.BDP(B4&amp;" Equity","DELTA_MID_RT")</f>
        <v>0.25737655162811279</v>
      </c>
      <c r="AG4" s="74">
        <f>AL4/'Master P&amp;L'!$AE$7</f>
        <v>-6.0804174645038666E-4</v>
      </c>
      <c r="AH4" s="74">
        <f>AM4/'Master P&amp;L'!$AE$7</f>
        <v>-2.3624597602385912E-3</v>
      </c>
      <c r="AI4" s="353">
        <f>AO4/'Master P&amp;L'!$AD$7*10000</f>
        <v>5.5965001997123143E-3</v>
      </c>
      <c r="AJ4" s="277">
        <f t="shared" ref="AJ4:AJ28" si="8">(252*AI4)/$AI$1</f>
        <v>-7.133405535855239E-2</v>
      </c>
      <c r="AK4" s="77">
        <f>AP4/'Master P&amp;L'!$AD$7*10000</f>
        <v>4.1594693701066755E-2</v>
      </c>
      <c r="AL4" s="41">
        <f t="shared" ref="AL4:AL28" si="9">Z4*AF4*H4*T4/S4</f>
        <v>-1534916.5409445763</v>
      </c>
      <c r="AM4" s="41">
        <f t="shared" ref="AM4:AM28" si="10">IF(C4="Put",-Z4*H4*T4/S4,Z4*H4*T4/S4)</f>
        <v>-5963700</v>
      </c>
      <c r="AN4" s="77" cm="1">
        <f t="array" ref="AN4">_xll.BDP($B4&amp;" Equity","theta_mid_rt")</f>
        <v>-4.7091946005821228E-2</v>
      </c>
      <c r="AO4" s="41">
        <f t="shared" ref="AO4:AO28" si="11">AN4*H4*T4/S4</f>
        <v>1412.7583801746368</v>
      </c>
      <c r="AP4" s="41">
        <f t="shared" ref="AP4:AP28" si="12">(L4-K4)*T4/S4*H4</f>
        <v>10499.999999999989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1.4075000000000001E-2</v>
      </c>
      <c r="AS4" s="72">
        <f t="shared" ref="AS4:AS28" si="13">$Z4*($AR4*$Z4*$AS$3)*$H4*$T4/$S4</f>
        <v>-166862.49216224998</v>
      </c>
      <c r="AT4" s="72">
        <f t="shared" ref="AT4:AT28" si="14">$Z4*($AR4*$Z4*$AT$3)*$H4*$T4/$S4</f>
        <v>-834312.46081125014</v>
      </c>
      <c r="AU4" s="72" t="s">
        <v>95</v>
      </c>
      <c r="AV4" s="250" cm="1">
        <f t="array" ref="AV4">_xll.BDP($D4&amp;" Equity","EST_PE_NXT_YR")*(AA4/Z4)</f>
        <v>21.936551754553403</v>
      </c>
      <c r="AW4" s="72"/>
      <c r="AX4" s="41"/>
      <c r="AY4" s="250">
        <v>6.5</v>
      </c>
      <c r="AZ4" s="281"/>
      <c r="BA4" s="41">
        <f t="shared" ref="BA4:BA28" si="15">+AY4</f>
        <v>6.5</v>
      </c>
      <c r="BB4" s="273">
        <f t="shared" ref="BB4:BB28" si="16">+J4</f>
        <v>6.6</v>
      </c>
      <c r="BC4" s="273">
        <f t="shared" ref="BC4:BC28" si="17">(BB4-BA4)*H4*100</f>
        <v>-2999.9999999999895</v>
      </c>
      <c r="BD4" s="273">
        <f>BC4/'Master P&amp;L'!$AD$7*10000</f>
        <v>-1.1884198200304759E-2</v>
      </c>
    </row>
    <row r="5" spans="1:56" ht="15.75" customHeight="1">
      <c r="A5" s="283"/>
      <c r="B5" t="s">
        <v>1074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154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9.3249999999999993</v>
      </c>
      <c r="K5" s="73">
        <f t="shared" ref="K5:K28" si="18">J5</f>
        <v>9.3249999999999993</v>
      </c>
      <c r="L5" s="35" cm="1">
        <f t="array" ref="L5">_xll.BDP($B5&amp;" Equity","mid")</f>
        <v>9.3800000000000008</v>
      </c>
      <c r="M5" s="18">
        <f t="shared" si="0"/>
        <v>4.7185472106242778E-2</v>
      </c>
      <c r="N5" s="277"/>
      <c r="O5" s="18">
        <f t="shared" si="1"/>
        <v>5.8981233243968756E-3</v>
      </c>
      <c r="P5" s="35" cm="1">
        <f t="array" ref="P5">_xll.BDP($B5&amp;" Equity","bid")</f>
        <v>9.3000000000000007</v>
      </c>
      <c r="Q5" s="35" cm="1">
        <f t="array" ref="Q5">_xll.BDP($B5&amp;" Equity","ask")</f>
        <v>9.4499999999999993</v>
      </c>
      <c r="R5" s="39">
        <f t="shared" si="2"/>
        <v>1.612903225806428E-2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-281400.00000000006</v>
      </c>
      <c r="V5" s="122">
        <f>U5/'Master P&amp;L'!$AD$7*10000</f>
        <v>-1.1147377911885903</v>
      </c>
      <c r="W5" s="122">
        <f>(Y5*H5*T5/S5)/'Master P&amp;L'!$AD$7*10000</f>
        <v>-1.1147377911885903</v>
      </c>
      <c r="X5" s="339">
        <f t="shared" si="4"/>
        <v>0</v>
      </c>
      <c r="Y5" s="202">
        <f t="shared" si="5"/>
        <v>9.3800000000000008</v>
      </c>
      <c r="Z5" s="36">
        <f>_xll.BDP(D5&amp;" Equity","LAST_PRICE")</f>
        <v>198.79</v>
      </c>
      <c r="AA5" s="36" cm="1">
        <f t="array" ref="AA5">_xll.BDP(B5&amp;" Equity","OPT_STRIKE_PX")</f>
        <v>180</v>
      </c>
      <c r="AB5" s="39">
        <f t="shared" si="6"/>
        <v>-9.4521857236279483E-2</v>
      </c>
      <c r="AC5" s="252" cm="1">
        <f t="array" ref="AC5">_xll.BDP($D5&amp;" Equity","volatility_10d")</f>
        <v>28.228213976200806</v>
      </c>
      <c r="AD5" s="36" cm="1">
        <f t="array" ref="AD5">_xll.BDP(B5&amp;" Equity","ivol_mid")</f>
        <v>37.591340000000002</v>
      </c>
      <c r="AE5" s="36">
        <f t="shared" si="7"/>
        <v>1.3316938872467541</v>
      </c>
      <c r="AF5" s="37" cm="1">
        <f t="array" ref="AF5">_xll.BDP(B5&amp;" Equity","DELTA_MID_RT")</f>
        <v>-0.27932128310203552</v>
      </c>
      <c r="AG5" s="18">
        <f>AL5/'Master P&amp;L'!$AE$7</f>
        <v>6.5988529150677047E-4</v>
      </c>
      <c r="AH5" s="18">
        <f>AM5/'Master P&amp;L'!$AE$7</f>
        <v>2.3624597602385912E-3</v>
      </c>
      <c r="AI5" s="352">
        <f>AO5/'Master P&amp;L'!$AD$7*10000</f>
        <v>6.3132440580489658E-3</v>
      </c>
      <c r="AJ5" s="277">
        <f t="shared" si="8"/>
        <v>-8.0469808819459504E-2</v>
      </c>
      <c r="AK5" s="37">
        <f>AP5/'Master P&amp;L'!$AD$7*10000</f>
        <v>-6.5363090101678168E-3</v>
      </c>
      <c r="AL5" s="15">
        <f t="shared" si="9"/>
        <v>1665788.3360356092</v>
      </c>
      <c r="AM5" s="15">
        <f t="shared" si="10"/>
        <v>5963700</v>
      </c>
      <c r="AN5" s="37" cm="1">
        <f t="array" ref="AN5">_xll.BDP($B5&amp;" Equity","theta_mid_rt")</f>
        <v>-5.3123012185096741E-2</v>
      </c>
      <c r="AO5" s="15">
        <f t="shared" si="11"/>
        <v>1593.6903655529022</v>
      </c>
      <c r="AP5" s="15">
        <f t="shared" si="12"/>
        <v>-1650.0000000000448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1.4144E-2</v>
      </c>
      <c r="AS5">
        <f t="shared" si="13"/>
        <v>-167680.50366911999</v>
      </c>
      <c r="AT5">
        <f t="shared" si="14"/>
        <v>-838402.51834559999</v>
      </c>
      <c r="AU5" t="s">
        <v>95</v>
      </c>
      <c r="AV5" s="206" cm="1">
        <f t="array" ref="AV5">_xll.BDP($D5&amp;" Equity","EST_PE_NXT_YR")*(AA5/Z5)</f>
        <v>16.452413815915051</v>
      </c>
      <c r="AX5" s="15"/>
      <c r="AY5" s="206">
        <v>8.98</v>
      </c>
      <c r="AZ5" s="282"/>
      <c r="BA5" s="15">
        <f t="shared" si="15"/>
        <v>8.98</v>
      </c>
      <c r="BB5" s="340">
        <f t="shared" si="16"/>
        <v>9.3249999999999993</v>
      </c>
      <c r="BC5" s="340">
        <f t="shared" si="17"/>
        <v>-10349.999999999965</v>
      </c>
      <c r="BD5" s="340">
        <f>BC5/'Master P&amp;L'!$AD$7*10000</f>
        <v>-4.1000483791051423E-2</v>
      </c>
    </row>
    <row r="6" spans="1:56" s="58" customFormat="1" ht="15.75" customHeight="1">
      <c r="A6" s="589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7</v>
      </c>
      <c r="G6" s="58" t="str" cm="1">
        <f t="array" ref="G6">_xll.BDP(B6&amp;" Equity","QUOTED_CURRENCY_REALTIME")</f>
        <v>USD</v>
      </c>
      <c r="H6" s="330">
        <v>2000</v>
      </c>
      <c r="I6" s="337">
        <v>0.28999999999999998</v>
      </c>
      <c r="J6" s="14">
        <f>VLOOKUP(B6,Precificação!$B:$O,14,FALSE)</f>
        <v>3.6235229000000001E-2</v>
      </c>
      <c r="K6" s="14">
        <f t="shared" si="18"/>
        <v>3.6235229000000001E-2</v>
      </c>
      <c r="L6" s="14">
        <f>+K6</f>
        <v>3.6235229000000001E-2</v>
      </c>
      <c r="M6" s="125">
        <f t="shared" si="0"/>
        <v>1.0758678444180523E-3</v>
      </c>
      <c r="N6" s="350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0.02</v>
      </c>
      <c r="R6" s="349" t="e">
        <f t="shared" si="2"/>
        <v>#VALUE!</v>
      </c>
      <c r="S6" s="14" cm="1">
        <f t="array" ref="S6">_xll.BDP(G6&amp;" Curncy","PX_LAST")</f>
        <v>1</v>
      </c>
      <c r="T6" s="330" cm="1">
        <f t="array" ref="T6">_xll.BDP(B6&amp;" Equity","OPT_MULTIPLIER")</f>
        <v>100</v>
      </c>
      <c r="U6" s="330">
        <f t="shared" si="3"/>
        <v>7247.0458000000008</v>
      </c>
      <c r="V6" s="590">
        <f>U6/'Master P&amp;L'!$AD$7*10000</f>
        <v>2.8708442884628822E-2</v>
      </c>
      <c r="W6" s="590">
        <f>(Y6*H6*T6/S6)/'Master P&amp;L'!$AD$7*10000</f>
        <v>2.8708442884628822E-2</v>
      </c>
      <c r="X6" s="591">
        <f t="shared" si="4"/>
        <v>0</v>
      </c>
      <c r="Y6" s="592">
        <f t="shared" si="5"/>
        <v>3.6235229000000001E-2</v>
      </c>
      <c r="Z6" s="593">
        <f>_xll.BDP(D6&amp;" Equity","LAST_PRICE")</f>
        <v>33.68</v>
      </c>
      <c r="AA6" s="593" cm="1">
        <f t="array" ref="AA6">_xll.BDP(B6&amp;" Equity","OPT_STRIKE_PX")</f>
        <v>35</v>
      </c>
      <c r="AB6" s="349">
        <f t="shared" si="6"/>
        <v>3.9192399049881255E-2</v>
      </c>
      <c r="AC6" s="351" cm="1">
        <f t="array" ref="AC6">_xll.BDP($D6&amp;" Equity","volatility_10d")</f>
        <v>13.307983710201945</v>
      </c>
      <c r="AD6" s="593" cm="1">
        <f t="array" ref="AD6">_xll.BDP(B6&amp;" Equity","ivol_mid")</f>
        <v>19.495329999999999</v>
      </c>
      <c r="AE6" s="593">
        <f t="shared" si="7"/>
        <v>1.464934916102641</v>
      </c>
      <c r="AF6" s="594" cm="1">
        <f t="array" ref="AF6">_xll.BDP(B6&amp;" Equity","DELTA_MID_RT")</f>
        <v>5.835263803601265E-2</v>
      </c>
      <c r="AG6" s="125">
        <f>AL6/'Master P&amp;L'!$AE$7</f>
        <v>1.5570809973695495E-4</v>
      </c>
      <c r="AH6" s="125">
        <f>AM6/'Master P&amp;L'!$AE$7</f>
        <v>2.6683986359084377E-3</v>
      </c>
      <c r="AI6" s="595">
        <f>AO6/'Master P&amp;L'!$AD$7*10000</f>
        <v>-5.9658328649185707E-3</v>
      </c>
      <c r="AJ6" s="350">
        <f t="shared" si="8"/>
        <v>7.6041639714021378E-2</v>
      </c>
      <c r="AK6" s="594">
        <f>AP6/'Master P&amp;L'!$AD$7*10000</f>
        <v>0</v>
      </c>
      <c r="AL6" s="330">
        <f t="shared" si="9"/>
        <v>393063.36981058121</v>
      </c>
      <c r="AM6" s="330">
        <f t="shared" si="10"/>
        <v>6736000</v>
      </c>
      <c r="AN6" s="594" cm="1">
        <f t="array" ref="AN6">_xll.BDP($B6&amp;" Equity","theta_mid_rt")</f>
        <v>-7.5299562886357307E-3</v>
      </c>
      <c r="AO6" s="330">
        <f t="shared" si="11"/>
        <v>-1505.9912577271461</v>
      </c>
      <c r="AP6" s="330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3.8184999999999997E-2</v>
      </c>
      <c r="AS6" s="58">
        <f t="shared" si="13"/>
        <v>86629.729087999993</v>
      </c>
      <c r="AT6" s="58">
        <f t="shared" si="14"/>
        <v>433148.64543999993</v>
      </c>
      <c r="AU6" s="58" t="s">
        <v>95</v>
      </c>
      <c r="AV6" s="265" t="e" cm="1">
        <f t="array" ref="AV6">_xll.BDP($D6&amp;" Equity","EST_PE_NXT_YR")*(AA6/Z6)</f>
        <v>#VALUE!</v>
      </c>
      <c r="AX6" s="330"/>
      <c r="AY6" s="265">
        <v>3.6235229000000001E-2</v>
      </c>
      <c r="AZ6" s="596"/>
      <c r="BA6" s="330">
        <f t="shared" si="15"/>
        <v>3.6235229000000001E-2</v>
      </c>
      <c r="BB6" s="597">
        <f t="shared" si="16"/>
        <v>3.6235229000000001E-2</v>
      </c>
      <c r="BC6" s="597">
        <f t="shared" si="17"/>
        <v>0</v>
      </c>
      <c r="BD6" s="597">
        <f>BC6/'Master P&amp;L'!$AD$7*10000</f>
        <v>0</v>
      </c>
    </row>
    <row r="7" spans="1:56" s="58" customFormat="1" ht="15.75" customHeight="1">
      <c r="A7" s="589"/>
      <c r="B7" s="58" t="s">
        <v>1049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14</v>
      </c>
      <c r="G7" s="58" t="str" cm="1">
        <f t="array" ref="G7">_xll.BDP(B7&amp;" Equity","QUOTED_CURRENCY_REALTIME")</f>
        <v>USD</v>
      </c>
      <c r="H7" s="330">
        <v>500</v>
      </c>
      <c r="I7" s="337">
        <v>0.21</v>
      </c>
      <c r="J7" s="14">
        <f>VLOOKUP(B7,Precificação!$B:$O,14,FALSE)</f>
        <v>0.15416270600000001</v>
      </c>
      <c r="K7" s="14">
        <f t="shared" si="18"/>
        <v>0.15416270600000001</v>
      </c>
      <c r="L7" s="14">
        <f>+K7</f>
        <v>0.15416270600000001</v>
      </c>
      <c r="M7" s="125">
        <f t="shared" si="0"/>
        <v>4.5772774940617579E-3</v>
      </c>
      <c r="N7" s="350"/>
      <c r="O7" s="125">
        <f t="shared" si="1"/>
        <v>0</v>
      </c>
      <c r="P7" s="14" t="str" cm="1">
        <f t="array" ref="P7">_xll.BDP($B7&amp;" Equity","bid")</f>
        <v>#N/A N/A</v>
      </c>
      <c r="Q7" s="14" cm="1">
        <f t="array" ref="Q7">_xll.BDP($B7&amp;" Equity","ask")</f>
        <v>0.44</v>
      </c>
      <c r="R7" s="349" t="e">
        <f t="shared" si="2"/>
        <v>#VALUE!</v>
      </c>
      <c r="S7" s="14" cm="1">
        <f t="array" ref="S7">_xll.BDP(G7&amp;" Curncy","PX_LAST")</f>
        <v>1</v>
      </c>
      <c r="T7" s="330" cm="1">
        <f t="array" ref="T7">_xll.BDP(B7&amp;" Equity","OPT_MULTIPLIER")</f>
        <v>100</v>
      </c>
      <c r="U7" s="330">
        <f t="shared" si="3"/>
        <v>7708.1353000000008</v>
      </c>
      <c r="V7" s="590">
        <f>U7/'Master P&amp;L'!$AD$7*10000</f>
        <v>3.0535002553321967E-2</v>
      </c>
      <c r="W7" s="590">
        <f>(Y7*H7*T7/S7)/'Master P&amp;L'!$AD$7*10000</f>
        <v>3.0535002553321967E-2</v>
      </c>
      <c r="X7" s="591">
        <f t="shared" si="4"/>
        <v>0</v>
      </c>
      <c r="Y7" s="592">
        <f t="shared" si="5"/>
        <v>0.15416270600000001</v>
      </c>
      <c r="Z7" s="593">
        <f>_xll.BDP(D7&amp;" Equity","LAST_PRICE")</f>
        <v>33.68</v>
      </c>
      <c r="AA7" s="593" cm="1">
        <f t="array" ref="AA7">_xll.BDP(B7&amp;" Equity","OPT_STRIKE_PX")</f>
        <v>35</v>
      </c>
      <c r="AB7" s="349">
        <f t="shared" si="6"/>
        <v>3.9192399049881255E-2</v>
      </c>
      <c r="AC7" s="351" cm="1">
        <f t="array" ref="AC7">_xll.BDP($D7&amp;" Equity","volatility_10d")</f>
        <v>13.307983710201945</v>
      </c>
      <c r="AD7" s="593" cm="1">
        <f t="array" ref="AD7">_xll.BDP(B7&amp;" Equity","ivol_mid")</f>
        <v>19.813030000000001</v>
      </c>
      <c r="AE7" s="593">
        <f t="shared" si="7"/>
        <v>1.4888078037555206</v>
      </c>
      <c r="AF7" s="594" cm="1">
        <f t="array" ref="AF7">_xll.BDP(B7&amp;" Equity","DELTA_MID_RT")</f>
        <v>0.30694511532783508</v>
      </c>
      <c r="AG7" s="125">
        <f>AL7/'Master P&amp;L'!$AE$7</f>
        <v>2.047629817598883E-4</v>
      </c>
      <c r="AH7" s="125">
        <f>AM7/'Master P&amp;L'!$AE$7</f>
        <v>6.6709965897710942E-4</v>
      </c>
      <c r="AI7" s="595">
        <f>AO7/'Master P&amp;L'!$AD$7*10000</f>
        <v>-6.2892109549367026E-3</v>
      </c>
      <c r="AJ7" s="350">
        <f t="shared" si="8"/>
        <v>8.0163478318848402E-2</v>
      </c>
      <c r="AK7" s="594">
        <f>AP7/'Master P&amp;L'!$AD$7*10000</f>
        <v>0</v>
      </c>
      <c r="AL7" s="330">
        <f t="shared" si="9"/>
        <v>516895.57421207428</v>
      </c>
      <c r="AM7" s="330">
        <f t="shared" si="10"/>
        <v>1684000</v>
      </c>
      <c r="AN7" s="594" cm="1">
        <f t="array" ref="AN7">_xll.BDP($B7&amp;" Equity","theta_mid_rt")</f>
        <v>-3.1752470880746841E-2</v>
      </c>
      <c r="AO7" s="330">
        <f t="shared" si="11"/>
        <v>-1587.6235440373421</v>
      </c>
      <c r="AP7" s="330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8.3810999999999997E-2</v>
      </c>
      <c r="AS7" s="58">
        <f t="shared" si="13"/>
        <v>47535.185443199996</v>
      </c>
      <c r="AT7" s="58">
        <f t="shared" si="14"/>
        <v>237675.92721599998</v>
      </c>
      <c r="AU7" s="58" t="s">
        <v>95</v>
      </c>
      <c r="AV7" s="265" t="e" cm="1">
        <f t="array" ref="AV7">_xll.BDP($D7&amp;" Equity","EST_PE_NXT_YR")*(AA7/Z7)</f>
        <v>#VALUE!</v>
      </c>
      <c r="AX7" s="330"/>
      <c r="AY7" s="265">
        <v>0.15416270600000001</v>
      </c>
      <c r="AZ7" s="596"/>
      <c r="BA7" s="330">
        <f t="shared" si="15"/>
        <v>0.15416270600000001</v>
      </c>
      <c r="BB7" s="597">
        <f t="shared" si="16"/>
        <v>0.15416270600000001</v>
      </c>
      <c r="BC7" s="597">
        <f t="shared" si="17"/>
        <v>0</v>
      </c>
      <c r="BD7" s="597">
        <f>BC7/'Master P&amp;L'!$AD$7*10000</f>
        <v>0</v>
      </c>
    </row>
    <row r="8" spans="1:56" ht="15.75" customHeight="1">
      <c r="A8" s="263"/>
      <c r="B8" s="72" t="s">
        <v>765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125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35.75</v>
      </c>
      <c r="K8" s="73">
        <f t="shared" si="18"/>
        <v>35.75</v>
      </c>
      <c r="L8" s="73" cm="1">
        <f t="array" ref="L8">_xll.BDP($B8&amp;" Equity","mid")</f>
        <v>31.93</v>
      </c>
      <c r="M8" s="74">
        <f t="shared" si="0"/>
        <v>9.8194790417320169E-2</v>
      </c>
      <c r="N8" s="279"/>
      <c r="O8" s="74">
        <f t="shared" si="1"/>
        <v>-0.10685314685314684</v>
      </c>
      <c r="P8" s="73" cm="1">
        <f t="array" ref="P8">_xll.BDP($B8&amp;" Equity","bid")</f>
        <v>31.65</v>
      </c>
      <c r="Q8" s="73" cm="1">
        <f t="array" ref="Q8">_xll.BDP($B8&amp;" Equity","ask")</f>
        <v>32.200000000000003</v>
      </c>
      <c r="R8" s="75">
        <f t="shared" si="2"/>
        <v>1.7377567140600458E-2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383160</v>
      </c>
      <c r="V8" s="111">
        <f>U8/'Master P&amp;L'!$AD$7*10000</f>
        <v>1.5178497941429288</v>
      </c>
      <c r="W8" s="111">
        <f>(Y8*H8*T8/S8)/'Master P&amp;L'!$AD$7*10000</f>
        <v>1.5178497941429288</v>
      </c>
      <c r="X8" s="116">
        <f t="shared" si="4"/>
        <v>0</v>
      </c>
      <c r="Y8" s="201">
        <f t="shared" si="5"/>
        <v>31.93</v>
      </c>
      <c r="Z8" s="76">
        <f>_xll.BDP(D8&amp;" Equity","LAST_PRICE")</f>
        <v>325.17</v>
      </c>
      <c r="AA8" s="76" cm="1">
        <f t="array" ref="AA8">_xll.BDP(B8&amp;" Equity","OPT_STRIKE_PX")</f>
        <v>350</v>
      </c>
      <c r="AB8" s="75">
        <f t="shared" si="6"/>
        <v>7.6360057815911597E-2</v>
      </c>
      <c r="AC8" s="251" cm="1">
        <f t="array" ref="AC8">_xll.BDP($D8&amp;" Equity","volatility_10d")</f>
        <v>57.562684061647275</v>
      </c>
      <c r="AD8" s="76" cm="1">
        <f t="array" ref="AD8">_xll.BDP(B8&amp;" Equity","ivol_mid")</f>
        <v>53.343069999999997</v>
      </c>
      <c r="AE8" s="76">
        <f t="shared" si="7"/>
        <v>0.92669532127570275</v>
      </c>
      <c r="AF8" s="77" cm="1">
        <f t="array" ref="AF8">_xll.BDP(B8&amp;" Equity","DELTA_MID_RT")</f>
        <v>0.48298808932304382</v>
      </c>
      <c r="AG8" s="74">
        <f>AL8/'Master P&amp;L'!$AE$7</f>
        <v>7.4658071862757352E-4</v>
      </c>
      <c r="AH8" s="74">
        <f>AM8/'Master P&amp;L'!$AE$7</f>
        <v>1.5457538915172445E-3</v>
      </c>
      <c r="AI8" s="353">
        <f>AO8/'Master P&amp;L'!$AD$7*10000</f>
        <v>-7.5922997513914294E-3</v>
      </c>
      <c r="AJ8" s="277">
        <f t="shared" si="8"/>
        <v>9.6772895816624821E-2</v>
      </c>
      <c r="AK8" s="77">
        <f>AP8/'Master P&amp;L'!$AD$7*10000</f>
        <v>-0.18159054850065734</v>
      </c>
      <c r="AL8" s="41">
        <f t="shared" si="9"/>
        <v>1884638.8440620899</v>
      </c>
      <c r="AM8" s="41">
        <f t="shared" si="10"/>
        <v>3902040</v>
      </c>
      <c r="AN8" s="77" cm="1">
        <f t="array" ref="AN8">_xll.BDP($B8&amp;" Equity","theta_mid_rt")</f>
        <v>-0.15971417725086212</v>
      </c>
      <c r="AO8" s="41">
        <f t="shared" si="11"/>
        <v>-1916.5701270103455</v>
      </c>
      <c r="AP8" s="41">
        <f t="shared" si="12"/>
        <v>-45840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1.2792E-2</v>
      </c>
      <c r="AS8" s="72">
        <f t="shared" si="13"/>
        <v>162308.26628265603</v>
      </c>
      <c r="AT8" s="72">
        <f t="shared" si="14"/>
        <v>811541.3314132801</v>
      </c>
      <c r="AU8" s="72" t="s">
        <v>95</v>
      </c>
      <c r="AV8" s="250" cm="1">
        <f t="array" ref="AV8">_xll.BDP($D8&amp;" Equity","EST_PE_NXT_YR")*(AA8/Z8)</f>
        <v>25.115709390664868</v>
      </c>
      <c r="AW8" s="72"/>
      <c r="AX8" s="41"/>
      <c r="AY8" s="250">
        <v>32.700000000000003</v>
      </c>
      <c r="AZ8" s="281"/>
      <c r="BA8" s="41">
        <f t="shared" si="15"/>
        <v>32.700000000000003</v>
      </c>
      <c r="BB8" s="273">
        <f t="shared" si="16"/>
        <v>35.75</v>
      </c>
      <c r="BC8" s="273">
        <f t="shared" si="17"/>
        <v>36599.999999999964</v>
      </c>
      <c r="BD8" s="273">
        <f>BC8/'Master P&amp;L'!$AD$7*10000</f>
        <v>0.14498721804371842</v>
      </c>
    </row>
    <row r="9" spans="1:56" ht="15.75" customHeight="1">
      <c r="A9" s="283"/>
      <c r="B9" t="s">
        <v>1051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63</v>
      </c>
      <c r="G9" t="s">
        <v>137</v>
      </c>
      <c r="H9" s="15">
        <v>1000</v>
      </c>
      <c r="I9" s="336">
        <v>1.52</v>
      </c>
      <c r="J9" s="14">
        <f>VLOOKUP(B9,Precificação!$B:$O,14,FALSE)</f>
        <v>0.13500000000000001</v>
      </c>
      <c r="K9" s="73">
        <f t="shared" si="18"/>
        <v>0.13500000000000001</v>
      </c>
      <c r="L9" s="35" cm="1">
        <f t="array" ref="L9">_xll.BDP($B9&amp;" Equity","mid")</f>
        <v>0.16</v>
      </c>
      <c r="M9" s="18">
        <f t="shared" si="0"/>
        <v>2.0819778789850358E-3</v>
      </c>
      <c r="N9" s="277"/>
      <c r="O9" s="18">
        <f t="shared" si="1"/>
        <v>0.18518518518518512</v>
      </c>
      <c r="P9" s="35" cm="1">
        <f t="array" ref="P9">_xll.BDP($B9&amp;" Equity","bid")</f>
        <v>0.14000000000000001</v>
      </c>
      <c r="Q9" s="35" cm="1">
        <f t="array" ref="Q9">_xll.BDP($B9&amp;" Equity","ask")</f>
        <v>0.18</v>
      </c>
      <c r="R9" s="39">
        <f t="shared" si="2"/>
        <v>0.28571428571428559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16000</v>
      </c>
      <c r="V9" s="122">
        <f>U9/'Master P&amp;L'!$AD$7*10000</f>
        <v>6.3382390401625591E-2</v>
      </c>
      <c r="W9" s="122">
        <f>(Y9*H9*T9/S9)/'Master P&amp;L'!$AD$7*10000</f>
        <v>6.3382390401625591E-2</v>
      </c>
      <c r="X9" s="339">
        <f t="shared" si="4"/>
        <v>0</v>
      </c>
      <c r="Y9" s="202">
        <f t="shared" si="5"/>
        <v>0.16</v>
      </c>
      <c r="Z9" s="36">
        <f>_xll.BDP(D9&amp;" Equity","LAST_PRICE")</f>
        <v>76.849999999999994</v>
      </c>
      <c r="AA9" s="36" cm="1">
        <f t="array" ref="AA9">_xll.BDP(B9&amp;" Equity","OPT_STRIKE_PX")</f>
        <v>95</v>
      </c>
      <c r="AB9" s="39">
        <f t="shared" si="6"/>
        <v>0.23617436564736516</v>
      </c>
      <c r="AC9" s="252" cm="1">
        <f t="array" ref="AC9">_xll.BDP($D9&amp;" Equity","volatility_10d")</f>
        <v>82.36147497992603</v>
      </c>
      <c r="AD9" s="36" cm="1">
        <f t="array" ref="AD9">_xll.BDP(B9&amp;" Equity","ivol_mid")</f>
        <v>28.67963</v>
      </c>
      <c r="AE9" s="36">
        <f t="shared" si="7"/>
        <v>0.34821656614321306</v>
      </c>
      <c r="AF9" s="37" cm="1">
        <f t="array" ref="AF9">_xll.BDP(B9&amp;" Equity","DELTA_MID_RT")</f>
        <v>4.4267099350690842E-2</v>
      </c>
      <c r="AG9" s="18">
        <f>AL9/'Master P&amp;L'!$AE$7</f>
        <v>1.3476389933407166E-4</v>
      </c>
      <c r="AH9" s="18">
        <f>AM9/'Master P&amp;L'!$AE$7</f>
        <v>3.0443354389780792E-3</v>
      </c>
      <c r="AI9" s="352">
        <f>AO9/'Master P&amp;L'!$AD$7*10000</f>
        <v>-2.8125631553105861E-3</v>
      </c>
      <c r="AJ9" s="277">
        <f t="shared" si="8"/>
        <v>3.5849464604801318E-2</v>
      </c>
      <c r="AK9" s="37">
        <f>AP9/'Master P&amp;L'!$AD$7*10000</f>
        <v>9.9034985002539981E-3</v>
      </c>
      <c r="AL9" s="15">
        <f t="shared" si="9"/>
        <v>340192.65851005912</v>
      </c>
      <c r="AM9" s="15">
        <f t="shared" si="10"/>
        <v>7685000</v>
      </c>
      <c r="AN9" s="37" cm="1">
        <f t="array" ref="AN9">_xll.BDP($B9&amp;" Equity","theta_mid_rt")</f>
        <v>-7.0999232120811939E-3</v>
      </c>
      <c r="AO9" s="15">
        <f t="shared" si="11"/>
        <v>-709.99232120811939</v>
      </c>
      <c r="AP9" s="15">
        <f t="shared" si="12"/>
        <v>2499.9999999999995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8.0350000000000005E-3</v>
      </c>
      <c r="AS9">
        <f t="shared" si="13"/>
        <v>47454.087287499991</v>
      </c>
      <c r="AT9">
        <f t="shared" si="14"/>
        <v>237270.43643749997</v>
      </c>
      <c r="AU9" t="s">
        <v>95</v>
      </c>
      <c r="AV9" s="206" cm="1">
        <f t="array" ref="AV9">_xll.BDP($D9&amp;" Equity","EST_PE_NXT_YR")*(AA9/Z9)</f>
        <v>21.110791686210433</v>
      </c>
      <c r="AX9" s="15"/>
      <c r="AY9" s="206">
        <v>0.16</v>
      </c>
      <c r="AZ9" s="282"/>
      <c r="BA9" s="15">
        <f t="shared" si="15"/>
        <v>0.16</v>
      </c>
      <c r="BB9" s="340">
        <f t="shared" si="16"/>
        <v>0.13500000000000001</v>
      </c>
      <c r="BC9" s="340">
        <f t="shared" si="17"/>
        <v>-2499.9999999999991</v>
      </c>
      <c r="BD9" s="340">
        <f>BC9/'Master P&amp;L'!$AD$7*10000</f>
        <v>-9.9034985002539964E-3</v>
      </c>
    </row>
    <row r="10" spans="1:56" ht="15.75" customHeight="1">
      <c r="A10" s="263"/>
      <c r="B10" s="72" t="s">
        <v>1050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63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9.1908676999999994E-2</v>
      </c>
      <c r="K10" s="73">
        <f t="shared" si="18"/>
        <v>9.1908676999999994E-2</v>
      </c>
      <c r="L10" s="73" cm="1">
        <f t="array" ref="L10">_xll.BDP($B10&amp;" Equity","mid")</f>
        <v>0.1</v>
      </c>
      <c r="M10" s="74">
        <f t="shared" si="0"/>
        <v>1.3012361743656475E-3</v>
      </c>
      <c r="N10" s="279"/>
      <c r="O10" s="74">
        <f t="shared" si="1"/>
        <v>8.8036551761048853E-2</v>
      </c>
      <c r="P10" s="73" cm="1">
        <f t="array" ref="P10">_xll.BDP($B10&amp;" Equity","bid")</f>
        <v>0.08</v>
      </c>
      <c r="Q10" s="73" cm="1">
        <f t="array" ref="Q10">_xll.BDP($B10&amp;" Equity","ask")</f>
        <v>0.12</v>
      </c>
      <c r="R10" s="75">
        <f t="shared" si="2"/>
        <v>0.5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-10000</v>
      </c>
      <c r="V10" s="111">
        <f>U10/'Master P&amp;L'!$AD$7*10000</f>
        <v>-3.9613994001015992E-2</v>
      </c>
      <c r="W10" s="111">
        <f>(Y10*H10*T10/S10)/'Master P&amp;L'!$AD$7*10000</f>
        <v>-3.9613994001015992E-2</v>
      </c>
      <c r="X10" s="116">
        <f t="shared" si="4"/>
        <v>0</v>
      </c>
      <c r="Y10" s="201">
        <f t="shared" si="5"/>
        <v>0.1</v>
      </c>
      <c r="Z10" s="76">
        <f>_xll.BDP(D10&amp;" Equity","LAST_PRICE")</f>
        <v>76.849999999999994</v>
      </c>
      <c r="AA10" s="76" cm="1">
        <f t="array" ref="AA10">_xll.BDP(B10&amp;" Equity","OPT_STRIKE_PX")</f>
        <v>100</v>
      </c>
      <c r="AB10" s="75">
        <f t="shared" si="6"/>
        <v>0.30123617436564754</v>
      </c>
      <c r="AC10" s="251" cm="1">
        <f t="array" ref="AC10">_xll.BDP($D10&amp;" Equity","volatility_10d")</f>
        <v>82.36147497992603</v>
      </c>
      <c r="AD10" s="76" cm="1">
        <f t="array" ref="AD10">_xll.BDP(B10&amp;" Equity","ivol_mid")</f>
        <v>31.578289999999999</v>
      </c>
      <c r="AE10" s="76">
        <f t="shared" si="7"/>
        <v>0.38341093342119698</v>
      </c>
      <c r="AF10" s="77" cm="1">
        <f t="array" ref="AF10">_xll.BDP(B10&amp;" Equity","DELTA_MID_RT")</f>
        <v>2.6777865365147591E-2</v>
      </c>
      <c r="AG10" s="74">
        <f>AL10/'Master P&amp;L'!$AE$7</f>
        <v>-8.1520804511302472E-5</v>
      </c>
      <c r="AH10" s="74">
        <f>AM10/'Master P&amp;L'!$AE$7</f>
        <v>-3.0443354389780792E-3</v>
      </c>
      <c r="AI10" s="353">
        <f>AO10/'Master P&amp;L'!$AD$7*10000</f>
        <v>2.0377984748106062E-3</v>
      </c>
      <c r="AJ10" s="277">
        <f t="shared" si="8"/>
        <v>-2.5974166715688814E-2</v>
      </c>
      <c r="AK10" s="77">
        <f>AP10/'Master P&amp;L'!$AD$7*10000</f>
        <v>-3.2052962078228317E-3</v>
      </c>
      <c r="AL10" s="41">
        <f t="shared" si="9"/>
        <v>-205787.89533115918</v>
      </c>
      <c r="AM10" s="41">
        <f t="shared" si="10"/>
        <v>-7685000</v>
      </c>
      <c r="AN10" s="77" cm="1">
        <f t="array" ref="AN10">_xll.BDP($B10&amp;" Equity","theta_mid_rt")</f>
        <v>-5.1441378891468048E-3</v>
      </c>
      <c r="AO10" s="41">
        <f t="shared" si="11"/>
        <v>514.41378891468048</v>
      </c>
      <c r="AP10" s="41">
        <f t="shared" si="12"/>
        <v>-809.13230000000112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4.5909999999999996E-3</v>
      </c>
      <c r="AS10" s="72">
        <f t="shared" si="13"/>
        <v>-27114.090197499998</v>
      </c>
      <c r="AT10" s="72">
        <f t="shared" si="14"/>
        <v>-135570.45098749996</v>
      </c>
      <c r="AU10" s="72" t="s">
        <v>95</v>
      </c>
      <c r="AV10" s="250" cm="1">
        <f t="array" ref="AV10">_xll.BDP($D10&amp;" Equity","EST_PE_NXT_YR")*(AA10/Z10)</f>
        <v>22.221885985484668</v>
      </c>
      <c r="AW10" s="72"/>
      <c r="AX10" s="41"/>
      <c r="AY10" s="250">
        <v>0.1</v>
      </c>
      <c r="AZ10" s="281"/>
      <c r="BA10" s="41">
        <f t="shared" si="15"/>
        <v>0.1</v>
      </c>
      <c r="BB10" s="273">
        <f t="shared" si="16"/>
        <v>9.1908676999999994E-2</v>
      </c>
      <c r="BC10" s="273">
        <f t="shared" si="17"/>
        <v>809.13230000000112</v>
      </c>
      <c r="BD10" s="273">
        <f>BC10/'Master P&amp;L'!$AD$7*10000</f>
        <v>3.2052962078228317E-3</v>
      </c>
    </row>
    <row r="11" spans="1:56" ht="15.75" customHeight="1">
      <c r="A11" s="283"/>
      <c r="B11" t="s">
        <v>1078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154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0.46</v>
      </c>
      <c r="K11" s="73">
        <f t="shared" si="18"/>
        <v>0.46</v>
      </c>
      <c r="L11" s="35" cm="1">
        <f t="array" ref="L11">_xll.BDP($B11&amp;" Equity","mid")</f>
        <v>0.49</v>
      </c>
      <c r="M11" s="18">
        <f t="shared" si="0"/>
        <v>6.3760572543916727E-3</v>
      </c>
      <c r="N11" s="277"/>
      <c r="O11" s="18">
        <f t="shared" si="1"/>
        <v>6.5217391304347672E-2</v>
      </c>
      <c r="P11" s="35" cm="1">
        <f t="array" ref="P11">_xll.BDP($B11&amp;" Equity","bid")</f>
        <v>0.37</v>
      </c>
      <c r="Q11" s="35" cm="1">
        <f t="array" ref="Q11">_xll.BDP($B11&amp;" Equity","ask")</f>
        <v>0.61</v>
      </c>
      <c r="R11" s="39">
        <f t="shared" si="2"/>
        <v>0.64864864864864868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-24500</v>
      </c>
      <c r="V11" s="122">
        <f>U11/'Master P&amp;L'!$AD$7*10000</f>
        <v>-9.7054285302489191E-2</v>
      </c>
      <c r="W11" s="122">
        <f>(Y11*H11*T11/S11)/'Master P&amp;L'!$AD$7*10000</f>
        <v>-9.7054285302489191E-2</v>
      </c>
      <c r="X11" s="339">
        <f t="shared" si="4"/>
        <v>0</v>
      </c>
      <c r="Y11" s="202">
        <f t="shared" si="5"/>
        <v>0.49</v>
      </c>
      <c r="Z11" s="36">
        <f>_xll.BDP(D11&amp;" Equity","LAST_PRICE")</f>
        <v>76.849999999999994</v>
      </c>
      <c r="AA11" s="36" cm="1">
        <f t="array" ref="AA11">_xll.BDP(B11&amp;" Equity","OPT_STRIKE_PX")</f>
        <v>100</v>
      </c>
      <c r="AB11" s="39">
        <f t="shared" si="6"/>
        <v>0.30123617436564754</v>
      </c>
      <c r="AC11" s="252" cm="1">
        <f t="array" ref="AC11">_xll.BDP($D11&amp;" Equity","volatility_10d")</f>
        <v>82.36147497992603</v>
      </c>
      <c r="AD11" s="36" cm="1">
        <f t="array" ref="AD11">_xll.BDP(B11&amp;" Equity","ivol_mid")</f>
        <v>27.04335</v>
      </c>
      <c r="AE11" s="36">
        <f t="shared" si="7"/>
        <v>0.32834951057628919</v>
      </c>
      <c r="AF11" s="37" cm="1">
        <f t="array" ref="AF11">_xll.BDP(B11&amp;" Equity","DELTA_MID_RT")</f>
        <v>8.4348201751708984E-2</v>
      </c>
      <c r="AG11" s="18">
        <f>AL11/'Master P&amp;L'!$AE$7</f>
        <v>-1.2839210990340028E-4</v>
      </c>
      <c r="AH11" s="18">
        <f>AM11/'Master P&amp;L'!$AE$7</f>
        <v>-1.5221677194890396E-3</v>
      </c>
      <c r="AI11" s="352">
        <f>AO11/'Master P&amp;L'!$AD$7*10000</f>
        <v>1.3584846933010185E-3</v>
      </c>
      <c r="AJ11" s="277">
        <f t="shared" si="8"/>
        <v>-1.7315504128930851E-2</v>
      </c>
      <c r="AK11" s="37">
        <f>AP11/'Master P&amp;L'!$AD$7*10000</f>
        <v>-5.9420991001523944E-3</v>
      </c>
      <c r="AL11" s="15">
        <f t="shared" si="9"/>
        <v>-324107.96523094177</v>
      </c>
      <c r="AM11" s="15">
        <f t="shared" si="10"/>
        <v>-3842500</v>
      </c>
      <c r="AN11" s="37" cm="1">
        <f t="array" ref="AN11">_xll.BDP($B11&amp;" Equity","theta_mid_rt")</f>
        <v>-6.8586100824177265E-3</v>
      </c>
      <c r="AO11" s="15">
        <f t="shared" si="11"/>
        <v>342.93050412088633</v>
      </c>
      <c r="AP11" s="15">
        <f t="shared" si="12"/>
        <v>-1499.9999999999986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8.9119999999999998E-3</v>
      </c>
      <c r="AS11">
        <f t="shared" si="13"/>
        <v>-26316.790659999991</v>
      </c>
      <c r="AT11">
        <f t="shared" si="14"/>
        <v>-131583.95329999996</v>
      </c>
      <c r="AU11" t="s">
        <v>95</v>
      </c>
      <c r="AV11" s="206" cm="1">
        <f t="array" ref="AV11">_xll.BDP($D11&amp;" Equity","EST_PE_NXT_YR")*(AA11/Z11)</f>
        <v>22.221885985484668</v>
      </c>
      <c r="AX11" s="15"/>
      <c r="AY11" s="206">
        <v>0.49</v>
      </c>
      <c r="AZ11" s="282"/>
      <c r="BA11" s="15">
        <f t="shared" si="15"/>
        <v>0.49</v>
      </c>
      <c r="BB11" s="340">
        <f t="shared" si="16"/>
        <v>0.46</v>
      </c>
      <c r="BC11" s="340">
        <f t="shared" si="17"/>
        <v>1499.9999999999986</v>
      </c>
      <c r="BD11" s="340">
        <f>BC11/'Master P&amp;L'!$AD$7*10000</f>
        <v>5.9420991001523944E-3</v>
      </c>
    </row>
    <row r="12" spans="1:56" ht="15.75" customHeight="1">
      <c r="A12" s="263"/>
      <c r="B12" s="72" t="s">
        <v>879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154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6.2</v>
      </c>
      <c r="K12" s="73">
        <f t="shared" si="18"/>
        <v>6.2</v>
      </c>
      <c r="L12" s="73" cm="1">
        <f t="array" ref="L12">_xll.BDP($B12&amp;" Equity","mid")</f>
        <v>6.43</v>
      </c>
      <c r="M12" s="74">
        <f t="shared" si="0"/>
        <v>0.13742252618080786</v>
      </c>
      <c r="N12" s="279"/>
      <c r="O12" s="74">
        <f t="shared" si="1"/>
        <v>3.7096774193548399E-2</v>
      </c>
      <c r="P12" s="73" cm="1">
        <f t="array" ref="P12">_xll.BDP($B12&amp;" Equity","bid")</f>
        <v>6.2</v>
      </c>
      <c r="Q12" s="73" cm="1">
        <f t="array" ref="Q12">_xll.BDP($B12&amp;" Equity","ask")</f>
        <v>6.65</v>
      </c>
      <c r="R12" s="75">
        <f t="shared" si="2"/>
        <v>7.2580645161290258E-2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192900</v>
      </c>
      <c r="V12" s="111">
        <f>U12/'Master P&amp;L'!$AD$7*10000</f>
        <v>0.7641539442795986</v>
      </c>
      <c r="W12" s="111">
        <f>(Y12*H12*T12/S12)/'Master P&amp;L'!$AD$7*10000</f>
        <v>0.7641539442795986</v>
      </c>
      <c r="X12" s="116">
        <f t="shared" si="4"/>
        <v>0</v>
      </c>
      <c r="Y12" s="201">
        <f t="shared" si="5"/>
        <v>6.43</v>
      </c>
      <c r="Z12" s="76">
        <f>_xll.BDP(D12&amp;" Equity","LAST_PRICE")</f>
        <v>46.79</v>
      </c>
      <c r="AA12" s="76" cm="1">
        <f t="array" ref="AA12">_xll.BDP(B12&amp;" Equity","OPT_STRIKE_PX")</f>
        <v>50</v>
      </c>
      <c r="AB12" s="75">
        <f t="shared" si="6"/>
        <v>6.8604402650138896E-2</v>
      </c>
      <c r="AC12" s="251" cm="1">
        <f t="array" ref="AC12">_xll.BDP($D12&amp;" Equity","volatility_10d")</f>
        <v>52.718561475449086</v>
      </c>
      <c r="AD12" s="76" cm="1">
        <f t="array" ref="AD12">_xll.BDP(B12&amp;" Equity","ivol_mid")</f>
        <v>62.208530000000003</v>
      </c>
      <c r="AE12" s="76">
        <f t="shared" si="7"/>
        <v>1.1800119020502935</v>
      </c>
      <c r="AF12" s="77" cm="1">
        <f t="array" ref="AF12">_xll.BDP(B12&amp;" Equity","DELTA_MID_RT")</f>
        <v>0.52849560976028442</v>
      </c>
      <c r="AG12" s="74">
        <f>AL12/'Master P&amp;L'!$AE$7</f>
        <v>2.9387613221534126E-4</v>
      </c>
      <c r="AH12" s="74">
        <f>AM12/'Master P&amp;L'!$AE$7</f>
        <v>5.5606163379226157E-4</v>
      </c>
      <c r="AI12" s="353">
        <f>AO12/'Master P&amp;L'!$AD$7*10000</f>
        <v>-2.823763882960296E-3</v>
      </c>
      <c r="AJ12" s="277">
        <f t="shared" si="8"/>
        <v>3.5992231208519396E-2</v>
      </c>
      <c r="AK12" s="77">
        <f>AP12/'Master P&amp;L'!$AD$7*10000</f>
        <v>2.7333655860700981E-2</v>
      </c>
      <c r="AL12" s="41">
        <f t="shared" si="9"/>
        <v>741849.28742051125</v>
      </c>
      <c r="AM12" s="41">
        <f t="shared" si="10"/>
        <v>1403700</v>
      </c>
      <c r="AN12" s="77" cm="1">
        <f t="array" ref="AN12">_xll.BDP($B12&amp;" Equity","theta_mid_rt")</f>
        <v>-2.3760659620165825E-2</v>
      </c>
      <c r="AO12" s="41">
        <f t="shared" si="11"/>
        <v>-712.81978860497475</v>
      </c>
      <c r="AP12" s="41">
        <f t="shared" si="12"/>
        <v>6899.9999999999864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1.0092E-2</v>
      </c>
      <c r="AS12" s="72">
        <f t="shared" si="13"/>
        <v>6628.3370931600002</v>
      </c>
      <c r="AT12" s="72">
        <f t="shared" si="14"/>
        <v>33141.685465800001</v>
      </c>
      <c r="AU12" s="72" t="s">
        <v>95</v>
      </c>
      <c r="AV12" s="250" cm="1">
        <f t="array" ref="AV12">_xll.BDP($D12&amp;" Equity","EST_PE_NXT_YR")*(AA12/Z12)</f>
        <v>50.645372295297499</v>
      </c>
      <c r="AW12" s="72"/>
      <c r="AX12" s="41"/>
      <c r="AY12" s="250">
        <v>6.55</v>
      </c>
      <c r="AZ12" s="281"/>
      <c r="BA12" s="41">
        <f t="shared" si="15"/>
        <v>6.55</v>
      </c>
      <c r="BB12" s="273">
        <f t="shared" si="16"/>
        <v>6.2</v>
      </c>
      <c r="BC12" s="273">
        <f t="shared" si="17"/>
        <v>-10499.999999999989</v>
      </c>
      <c r="BD12" s="273">
        <f>BC12/'Master P&amp;L'!$AD$7*10000</f>
        <v>-4.1594693701066755E-2</v>
      </c>
    </row>
    <row r="13" spans="1:56" ht="15.75" customHeight="1">
      <c r="A13" s="283"/>
      <c r="B13" t="s">
        <v>1045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125</v>
      </c>
      <c r="G13" t="s">
        <v>137</v>
      </c>
      <c r="H13" s="15">
        <v>150</v>
      </c>
      <c r="I13" s="336">
        <v>121.6</v>
      </c>
      <c r="J13" s="14">
        <f>VLOOKUP(B13,Precificação!$B:$O,14,FALSE)</f>
        <v>136.94999999999999</v>
      </c>
      <c r="K13" s="73">
        <f t="shared" si="18"/>
        <v>136.94999999999999</v>
      </c>
      <c r="L13" s="35" cm="1">
        <f t="array" ref="L13">_xll.BDP($B13&amp;" Equity","mid")</f>
        <v>126.95</v>
      </c>
      <c r="M13" s="18">
        <f t="shared" si="0"/>
        <v>0.22559263603084906</v>
      </c>
      <c r="N13" s="277"/>
      <c r="O13" s="18">
        <f t="shared" si="1"/>
        <v>-7.3019350127783711E-2</v>
      </c>
      <c r="P13" s="35" cm="1">
        <f t="array" ref="P13">_xll.BDP($B13&amp;" Equity","bid")</f>
        <v>124.9</v>
      </c>
      <c r="Q13" s="35" cm="1">
        <f t="array" ref="Q13">_xll.BDP($B13&amp;" Equity","ask")</f>
        <v>129</v>
      </c>
      <c r="R13" s="39">
        <f t="shared" si="2"/>
        <v>3.2826261008807034E-2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1904250</v>
      </c>
      <c r="V13" s="122">
        <f>U13/'Master P&amp;L'!$AD$7*10000</f>
        <v>7.5434948076434711</v>
      </c>
      <c r="W13" s="122">
        <f>(Y13*H13*T13/S13)/'Master P&amp;L'!$AD$7*10000</f>
        <v>7.5434948076434711</v>
      </c>
      <c r="X13" s="339">
        <f t="shared" si="4"/>
        <v>0</v>
      </c>
      <c r="Y13" s="202">
        <f t="shared" si="5"/>
        <v>126.95</v>
      </c>
      <c r="Z13" s="36">
        <f>_xll.BDP(D13&amp;" Equity","LAST_PRICE")</f>
        <v>562.74</v>
      </c>
      <c r="AA13" s="36" cm="1">
        <f t="array" ref="AA13">_xll.BDP(B13&amp;" Equity","OPT_STRIKE_PX")</f>
        <v>600</v>
      </c>
      <c r="AB13" s="39">
        <f t="shared" si="6"/>
        <v>6.6211749653481089E-2</v>
      </c>
      <c r="AC13" s="252" cm="1">
        <f t="array" ref="AC13">_xll.BDP($D13&amp;" Equity","volatility_10d")</f>
        <v>77.086388721561221</v>
      </c>
      <c r="AD13" s="36" cm="1">
        <f t="array" ref="AD13">_xll.BDP(B13&amp;" Equity","ivol_mid")</f>
        <v>106.2303</v>
      </c>
      <c r="AE13" s="36">
        <f t="shared" si="7"/>
        <v>1.3780681876758765</v>
      </c>
      <c r="AF13" s="37" cm="1">
        <f t="array" ref="AF13">_xll.BDP(B13&amp;" Equity","DELTA_MID_RT")</f>
        <v>0.59300315380096436</v>
      </c>
      <c r="AG13" s="18">
        <f>AL13/'Master P&amp;L'!$AE$7</f>
        <v>1.9829176564974691E-3</v>
      </c>
      <c r="AH13" s="18">
        <f>AM13/'Master P&amp;L'!$AE$7</f>
        <v>3.3438568476197614E-3</v>
      </c>
      <c r="AI13" s="352">
        <f>AO13/'Master P&amp;L'!$AD$7*10000</f>
        <v>-3.1606991341765776E-2</v>
      </c>
      <c r="AJ13" s="277">
        <f t="shared" si="8"/>
        <v>0.40286871966996546</v>
      </c>
      <c r="AK13" s="37">
        <f>AP13/'Master P&amp;L'!$AD$7*10000</f>
        <v>-0.59420991001523915</v>
      </c>
      <c r="AL13" s="15">
        <f t="shared" si="9"/>
        <v>5005598.9215493202</v>
      </c>
      <c r="AM13" s="15">
        <f t="shared" si="10"/>
        <v>8441100</v>
      </c>
      <c r="AN13" s="37" cm="1">
        <f t="array" ref="AN13">_xll.BDP($B13&amp;" Equity","theta_mid_rt")</f>
        <v>-0.53191626071929932</v>
      </c>
      <c r="AO13" s="15">
        <f t="shared" si="11"/>
        <v>-7978.7439107894897</v>
      </c>
      <c r="AP13" s="15">
        <f t="shared" si="12"/>
        <v>-149999.9999999998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6.293E-3</v>
      </c>
      <c r="AS13">
        <f t="shared" si="13"/>
        <v>298926.60055902001</v>
      </c>
      <c r="AT13">
        <f t="shared" si="14"/>
        <v>1494633.0027951</v>
      </c>
      <c r="AU13" t="s">
        <v>95</v>
      </c>
      <c r="AV13" s="206" cm="1">
        <f t="array" ref="AV13">_xll.BDP($D13&amp;" Equity","EST_PE_NXT_YR")*(AA13/Z13)</f>
        <v>43.429766002778699</v>
      </c>
      <c r="AX13" s="15"/>
      <c r="AY13" s="206">
        <v>128.75</v>
      </c>
      <c r="AZ13" s="282"/>
      <c r="BA13" s="15">
        <f t="shared" si="15"/>
        <v>128.75</v>
      </c>
      <c r="BB13" s="340">
        <f t="shared" si="16"/>
        <v>136.94999999999999</v>
      </c>
      <c r="BC13" s="340">
        <f t="shared" si="17"/>
        <v>122999.99999999983</v>
      </c>
      <c r="BD13" s="340">
        <f>BC13/'Master P&amp;L'!$AD$7*10000</f>
        <v>0.48725212621249603</v>
      </c>
    </row>
    <row r="14" spans="1:56" ht="15.75" customHeight="1">
      <c r="A14" s="263"/>
      <c r="B14" s="72" t="s">
        <v>1046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125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99.45</v>
      </c>
      <c r="K14" s="73">
        <f t="shared" si="18"/>
        <v>99.45</v>
      </c>
      <c r="L14" s="73" cm="1">
        <f t="array" ref="L14">_xll.BDP($B14&amp;" Equity","mid")</f>
        <v>91.35</v>
      </c>
      <c r="M14" s="74">
        <f t="shared" si="0"/>
        <v>0.1623307388847425</v>
      </c>
      <c r="N14" s="279"/>
      <c r="O14" s="74">
        <f t="shared" si="1"/>
        <v>-8.1447963800905021E-2</v>
      </c>
      <c r="P14" s="73" cm="1">
        <f t="array" ref="P14">_xll.BDP($B14&amp;" Equity","bid")</f>
        <v>89.2</v>
      </c>
      <c r="Q14" s="73" cm="1">
        <f t="array" ref="Q14">_xll.BDP($B14&amp;" Equity","ask")</f>
        <v>93.5</v>
      </c>
      <c r="R14" s="75">
        <f t="shared" si="2"/>
        <v>4.8206278026905691E-2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-1370250</v>
      </c>
      <c r="V14" s="111">
        <f>U14/'Master P&amp;L'!$AD$7*10000</f>
        <v>-5.4281075279892175</v>
      </c>
      <c r="W14" s="111">
        <f>(Y14*H14*T14/S14)/'Master P&amp;L'!$AD$7*10000</f>
        <v>-5.4281075279892175</v>
      </c>
      <c r="X14" s="116">
        <f t="shared" si="4"/>
        <v>0</v>
      </c>
      <c r="Y14" s="201">
        <f t="shared" si="5"/>
        <v>91.35</v>
      </c>
      <c r="Z14" s="76">
        <f>_xll.BDP(D14&amp;" Equity","LAST_PRICE")</f>
        <v>562.74</v>
      </c>
      <c r="AA14" s="76" cm="1">
        <f t="array" ref="AA14">_xll.BDP(B14&amp;" Equity","OPT_STRIKE_PX")</f>
        <v>720</v>
      </c>
      <c r="AB14" s="75">
        <f t="shared" si="6"/>
        <v>0.27945409958417744</v>
      </c>
      <c r="AC14" s="251" cm="1">
        <f t="array" ref="AC14">_xll.BDP($D14&amp;" Equity","volatility_10d")</f>
        <v>77.086388721561221</v>
      </c>
      <c r="AD14" s="76" cm="1">
        <f t="array" ref="AD14">_xll.BDP(B14&amp;" Equity","ivol_mid")</f>
        <v>106.2462</v>
      </c>
      <c r="AE14" s="76">
        <f t="shared" si="7"/>
        <v>1.3782744497704396</v>
      </c>
      <c r="AF14" s="77" cm="1">
        <f t="array" ref="AF14">_xll.BDP(B14&amp;" Equity","DELTA_MID_RT")</f>
        <v>0.47481134533882141</v>
      </c>
      <c r="AG14" s="74">
        <f>AL14/'Master P&amp;L'!$AE$7</f>
        <v>-1.5877011684387692E-3</v>
      </c>
      <c r="AH14" s="74">
        <f>AM14/'Master P&amp;L'!$AE$7</f>
        <v>-3.3438568476197614E-3</v>
      </c>
      <c r="AI14" s="353">
        <f>AO14/'Master P&amp;L'!$AD$7*10000</f>
        <v>3.2477083088535946E-2</v>
      </c>
      <c r="AJ14" s="277">
        <f t="shared" si="8"/>
        <v>-0.41395907446604197</v>
      </c>
      <c r="AK14" s="77">
        <f>AP14/'Master P&amp;L'!$AD$7*10000</f>
        <v>0.48131002711234488</v>
      </c>
      <c r="AL14" s="41">
        <f t="shared" si="9"/>
        <v>-4007930.0471395254</v>
      </c>
      <c r="AM14" s="41">
        <f t="shared" si="10"/>
        <v>-8441100</v>
      </c>
      <c r="AN14" s="77" cm="1">
        <f t="array" ref="AN14">_xll.BDP($B14&amp;" Equity","theta_mid_rt")</f>
        <v>-0.54655909538269043</v>
      </c>
      <c r="AO14" s="41">
        <f t="shared" si="11"/>
        <v>8198.3864307403564</v>
      </c>
      <c r="AP14" s="41">
        <f t="shared" si="12"/>
        <v>121500.00000000013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6.6439999999999997E-3</v>
      </c>
      <c r="AS14" s="72">
        <f t="shared" si="13"/>
        <v>-315599.60815415997</v>
      </c>
      <c r="AT14" s="72">
        <f t="shared" si="14"/>
        <v>-1577998.0407708003</v>
      </c>
      <c r="AU14" s="72" t="s">
        <v>95</v>
      </c>
      <c r="AV14" s="250" cm="1">
        <f t="array" ref="AV14">_xll.BDP($D14&amp;" Equity","EST_PE_NXT_YR")*(AA14/Z14)</f>
        <v>52.115719203334443</v>
      </c>
      <c r="AW14" s="72"/>
      <c r="AX14" s="41"/>
      <c r="AY14" s="250">
        <v>93.35</v>
      </c>
      <c r="AZ14" s="281"/>
      <c r="BA14" s="41">
        <f t="shared" si="15"/>
        <v>93.35</v>
      </c>
      <c r="BB14" s="273">
        <f t="shared" si="16"/>
        <v>99.45</v>
      </c>
      <c r="BC14" s="273">
        <f t="shared" si="17"/>
        <v>-91500.000000000131</v>
      </c>
      <c r="BD14" s="273">
        <f>BC14/'Master P&amp;L'!$AD$7*10000</f>
        <v>-0.36246804510929687</v>
      </c>
    </row>
    <row r="15" spans="1:56" ht="15.75" customHeight="1">
      <c r="A15" s="283"/>
      <c r="B15" t="s">
        <v>957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154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27.4</v>
      </c>
      <c r="K15" s="73">
        <f t="shared" si="18"/>
        <v>27.4</v>
      </c>
      <c r="L15" s="35" cm="1">
        <f t="array" ref="L15">_xll.BDP($B15&amp;" Equity","mid")</f>
        <v>23.7</v>
      </c>
      <c r="M15" s="18">
        <f t="shared" si="0"/>
        <v>3.7044562889788517E-2</v>
      </c>
      <c r="N15" s="277"/>
      <c r="O15" s="18">
        <f t="shared" si="1"/>
        <v>-0.13503649635036497</v>
      </c>
      <c r="P15" s="35" cm="1">
        <f t="array" ref="P15">_xll.BDP($B15&amp;" Equity","bid")</f>
        <v>23.5</v>
      </c>
      <c r="Q15" s="35" cm="1">
        <f t="array" ref="Q15">_xll.BDP($B15&amp;" Equity","ask")</f>
        <v>23.9</v>
      </c>
      <c r="R15" s="39">
        <f t="shared" si="2"/>
        <v>1.7021276595744705E-2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402900</v>
      </c>
      <c r="V15" s="122">
        <f>U15/'Master P&amp;L'!$AD$7*10000</f>
        <v>1.5960478183009346</v>
      </c>
      <c r="W15" s="122">
        <f>(Y15*H15*T15/S15)/'Master P&amp;L'!$AD$7*10000</f>
        <v>1.5960478183009346</v>
      </c>
      <c r="X15" s="339">
        <f t="shared" si="4"/>
        <v>0</v>
      </c>
      <c r="Y15" s="202">
        <f t="shared" si="5"/>
        <v>23.7</v>
      </c>
      <c r="Z15" s="36">
        <f>_xll.BDP(D15&amp;" Equity","LAST_PRICE")</f>
        <v>639.77</v>
      </c>
      <c r="AA15" s="36" cm="1">
        <f t="array" ref="AA15">_xll.BDP(B15&amp;" Equity","OPT_STRIKE_PX")</f>
        <v>750</v>
      </c>
      <c r="AB15" s="39">
        <f t="shared" si="6"/>
        <v>0.17229629398064938</v>
      </c>
      <c r="AC15" s="252" cm="1">
        <f t="array" ref="AC15">_xll.BDP($D15&amp;" Equity","volatility_10d")</f>
        <v>27.643204024336221</v>
      </c>
      <c r="AD15" s="36" cm="1">
        <f t="array" ref="AD15">_xll.BDP(B15&amp;" Equity","ivol_mid")</f>
        <v>34.314880000000002</v>
      </c>
      <c r="AE15" s="36">
        <f t="shared" si="7"/>
        <v>1.2413495906549126</v>
      </c>
      <c r="AF15" s="37" cm="1">
        <f t="array" ref="AF15">_xll.BDP(B15&amp;" Equity","DELTA_MID_RT")</f>
        <v>0.29414078593254089</v>
      </c>
      <c r="AG15" s="18">
        <f>AL15/'Master P&amp;L'!$AE$7</f>
        <v>1.2672919398661966E-3</v>
      </c>
      <c r="AH15" s="18">
        <f>AM15/'Master P&amp;L'!$AE$7</f>
        <v>4.3084536401451004E-3</v>
      </c>
      <c r="AI15" s="352">
        <f>AO15/'Master P&amp;L'!$AD$7*10000</f>
        <v>-1.1181312509094382E-2</v>
      </c>
      <c r="AJ15" s="277">
        <f t="shared" si="8"/>
        <v>0.14251913464525806</v>
      </c>
      <c r="AK15" s="37">
        <f>AP15/'Master P&amp;L'!$AD$7*10000</f>
        <v>-0.2491720222663906</v>
      </c>
      <c r="AL15" s="15">
        <f t="shared" si="9"/>
        <v>3199101.6604730487</v>
      </c>
      <c r="AM15" s="15">
        <f t="shared" si="10"/>
        <v>10876090</v>
      </c>
      <c r="AN15" s="37" cm="1">
        <f t="array" ref="AN15">_xll.BDP($B15&amp;" Equity","theta_mid_rt")</f>
        <v>-0.1660333126783371</v>
      </c>
      <c r="AO15" s="15">
        <f t="shared" si="11"/>
        <v>-2822.5663155317307</v>
      </c>
      <c r="AP15" s="15">
        <f t="shared" si="12"/>
        <v>-62899.999999999993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1.6146000000000001E-2</v>
      </c>
      <c r="AS15">
        <f t="shared" si="13"/>
        <v>1123470.3421929781</v>
      </c>
      <c r="AT15">
        <f t="shared" si="14"/>
        <v>5617351.7109648902</v>
      </c>
      <c r="AU15" t="s">
        <v>95</v>
      </c>
      <c r="AV15" s="206" cm="1">
        <f t="array" ref="AV15">_xll.BDP($D15&amp;" Equity","EST_PE_NXT_YR")*(AA15/Z15)</f>
        <v>20.003278279167159</v>
      </c>
      <c r="AX15" s="15"/>
      <c r="AY15" s="206">
        <v>25.3</v>
      </c>
      <c r="AZ15" s="282"/>
      <c r="BA15" s="15">
        <f t="shared" si="15"/>
        <v>25.3</v>
      </c>
      <c r="BB15" s="340">
        <f t="shared" si="16"/>
        <v>27.4</v>
      </c>
      <c r="BC15" s="340">
        <f t="shared" si="17"/>
        <v>35699.999999999964</v>
      </c>
      <c r="BD15" s="340">
        <f>BC15/'Master P&amp;L'!$AD$7*10000</f>
        <v>0.14142195858362697</v>
      </c>
    </row>
    <row r="16" spans="1:56" ht="15.75" customHeight="1">
      <c r="A16" s="263"/>
      <c r="B16" s="72" t="s">
        <v>845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35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3.1749999999999998</v>
      </c>
      <c r="K16" s="73">
        <f t="shared" si="18"/>
        <v>3.1749999999999998</v>
      </c>
      <c r="L16" s="73" cm="1">
        <f t="array" ref="L16">_xll.BDP($B16&amp;" Equity","mid")</f>
        <v>2.96</v>
      </c>
      <c r="M16" s="74">
        <f t="shared" si="0"/>
        <v>3.7654242462790991E-2</v>
      </c>
      <c r="N16" s="279"/>
      <c r="O16" s="74">
        <f t="shared" si="1"/>
        <v>-6.7716535433070879E-2</v>
      </c>
      <c r="P16" s="73" cm="1">
        <f t="array" ref="P16">_xll.BDP($B16&amp;" Equity","bid")</f>
        <v>2.83</v>
      </c>
      <c r="Q16" s="73" cm="1">
        <f t="array" ref="Q16">_xll.BDP($B16&amp;" Equity","ask")</f>
        <v>3.1</v>
      </c>
      <c r="R16" s="75">
        <f t="shared" si="2"/>
        <v>9.540636042402828E-2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133200</v>
      </c>
      <c r="V16" s="111">
        <f>U16/'Master P&amp;L'!$AD$7*10000</f>
        <v>0.52765840009353304</v>
      </c>
      <c r="W16" s="111">
        <f>(Y16*H16*T16/S16)/'Master P&amp;L'!$AD$7*10000</f>
        <v>0.52765840009353304</v>
      </c>
      <c r="X16" s="116">
        <f t="shared" si="4"/>
        <v>0</v>
      </c>
      <c r="Y16" s="201">
        <f t="shared" si="5"/>
        <v>2.96</v>
      </c>
      <c r="Z16" s="76">
        <f>_xll.BDP(D16&amp;" Equity","LAST_PRICE")</f>
        <v>78.61</v>
      </c>
      <c r="AA16" s="76" cm="1">
        <f t="array" ref="AA16">_xll.BDP(B16&amp;" Equity","OPT_STRIKE_PX")</f>
        <v>70</v>
      </c>
      <c r="AB16" s="75">
        <f t="shared" si="6"/>
        <v>-0.10952804986642917</v>
      </c>
      <c r="AC16" s="251" cm="1">
        <f t="array" ref="AC16">_xll.BDP($D16&amp;" Equity","volatility_10d")</f>
        <v>58.980462816313306</v>
      </c>
      <c r="AD16" s="76" cm="1">
        <f t="array" ref="AD16">_xll.BDP(B16&amp;" Equity","ivol_mid")</f>
        <v>70.463239999999999</v>
      </c>
      <c r="AE16" s="76">
        <f t="shared" si="7"/>
        <v>1.1946878107662235</v>
      </c>
      <c r="AF16" s="77" cm="1">
        <f t="array" ref="AF16">_xll.BDP(B16&amp;" Equity","DELTA_MID_RT")</f>
        <v>-0.25573426485061646</v>
      </c>
      <c r="AG16" s="74">
        <f>AL16/'Master P&amp;L'!$AE$7</f>
        <v>-3.5836687771243012E-4</v>
      </c>
      <c r="AH16" s="74">
        <f>AM16/'Master P&amp;L'!$AE$7</f>
        <v>-1.4013252307889404E-3</v>
      </c>
      <c r="AI16" s="353">
        <f>AO16/'Master P&amp;L'!$AD$7*10000</f>
        <v>-1.4125452037704241E-2</v>
      </c>
      <c r="AJ16" s="277">
        <f t="shared" si="8"/>
        <v>0.18004569671488041</v>
      </c>
      <c r="AK16" s="77">
        <f>AP16/'Master P&amp;L'!$AD$7*10000</f>
        <v>-3.8326539195982952E-2</v>
      </c>
      <c r="AL16" s="41">
        <f t="shared" si="9"/>
        <v>-904647.17519581318</v>
      </c>
      <c r="AM16" s="41">
        <f t="shared" si="10"/>
        <v>-3537450</v>
      </c>
      <c r="AN16" s="77" cm="1">
        <f t="array" ref="AN16">_xll.BDP($B16&amp;" Equity","theta_mid_rt")</f>
        <v>-7.9239405691623688E-2</v>
      </c>
      <c r="AO16" s="41">
        <f t="shared" si="11"/>
        <v>-3565.7732561230659</v>
      </c>
      <c r="AP16" s="41">
        <f t="shared" si="12"/>
        <v>-9674.9999999999927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1.4803999999999999E-2</v>
      </c>
      <c r="AS16" s="72">
        <f t="shared" si="13"/>
        <v>41166.806943780008</v>
      </c>
      <c r="AT16" s="72">
        <f t="shared" si="14"/>
        <v>205834.03471890002</v>
      </c>
      <c r="AU16" s="72" t="s">
        <v>95</v>
      </c>
      <c r="AV16" s="250" cm="1">
        <f t="array" ref="AV16">_xll.BDP($D16&amp;" Equity","EST_PE_NXT_YR")*(AA16/Z16)</f>
        <v>19.598844626332784</v>
      </c>
      <c r="AW16" s="72"/>
      <c r="AX16" s="41"/>
      <c r="AY16" s="250">
        <v>2.82</v>
      </c>
      <c r="AZ16" s="281"/>
      <c r="BA16" s="41">
        <f t="shared" si="15"/>
        <v>2.82</v>
      </c>
      <c r="BB16" s="273">
        <f t="shared" si="16"/>
        <v>3.1749999999999998</v>
      </c>
      <c r="BC16" s="273">
        <f t="shared" si="17"/>
        <v>15975</v>
      </c>
      <c r="BD16" s="273">
        <f>BC16/'Master P&amp;L'!$AD$7*10000</f>
        <v>6.3283355416623055E-2</v>
      </c>
    </row>
    <row r="17" spans="1:56" ht="15.75" customHeight="1">
      <c r="A17" s="283"/>
      <c r="B17" t="s">
        <v>979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35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1.08</v>
      </c>
      <c r="K17" s="73">
        <f t="shared" si="18"/>
        <v>1.08</v>
      </c>
      <c r="L17" s="35" cm="1">
        <f t="array" ref="L17">_xll.BDP($B17&amp;" Equity","mid")</f>
        <v>1.02</v>
      </c>
      <c r="M17" s="18">
        <f t="shared" si="0"/>
        <v>1.2975448416232032E-2</v>
      </c>
      <c r="N17" s="277"/>
      <c r="O17" s="18">
        <f t="shared" si="1"/>
        <v>-5.555555555555558E-2</v>
      </c>
      <c r="P17" s="35" cm="1">
        <f t="array" ref="P17">_xll.BDP($B17&amp;" Equity","bid")</f>
        <v>0.91</v>
      </c>
      <c r="Q17" s="35" cm="1">
        <f t="array" ref="Q17">_xll.BDP($B17&amp;" Equity","ask")</f>
        <v>1.1399999999999999</v>
      </c>
      <c r="R17" s="39">
        <f t="shared" si="2"/>
        <v>0.25274725274725252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-45900</v>
      </c>
      <c r="V17" s="122">
        <f>U17/'Master P&amp;L'!$AD$7*10000</f>
        <v>-0.18182823246466343</v>
      </c>
      <c r="W17" s="122">
        <f>(Y17*H17*T17/S17)/'Master P&amp;L'!$AD$7*10000</f>
        <v>-0.18182823246466343</v>
      </c>
      <c r="X17" s="339">
        <f t="shared" si="4"/>
        <v>0</v>
      </c>
      <c r="Y17" s="202">
        <f t="shared" si="5"/>
        <v>1.02</v>
      </c>
      <c r="Z17" s="36">
        <f>_xll.BDP(D17&amp;" Equity","LAST_PRICE")</f>
        <v>78.61</v>
      </c>
      <c r="AA17" s="36" cm="1">
        <f t="array" ref="AA17">_xll.BDP(B17&amp;" Equity","OPT_STRIKE_PX")</f>
        <v>60</v>
      </c>
      <c r="AB17" s="39">
        <f t="shared" si="6"/>
        <v>-0.23673832845693932</v>
      </c>
      <c r="AC17" s="252" cm="1">
        <f t="array" ref="AC17">_xll.BDP($D17&amp;" Equity","volatility_10d")</f>
        <v>58.980462816313306</v>
      </c>
      <c r="AD17" s="36" cm="1">
        <f t="array" ref="AD17">_xll.BDP(B17&amp;" Equity","ivol_mid")</f>
        <v>77.061189999999996</v>
      </c>
      <c r="AE17" s="36">
        <f t="shared" si="7"/>
        <v>1.3065545151789784</v>
      </c>
      <c r="AF17" s="37" cm="1">
        <f t="array" ref="AF17">_xll.BDP(B17&amp;" Equity","DELTA_MID_RT")</f>
        <v>-0.10308077186346054</v>
      </c>
      <c r="AG17" s="18">
        <f>AL17/'Master P&amp;L'!$AE$7</f>
        <v>1.4444968642146592E-4</v>
      </c>
      <c r="AH17" s="18">
        <f>AM17/'Master P&amp;L'!$AE$7</f>
        <v>1.4013252307889404E-3</v>
      </c>
      <c r="AI17" s="352">
        <f>AO17/'Master P&amp;L'!$AD$7*10000</f>
        <v>8.6343601383733412E-3</v>
      </c>
      <c r="AJ17" s="277">
        <f t="shared" si="8"/>
        <v>-0.11005519558956922</v>
      </c>
      <c r="AK17" s="37">
        <f>AP17/'Master P&amp;L'!$AD$7*10000</f>
        <v>1.0695778380274329E-2</v>
      </c>
      <c r="AL17" s="15">
        <f t="shared" si="9"/>
        <v>364643.07642839843</v>
      </c>
      <c r="AM17" s="15">
        <f t="shared" si="10"/>
        <v>3537450</v>
      </c>
      <c r="AN17" s="37" cm="1">
        <f t="array" ref="AN17">_xll.BDP($B17&amp;" Equity","theta_mid_rt")</f>
        <v>-4.8436082899570465E-2</v>
      </c>
      <c r="AO17" s="15">
        <f t="shared" si="11"/>
        <v>2179.6237304806709</v>
      </c>
      <c r="AP17" s="15">
        <f t="shared" si="12"/>
        <v>2700.0000000000023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7.6150000000000002E-3</v>
      </c>
      <c r="AS17">
        <f t="shared" si="13"/>
        <v>-21175.711623675001</v>
      </c>
      <c r="AT17">
        <f t="shared" si="14"/>
        <v>-105878.558118375</v>
      </c>
      <c r="AU17" t="s">
        <v>95</v>
      </c>
      <c r="AV17" s="206" cm="1">
        <f t="array" ref="AV17">_xll.BDP($D17&amp;" Equity","EST_PE_NXT_YR")*(AA17/Z17)</f>
        <v>16.799009679713812</v>
      </c>
      <c r="AX17" s="15"/>
      <c r="AY17" s="206">
        <v>0.99</v>
      </c>
      <c r="AZ17" s="282"/>
      <c r="BA17" s="15">
        <f t="shared" si="15"/>
        <v>0.99</v>
      </c>
      <c r="BB17" s="340">
        <f t="shared" si="16"/>
        <v>1.08</v>
      </c>
      <c r="BC17" s="340">
        <f t="shared" si="17"/>
        <v>-4050.0000000000036</v>
      </c>
      <c r="BD17" s="340">
        <f>BC17/'Master P&amp;L'!$AD$7*10000</f>
        <v>-1.6043667570411493E-2</v>
      </c>
    </row>
    <row r="18" spans="1:56" ht="15.75" customHeight="1">
      <c r="A18" s="263"/>
      <c r="B18" s="72" t="s">
        <v>980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91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2.1800000000000002</v>
      </c>
      <c r="K18" s="73">
        <f t="shared" si="18"/>
        <v>2.1800000000000002</v>
      </c>
      <c r="L18" s="73" cm="1">
        <f t="array" ref="L18">_xll.BDP($B18&amp;" Equity","mid")</f>
        <v>2.21</v>
      </c>
      <c r="M18" s="74">
        <f t="shared" si="0"/>
        <v>2.8749837387797579E-2</v>
      </c>
      <c r="N18" s="279"/>
      <c r="O18" s="74">
        <f t="shared" si="1"/>
        <v>1.3761467889908063E-2</v>
      </c>
      <c r="P18" s="73" cm="1">
        <f t="array" ref="P18">_xll.BDP($B18&amp;" Equity","bid")</f>
        <v>2.13</v>
      </c>
      <c r="Q18" s="73" cm="1">
        <f t="array" ref="Q18">_xll.BDP($B18&amp;" Equity","ask")</f>
        <v>2.2799999999999998</v>
      </c>
      <c r="R18" s="75">
        <f t="shared" si="2"/>
        <v>7.0422535211267512E-2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-66300</v>
      </c>
      <c r="V18" s="111">
        <f>U18/'Master P&amp;L'!$AD$7*10000</f>
        <v>-0.26264078022673604</v>
      </c>
      <c r="W18" s="111">
        <f>(Y18*H18*T18/S18)/'Master P&amp;L'!$AD$7*10000</f>
        <v>-0.26264078022673604</v>
      </c>
      <c r="X18" s="116">
        <f t="shared" si="4"/>
        <v>0</v>
      </c>
      <c r="Y18" s="201">
        <f t="shared" si="5"/>
        <v>2.21</v>
      </c>
      <c r="Z18" s="76">
        <f>_xll.BDP(D18&amp;" Equity","LAST_PRICE")</f>
        <v>76.87</v>
      </c>
      <c r="AA18" s="76" cm="1">
        <f t="array" ref="AA18">_xll.BDP(B18&amp;" Equity","OPT_STRIKE_PX")</f>
        <v>90</v>
      </c>
      <c r="AB18" s="75">
        <f t="shared" si="6"/>
        <v>0.17080785742162075</v>
      </c>
      <c r="AC18" s="251" cm="1">
        <f t="array" ref="AC18">_xll.BDP($D18&amp;" Equity","volatility_10d")</f>
        <v>37.902422757200057</v>
      </c>
      <c r="AD18" s="76" cm="1">
        <f t="array" ref="AD18">_xll.BDP(B18&amp;" Equity","ivol_mid")</f>
        <v>39.810429999999997</v>
      </c>
      <c r="AE18" s="76">
        <f t="shared" si="7"/>
        <v>1.0503399810355787</v>
      </c>
      <c r="AF18" s="77" cm="1">
        <f t="array" ref="AF18">_xll.BDP(B18&amp;" Equity","DELTA_MID_RT")</f>
        <v>0.26410236954689026</v>
      </c>
      <c r="AG18" s="74">
        <f>AL18/'Master P&amp;L'!$AE$7</f>
        <v>-2.4126763383700223E-4</v>
      </c>
      <c r="AH18" s="74">
        <f>AM18/'Master P&amp;L'!$AE$7</f>
        <v>-9.1353831565742986E-4</v>
      </c>
      <c r="AI18" s="353">
        <f>AO18/'Master P&amp;L'!$AD$7*10000</f>
        <v>3.2076132921203876E-3</v>
      </c>
      <c r="AJ18" s="277">
        <f t="shared" si="8"/>
        <v>-4.0884848741845163E-2</v>
      </c>
      <c r="AK18" s="77">
        <f>AP18/'Master P&amp;L'!$AD$7*10000</f>
        <v>-3.5652594600914162E-3</v>
      </c>
      <c r="AL18" s="41">
        <f t="shared" si="9"/>
        <v>-609046.47441208363</v>
      </c>
      <c r="AM18" s="41">
        <f t="shared" si="10"/>
        <v>-2306100</v>
      </c>
      <c r="AN18" s="77" cm="1">
        <f t="array" ref="AN18">_xll.BDP($B18&amp;" Equity","theta_mid_rt")</f>
        <v>-2.6990573853254318E-2</v>
      </c>
      <c r="AO18" s="41">
        <f t="shared" si="11"/>
        <v>809.71721559762955</v>
      </c>
      <c r="AP18" s="41">
        <f t="shared" si="12"/>
        <v>-899.99999999999409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1.6115999999999998E-2</v>
      </c>
      <c r="AS18" s="72">
        <f t="shared" si="13"/>
        <v>-28568.818212120004</v>
      </c>
      <c r="AT18" s="72">
        <f t="shared" si="14"/>
        <v>-142844.09106060001</v>
      </c>
      <c r="AU18" s="72" t="s">
        <v>95</v>
      </c>
      <c r="AV18" s="250" cm="1">
        <f t="array" ref="AV18">_xll.BDP($D18&amp;" Equity","EST_PE_NXT_YR")*(AA18/Z18)</f>
        <v>23.637874458553984</v>
      </c>
      <c r="AW18" s="72"/>
      <c r="AX18" s="41"/>
      <c r="AY18" s="250">
        <v>2.15</v>
      </c>
      <c r="AZ18" s="281"/>
      <c r="BA18" s="41">
        <f t="shared" si="15"/>
        <v>2.15</v>
      </c>
      <c r="BB18" s="273">
        <f t="shared" si="16"/>
        <v>2.1800000000000002</v>
      </c>
      <c r="BC18" s="273">
        <f t="shared" si="17"/>
        <v>-900.0000000000075</v>
      </c>
      <c r="BD18" s="273">
        <f>BC18/'Master P&amp;L'!$AD$7*10000</f>
        <v>-3.5652594600914696E-3</v>
      </c>
    </row>
    <row r="19" spans="1:56" ht="15.75" customHeight="1">
      <c r="A19" s="283"/>
      <c r="B19" t="s">
        <v>981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91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3.6749999999999998</v>
      </c>
      <c r="K19" s="73">
        <f t="shared" si="18"/>
        <v>3.6749999999999998</v>
      </c>
      <c r="L19" s="35" cm="1">
        <f t="array" ref="L19">_xll.BDP($B19&amp;" Equity","mid")</f>
        <v>3.25</v>
      </c>
      <c r="M19" s="18">
        <f t="shared" si="0"/>
        <v>4.2279172629114084E-2</v>
      </c>
      <c r="N19" s="277"/>
      <c r="O19" s="18">
        <f t="shared" si="1"/>
        <v>-0.11564625850340127</v>
      </c>
      <c r="P19" s="35" cm="1">
        <f t="array" ref="P19">_xll.BDP($B19&amp;" Equity","bid")</f>
        <v>3</v>
      </c>
      <c r="Q19" s="35" cm="1">
        <f t="array" ref="Q19">_xll.BDP($B19&amp;" Equity","ask")</f>
        <v>3.5</v>
      </c>
      <c r="R19" s="39">
        <f t="shared" si="2"/>
        <v>0.16666666666666674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-32500</v>
      </c>
      <c r="V19" s="122">
        <f>U19/'Master P&amp;L'!$AD$7*10000</f>
        <v>-0.12874548050330201</v>
      </c>
      <c r="W19" s="122">
        <f>(Y19*H19*T19/S19)/'Master P&amp;L'!$AD$7*10000</f>
        <v>-0.12874548050330201</v>
      </c>
      <c r="X19" s="339">
        <f t="shared" si="4"/>
        <v>0</v>
      </c>
      <c r="Y19" s="202">
        <f t="shared" si="5"/>
        <v>3.25</v>
      </c>
      <c r="Z19" s="36">
        <f>_xll.BDP(D19&amp;" Equity","LAST_PRICE")</f>
        <v>76.87</v>
      </c>
      <c r="AA19" s="36" cm="1">
        <f t="array" ref="AA19">_xll.BDP(B19&amp;" Equity","OPT_STRIKE_PX")</f>
        <v>70</v>
      </c>
      <c r="AB19" s="39">
        <f t="shared" si="6"/>
        <v>-8.9371666449850395E-2</v>
      </c>
      <c r="AC19" s="252" cm="1">
        <f t="array" ref="AC19">_xll.BDP($D19&amp;" Equity","volatility_10d")</f>
        <v>37.902422757200057</v>
      </c>
      <c r="AD19" s="36" cm="1">
        <f t="array" ref="AD19">_xll.BDP(B19&amp;" Equity","ivol_mid")</f>
        <v>43.020699999999998</v>
      </c>
      <c r="AE19" s="36">
        <f t="shared" si="7"/>
        <v>1.1350382606301244</v>
      </c>
      <c r="AF19" s="37" cm="1">
        <f t="array" ref="AF19">_xll.BDP(B19&amp;" Equity","DELTA_MID_RT")</f>
        <v>-0.27933627367019653</v>
      </c>
      <c r="AG19" s="18">
        <f>AL19/'Master P&amp;L'!$AE$7</f>
        <v>8.5061462983564766E-5</v>
      </c>
      <c r="AH19" s="18">
        <f>AM19/'Master P&amp;L'!$AE$7</f>
        <v>3.0451277188580999E-4</v>
      </c>
      <c r="AI19" s="352">
        <f>AO19/'Master P&amp;L'!$AD$7*10000</f>
        <v>1.239972648002717E-3</v>
      </c>
      <c r="AJ19" s="277">
        <f t="shared" si="8"/>
        <v>-1.5804927072148318E-2</v>
      </c>
      <c r="AK19" s="37">
        <f>AP19/'Master P&amp;L'!$AD$7*10000</f>
        <v>1.6835947450431793E-2</v>
      </c>
      <c r="AL19" s="15">
        <f t="shared" si="9"/>
        <v>214725.79357028013</v>
      </c>
      <c r="AM19" s="15">
        <f t="shared" si="10"/>
        <v>768700</v>
      </c>
      <c r="AN19" s="37" cm="1">
        <f t="array" ref="AN19">_xll.BDP($B19&amp;" Equity","theta_mid_rt")</f>
        <v>-3.1301379203796387E-2</v>
      </c>
      <c r="AO19" s="15">
        <f t="shared" si="11"/>
        <v>313.01379203796387</v>
      </c>
      <c r="AP19" s="15">
        <f t="shared" si="12"/>
        <v>4249.9999999999982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1.6081999999999999E-2</v>
      </c>
      <c r="AS19">
        <f t="shared" si="13"/>
        <v>-9502.848814580002</v>
      </c>
      <c r="AT19">
        <f t="shared" si="14"/>
        <v>-47514.244072900001</v>
      </c>
      <c r="AU19" t="s">
        <v>95</v>
      </c>
      <c r="AV19" s="206" cm="1">
        <f t="array" ref="AV19">_xll.BDP($D19&amp;" Equity","EST_PE_NXT_YR")*(AA19/Z19)</f>
        <v>18.385013467764214</v>
      </c>
      <c r="AX19" s="15"/>
      <c r="AY19" s="206">
        <v>3.12</v>
      </c>
      <c r="AZ19" s="282"/>
      <c r="BA19" s="15">
        <f t="shared" si="15"/>
        <v>3.12</v>
      </c>
      <c r="BB19" s="340">
        <f t="shared" si="16"/>
        <v>3.6749999999999998</v>
      </c>
      <c r="BC19" s="340">
        <f t="shared" si="17"/>
        <v>-5549.9999999999973</v>
      </c>
      <c r="BD19" s="340">
        <f>BC19/'Master P&amp;L'!$AD$7*10000</f>
        <v>-2.1985766670563869E-2</v>
      </c>
    </row>
    <row r="20" spans="1:56" ht="15.75" customHeight="1">
      <c r="A20" s="263"/>
      <c r="B20" s="72" t="s">
        <v>923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91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12.475</v>
      </c>
      <c r="K20" s="73">
        <f t="shared" si="18"/>
        <v>12.475</v>
      </c>
      <c r="L20" s="73" cm="1">
        <f t="array" ref="L20">_xll.BDP($B20&amp;" Equity","mid")</f>
        <v>10.45</v>
      </c>
      <c r="M20" s="74">
        <f t="shared" si="0"/>
        <v>5.7163174881024008E-2</v>
      </c>
      <c r="N20" s="279"/>
      <c r="O20" s="74">
        <f t="shared" si="1"/>
        <v>-0.16232464929859725</v>
      </c>
      <c r="P20" s="73" cm="1">
        <f t="array" ref="P20">_xll.BDP($B20&amp;" Equity","bid")</f>
        <v>10.4</v>
      </c>
      <c r="Q20" s="73" cm="1">
        <f t="array" ref="Q20">_xll.BDP($B20&amp;" Equity","ask")</f>
        <v>10.5</v>
      </c>
      <c r="R20" s="75">
        <f t="shared" si="2"/>
        <v>9.6153846153845812E-3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156750</v>
      </c>
      <c r="V20" s="111">
        <f>U20/'Master P&amp;L'!$AD$7*10000</f>
        <v>0.62094935596592571</v>
      </c>
      <c r="W20" s="111">
        <f>(Y20*H20*T20/S20)/'Master P&amp;L'!$AD$7*10000</f>
        <v>0.62094935596592571</v>
      </c>
      <c r="X20" s="116">
        <f t="shared" si="4"/>
        <v>0</v>
      </c>
      <c r="Y20" s="201">
        <f t="shared" si="5"/>
        <v>10.45</v>
      </c>
      <c r="Z20" s="76">
        <f>_xll.BDP(D20&amp;" Equity","LAST_PRICE")</f>
        <v>182.81</v>
      </c>
      <c r="AA20" s="76" cm="1">
        <f t="array" ref="AA20">_xll.BDP(B20&amp;" Equity","OPT_STRIKE_PX")</f>
        <v>200</v>
      </c>
      <c r="AB20" s="75">
        <f t="shared" si="6"/>
        <v>9.4032055139215531E-2</v>
      </c>
      <c r="AC20" s="251" cm="1">
        <f t="array" ref="AC20">_xll.BDP($D20&amp;" Equity","volatility_10d")</f>
        <v>56.077291903714311</v>
      </c>
      <c r="AD20" s="76" cm="1">
        <f t="array" ref="AD20">_xll.BDP(B20&amp;" Equity","ivol_mid")</f>
        <v>44.465139999999998</v>
      </c>
      <c r="AE20" s="76">
        <f t="shared" si="7"/>
        <v>0.79292595078142181</v>
      </c>
      <c r="AF20" s="77" cm="1">
        <f t="array" ref="AF20">_xll.BDP(B20&amp;" Equity","DELTA_MID_RT")</f>
        <v>0.40252652764320374</v>
      </c>
      <c r="AG20" s="74">
        <f>AL20/'Master P&amp;L'!$AE$7</f>
        <v>4.3725455876003334E-4</v>
      </c>
      <c r="AH20" s="74">
        <f>AM20/'Master P&amp;L'!$AE$7</f>
        <v>1.0862751364988602E-3</v>
      </c>
      <c r="AI20" s="353">
        <f>AO20/'Master P&amp;L'!$AD$7*10000</f>
        <v>-5.1187468136657654E-3</v>
      </c>
      <c r="AJ20" s="277">
        <f t="shared" si="8"/>
        <v>6.524451988605616E-2</v>
      </c>
      <c r="AK20" s="77">
        <f>AP20/'Master P&amp;L'!$AD$7*10000</f>
        <v>-0.1203275067780861</v>
      </c>
      <c r="AL20" s="41">
        <f t="shared" si="9"/>
        <v>1103788.1177768111</v>
      </c>
      <c r="AM20" s="41">
        <f t="shared" si="10"/>
        <v>2742150</v>
      </c>
      <c r="AN20" s="77" cm="1">
        <f t="array" ref="AN20">_xll.BDP($B20&amp;" Equity","theta_mid_rt")</f>
        <v>-8.6143746972084045E-2</v>
      </c>
      <c r="AO20" s="41">
        <f t="shared" si="11"/>
        <v>-1292.1562045812607</v>
      </c>
      <c r="AP20" s="41">
        <f t="shared" si="12"/>
        <v>-30375.000000000004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1.7357999999999998E-2</v>
      </c>
      <c r="AS20" s="72">
        <f t="shared" si="13"/>
        <v>87014.341995570008</v>
      </c>
      <c r="AT20" s="72">
        <f t="shared" si="14"/>
        <v>435071.70997784997</v>
      </c>
      <c r="AU20" s="72" t="s">
        <v>95</v>
      </c>
      <c r="AV20" s="250" cm="1">
        <f t="array" ref="AV20">_xll.BDP($D20&amp;" Equity","EST_PE_NXT_YR")*(AA20/Z20)</f>
        <v>25.843326976922285</v>
      </c>
      <c r="AW20" s="72"/>
      <c r="AX20" s="41"/>
      <c r="AY20" s="250">
        <v>10.47</v>
      </c>
      <c r="AZ20" s="281"/>
      <c r="BA20" s="41">
        <f t="shared" si="15"/>
        <v>10.47</v>
      </c>
      <c r="BB20" s="273">
        <f t="shared" si="16"/>
        <v>12.475</v>
      </c>
      <c r="BC20" s="273">
        <f t="shared" si="17"/>
        <v>30074.999999999982</v>
      </c>
      <c r="BD20" s="273">
        <f>BC20/'Master P&amp;L'!$AD$7*10000</f>
        <v>0.11913908695805553</v>
      </c>
    </row>
    <row r="21" spans="1:56" ht="15.75" customHeight="1">
      <c r="A21" s="283"/>
      <c r="B21" t="s">
        <v>1069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NVDA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35</v>
      </c>
      <c r="G21" t="str" cm="1">
        <f t="array" ref="G21">_xll.BDP(B21&amp;" Equity","QUOTED_CURRENCY_REALTIME")</f>
        <v>USD</v>
      </c>
      <c r="H21" s="15">
        <v>725</v>
      </c>
      <c r="I21" s="336">
        <v>7.98</v>
      </c>
      <c r="J21" s="14">
        <f>VLOOKUP(B21,Precificação!$B:$O,14,FALSE)</f>
        <v>6.55</v>
      </c>
      <c r="K21" s="73">
        <f t="shared" si="18"/>
        <v>6.55</v>
      </c>
      <c r="L21" s="35" cm="1">
        <f t="array" ref="L21">_xll.BDP($B21&amp;" Equity","mid")</f>
        <v>4.88</v>
      </c>
      <c r="M21" s="18">
        <f t="shared" si="0"/>
        <v>2.669438214539686E-2</v>
      </c>
      <c r="N21" s="277"/>
      <c r="O21" s="18">
        <f t="shared" si="1"/>
        <v>-0.25496183206106871</v>
      </c>
      <c r="P21" s="35" cm="1">
        <f t="array" ref="P21">_xll.BDP($B21&amp;" Equity","bid")</f>
        <v>4.8499999999999996</v>
      </c>
      <c r="Q21" s="35" cm="1">
        <f t="array" ref="Q21">_xll.BDP($B21&amp;" Equity","ask")</f>
        <v>4.9000000000000004</v>
      </c>
      <c r="R21" s="39">
        <f t="shared" si="2"/>
        <v>1.0309278350515649E-2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353800</v>
      </c>
      <c r="V21" s="122">
        <f>U21/'Master P&amp;L'!$AD$7*10000</f>
        <v>1.4015431077559459</v>
      </c>
      <c r="W21" s="122">
        <f>(Y21*H21*T21/S21)/'Master P&amp;L'!$AD$7*10000</f>
        <v>1.4015431077559459</v>
      </c>
      <c r="X21" s="339">
        <f t="shared" si="4"/>
        <v>0</v>
      </c>
      <c r="Y21" s="202">
        <f t="shared" si="5"/>
        <v>4.88</v>
      </c>
      <c r="Z21" s="36">
        <f>_xll.BDP(D21&amp;" Equity","LAST_PRICE")</f>
        <v>182.81</v>
      </c>
      <c r="AA21" s="36" cm="1">
        <f t="array" ref="AA21">_xll.BDP(B21&amp;" Equity","OPT_STRIKE_PX")</f>
        <v>200</v>
      </c>
      <c r="AB21" s="39">
        <f t="shared" si="6"/>
        <v>9.4032055139215531E-2</v>
      </c>
      <c r="AC21" s="252" cm="1">
        <f t="array" ref="AC21">_xll.BDP($D21&amp;" Equity","volatility_10d")</f>
        <v>56.077291903714311</v>
      </c>
      <c r="AD21" s="36" cm="1">
        <f t="array" ref="AD21">_xll.BDP(B21&amp;" Equity","ivol_mid")</f>
        <v>47.01981</v>
      </c>
      <c r="AE21" s="36">
        <f t="shared" si="7"/>
        <v>0.83848218064334912</v>
      </c>
      <c r="AF21" s="37" cm="1">
        <f t="array" ref="AF21">_xll.BDP(B21&amp;" Equity","DELTA_MID_RT")</f>
        <v>0.30479326844215393</v>
      </c>
      <c r="AG21" s="18">
        <f>AL21/'Master P&amp;L'!$AE$7</f>
        <v>1.6002651881911834E-3</v>
      </c>
      <c r="AH21" s="18">
        <f>AM21/'Master P&amp;L'!$AE$7</f>
        <v>5.2503298264111571E-3</v>
      </c>
      <c r="AI21" s="352">
        <f>AO21/'Master P&amp;L'!$AD$7*10000</f>
        <v>-3.9422035096247768E-2</v>
      </c>
      <c r="AJ21" s="277">
        <f t="shared" si="8"/>
        <v>0.50248075289036709</v>
      </c>
      <c r="AK21" s="37">
        <f>AP21/'Master P&amp;L'!$AD$7*10000</f>
        <v>-0.47962643236730113</v>
      </c>
      <c r="AL21" s="15">
        <f t="shared" si="9"/>
        <v>4039646.1617834866</v>
      </c>
      <c r="AM21" s="15">
        <f t="shared" si="10"/>
        <v>13253725</v>
      </c>
      <c r="AN21" s="37" cm="1">
        <f t="array" ref="AN21">_xll.BDP($B21&amp;" Equity","theta_mid_rt")</f>
        <v>-0.13726265728473663</v>
      </c>
      <c r="AO21" s="15">
        <f t="shared" si="11"/>
        <v>-9951.5426531434059</v>
      </c>
      <c r="AP21" s="15">
        <f t="shared" si="12"/>
        <v>-121075</v>
      </c>
      <c r="AQ21" s="35" t="str" cm="1">
        <f t="array" ref="AQ21">_xll.BDP($D21&amp;" Equity","EXPECTED_REPORT_DT")</f>
        <v>25/02/2026</v>
      </c>
      <c r="AR21" s="65" cm="1">
        <f t="array" ref="AR21">_xll.BDP($B21&amp;" Equity","GAMMA_LAST")</f>
        <v>2.3467999999999999E-2</v>
      </c>
      <c r="AS21">
        <f t="shared" si="13"/>
        <v>568609.33249423001</v>
      </c>
      <c r="AT21">
        <f t="shared" si="14"/>
        <v>2843046.66247115</v>
      </c>
      <c r="AU21" t="s">
        <v>95</v>
      </c>
      <c r="AV21" s="206" cm="1">
        <f t="array" ref="AV21">_xll.BDP($D21&amp;" Equity","EST_PE_NXT_YR")*(AA21/Z21)</f>
        <v>25.843326976922285</v>
      </c>
      <c r="AX21" s="15"/>
      <c r="AY21" s="206">
        <v>4.8499999999999996</v>
      </c>
      <c r="AZ21" s="282"/>
      <c r="BA21" s="15">
        <f t="shared" si="15"/>
        <v>4.8499999999999996</v>
      </c>
      <c r="BB21" s="340">
        <f t="shared" si="16"/>
        <v>6.55</v>
      </c>
      <c r="BC21" s="340">
        <f t="shared" si="17"/>
        <v>123250.00000000003</v>
      </c>
      <c r="BD21" s="340">
        <f>BC21/'Master P&amp;L'!$AD$7*10000</f>
        <v>0.48824247606252225</v>
      </c>
    </row>
    <row r="22" spans="1:56" ht="15.75" customHeight="1">
      <c r="A22" s="263"/>
      <c r="B22" s="72" t="s">
        <v>1070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35</v>
      </c>
      <c r="G22" s="72" t="str" cm="1">
        <f t="array" ref="G22">_xll.BDP(B22&amp;" Equity","QUOTED_CURRENCY_REALTIME")</f>
        <v>USD</v>
      </c>
      <c r="H22" s="41">
        <v>-725</v>
      </c>
      <c r="I22" s="335">
        <v>2.54</v>
      </c>
      <c r="J22" s="14">
        <f>VLOOKUP(B22,Precificação!$B:$O,14,FALSE)</f>
        <v>2.0499999999999998</v>
      </c>
      <c r="K22" s="73">
        <f t="shared" si="18"/>
        <v>2.0499999999999998</v>
      </c>
      <c r="L22" s="73" cm="1">
        <f t="array" ref="L22">_xll.BDP($B22&amp;" Equity","mid")</f>
        <v>1.41</v>
      </c>
      <c r="M22" s="74">
        <f t="shared" si="0"/>
        <v>7.7129259887314689E-3</v>
      </c>
      <c r="N22" s="279"/>
      <c r="O22" s="74">
        <f t="shared" si="1"/>
        <v>-0.31219512195121946</v>
      </c>
      <c r="P22" s="73" cm="1">
        <f t="array" ref="P22">_xll.BDP($B22&amp;" Equity","bid")</f>
        <v>1.4</v>
      </c>
      <c r="Q22" s="73" cm="1">
        <f t="array" ref="Q22">_xll.BDP($B22&amp;" Equity","ask")</f>
        <v>1.42</v>
      </c>
      <c r="R22" s="75">
        <f t="shared" si="2"/>
        <v>1.4285714285714235E-2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-102224.99999999999</v>
      </c>
      <c r="V22" s="111">
        <f>U22/'Master P&amp;L'!$AD$7*10000</f>
        <v>-0.40495405367538601</v>
      </c>
      <c r="W22" s="111">
        <f>(Y22*H22*T22/S22)/'Master P&amp;L'!$AD$7*10000</f>
        <v>-0.40495405367538601</v>
      </c>
      <c r="X22" s="116">
        <f t="shared" si="4"/>
        <v>0</v>
      </c>
      <c r="Y22" s="201">
        <f t="shared" si="5"/>
        <v>1.41</v>
      </c>
      <c r="Z22" s="76">
        <f>_xll.BDP(D22&amp;" Equity","LAST_PRICE")</f>
        <v>182.81</v>
      </c>
      <c r="AA22" s="76" cm="1">
        <f t="array" ref="AA22">_xll.BDP(B22&amp;" Equity","OPT_STRIKE_PX")</f>
        <v>220</v>
      </c>
      <c r="AB22" s="75">
        <f t="shared" si="6"/>
        <v>0.20343526065313711</v>
      </c>
      <c r="AC22" s="251" cm="1">
        <f t="array" ref="AC22">_xll.BDP($D22&amp;" Equity","volatility_10d")</f>
        <v>56.077291903714311</v>
      </c>
      <c r="AD22" s="76" cm="1">
        <f t="array" ref="AD22">_xll.BDP(B22&amp;" Equity","ivol_mid")</f>
        <v>45.986109999999996</v>
      </c>
      <c r="AE22" s="76">
        <f t="shared" si="7"/>
        <v>0.82004869420154869</v>
      </c>
      <c r="AF22" s="77" cm="1">
        <f t="array" ref="AF22">_xll.BDP(B22&amp;" Equity","DELTA_MID_RT")</f>
        <v>0.11652334034442902</v>
      </c>
      <c r="AG22" s="74">
        <f>AL22/'Master P&amp;L'!$AE$7</f>
        <v>-6.1178596928341416E-4</v>
      </c>
      <c r="AH22" s="74">
        <f>AM22/'Master P&amp;L'!$AE$7</f>
        <v>-5.2503298264111571E-3</v>
      </c>
      <c r="AI22" s="353">
        <f>AO22/'Master P&amp;L'!$AD$7*10000</f>
        <v>2.1238994961411333E-2</v>
      </c>
      <c r="AJ22" s="277">
        <f t="shared" si="8"/>
        <v>-0.27071626700115414</v>
      </c>
      <c r="AK22" s="77">
        <f>AP22/'Master P&amp;L'!$AD$7*10000</f>
        <v>0.18380893216471419</v>
      </c>
      <c r="AL22" s="41">
        <f t="shared" si="9"/>
        <v>-1544368.3090064675</v>
      </c>
      <c r="AM22" s="41">
        <f t="shared" si="10"/>
        <v>-13253725</v>
      </c>
      <c r="AN22" s="77" cm="1">
        <f t="array" ref="AN22">_xll.BDP($B22&amp;" Equity","theta_mid_rt")</f>
        <v>-7.3951557278633118E-2</v>
      </c>
      <c r="AO22" s="41">
        <f t="shared" si="11"/>
        <v>5361.487902700901</v>
      </c>
      <c r="AP22" s="41">
        <f t="shared" si="12"/>
        <v>46399.999999999993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1.2951000000000001E-2</v>
      </c>
      <c r="AS22" s="72">
        <f t="shared" si="13"/>
        <v>-313791.52314354753</v>
      </c>
      <c r="AT22" s="72">
        <f t="shared" si="14"/>
        <v>-1568957.6157177379</v>
      </c>
      <c r="AU22" s="72" t="s">
        <v>95</v>
      </c>
      <c r="AV22" s="250" cm="1">
        <f t="array" ref="AV22">_xll.BDP($D22&amp;" Equity","EST_PE_NXT_YR")*(AA22/Z22)</f>
        <v>28.427659674614514</v>
      </c>
      <c r="AW22" s="72"/>
      <c r="AX22" s="41"/>
      <c r="AY22" s="250">
        <v>1.36</v>
      </c>
      <c r="AZ22" s="281"/>
      <c r="BA22" s="41">
        <f t="shared" si="15"/>
        <v>1.36</v>
      </c>
      <c r="BB22" s="273">
        <f t="shared" si="16"/>
        <v>2.0499999999999998</v>
      </c>
      <c r="BC22" s="273">
        <f t="shared" si="17"/>
        <v>-50024.999999999978</v>
      </c>
      <c r="BD22" s="273">
        <f>BC22/'Master P&amp;L'!$AD$7*10000</f>
        <v>-0.19816900499008244</v>
      </c>
    </row>
    <row r="23" spans="1:56" s="397" customFormat="1" ht="15.75" customHeight="1">
      <c r="A23" s="528" t="s">
        <v>441</v>
      </c>
      <c r="B23" s="397" t="s">
        <v>1096</v>
      </c>
      <c r="C23" s="397" t="str" cm="1">
        <f t="array" ref="C23">_xll.BDP($B23&amp;" Equity","opt_put_call")</f>
        <v>Put</v>
      </c>
      <c r="D23" s="397" t="str" cm="1">
        <f t="array" ref="D23">_xll.BDP(B23&amp;" Equity","OPT_UNDL_TICKER")</f>
        <v>QQQ US</v>
      </c>
      <c r="E23" s="397" t="str" cm="1">
        <f t="array" ref="E23">_xll.BDP($B23&amp;" Equity","mifid_Maturity_date")</f>
        <v>20/02/2026</v>
      </c>
      <c r="F23" s="397" cm="1">
        <f t="array" ref="F23">_xll.BDP($B23&amp;" Equity","opt_days_expire")</f>
        <v>7</v>
      </c>
      <c r="G23" s="397" t="str" cm="1">
        <f t="array" ref="G23">_xll.BDP(B23&amp;" Equity","QUOTED_CURRENCY_REALTIME")</f>
        <v>USD</v>
      </c>
      <c r="H23" s="527">
        <v>900</v>
      </c>
      <c r="I23" s="526">
        <v>7.44</v>
      </c>
      <c r="J23" s="525">
        <f>VLOOKUP(B23,Precificação!$B:$O,14,FALSE)</f>
        <v>7.8949999999999996</v>
      </c>
      <c r="K23" s="525">
        <f t="shared" si="18"/>
        <v>7.8949999999999996</v>
      </c>
      <c r="L23" s="525" cm="1">
        <f t="array" ref="L23">_xll.BDP($B23&amp;" Equity","mid")</f>
        <v>6.77</v>
      </c>
      <c r="M23" s="516">
        <f t="shared" si="0"/>
        <v>1.1247341839447103E-2</v>
      </c>
      <c r="N23" s="524"/>
      <c r="O23" s="516">
        <f t="shared" si="1"/>
        <v>-0.14249525015832809</v>
      </c>
      <c r="P23" s="525" cm="1">
        <f t="array" ref="P23">_xll.BDP($B23&amp;" Equity","bid")</f>
        <v>6.74</v>
      </c>
      <c r="Q23" s="525" cm="1">
        <f t="array" ref="Q23">_xll.BDP($B23&amp;" Equity","ask")</f>
        <v>6.8</v>
      </c>
      <c r="R23" s="523">
        <f t="shared" si="2"/>
        <v>8.9020771513352859E-3</v>
      </c>
      <c r="S23" s="525" cm="1">
        <f t="array" ref="S23">_xll.BDP(G23&amp;" Curncy","PX_LAST")</f>
        <v>1</v>
      </c>
      <c r="T23" s="527" cm="1">
        <f t="array" ref="T23">_xll.BDP(B23&amp;" Equity","OPT_MULTIPLIER")</f>
        <v>100</v>
      </c>
      <c r="U23" s="527">
        <f t="shared" si="3"/>
        <v>609300</v>
      </c>
      <c r="V23" s="522">
        <f>U23/'Master P&amp;L'!$AD$7*10000</f>
        <v>2.4136806544819045</v>
      </c>
      <c r="W23" s="522">
        <f>(Y23*H23*T23/S23)/'Master P&amp;L'!$AD$7*10000</f>
        <v>2.4136806544819045</v>
      </c>
      <c r="X23" s="515">
        <f t="shared" si="4"/>
        <v>0</v>
      </c>
      <c r="Y23" s="521">
        <f t="shared" si="5"/>
        <v>6.77</v>
      </c>
      <c r="Z23" s="520">
        <f>_xll.BDP(D23&amp;" Equity","LAST_PRICE")</f>
        <v>601.91999999999996</v>
      </c>
      <c r="AA23" s="520" cm="1">
        <f t="array" ref="AA23">_xll.BDP(B23&amp;" Equity","OPT_STRIKE_PX")</f>
        <v>600</v>
      </c>
      <c r="AB23" s="523">
        <f t="shared" si="6"/>
        <v>-3.1897926634768536E-3</v>
      </c>
      <c r="AC23" s="519" cm="1">
        <f t="array" ref="AC23">_xll.BDP($D23&amp;" Equity","volatility_10d")</f>
        <v>22.172048627512993</v>
      </c>
      <c r="AD23" s="520" cm="1">
        <f t="array" ref="AD23">_xll.BDP(B23&amp;" Equity","ivol_mid")</f>
        <v>26.353670000000001</v>
      </c>
      <c r="AE23" s="520">
        <f t="shared" si="7"/>
        <v>1.1885987823108999</v>
      </c>
      <c r="AF23" s="290" cm="1">
        <f t="array" ref="AF23">_xll.BDP(B23&amp;" Equity","DELTA_MID_RT")</f>
        <v>-0.44627535343170166</v>
      </c>
      <c r="AG23" s="516">
        <f>AL23/'Master P&amp;L'!$AE$7</f>
        <v>-9.5770734323402072E-3</v>
      </c>
      <c r="AH23" s="516">
        <f>AM23/'Master P&amp;L'!$AE$7</f>
        <v>-2.1460009742182394E-2</v>
      </c>
      <c r="AI23" s="514">
        <f>AO23/'Master P&amp;L'!$AD$7*10000</f>
        <v>-0.25220860905194925</v>
      </c>
      <c r="AJ23" s="524">
        <f t="shared" si="8"/>
        <v>3.2146988721522902</v>
      </c>
      <c r="AK23" s="290">
        <f>AP23/'Master P&amp;L'!$AD$7*10000</f>
        <v>-0.40109168926028693</v>
      </c>
      <c r="AL23" s="527">
        <f t="shared" si="9"/>
        <v>-24175985.466384884</v>
      </c>
      <c r="AM23" s="527">
        <f t="shared" si="10"/>
        <v>-54172800</v>
      </c>
      <c r="AN23" s="290" cm="1">
        <f t="array" ref="AN23">_xll.BDP($B23&amp;" Equity","theta_mid_rt")</f>
        <v>-0.70740604400634766</v>
      </c>
      <c r="AO23" s="527">
        <f t="shared" si="11"/>
        <v>-63666.543960571289</v>
      </c>
      <c r="AP23" s="527">
        <f t="shared" si="12"/>
        <v>-101250</v>
      </c>
      <c r="AQ23" s="525" t="str" cm="1">
        <f t="array" ref="AQ23">_xll.BDP($D23&amp;" Equity","EXPECTED_REPORT_DT")</f>
        <v>#N/A N/A</v>
      </c>
      <c r="AR23" s="286" cm="1">
        <f t="array" ref="AR23">_xll.BDP($B23&amp;" Equity","GAMMA_LAST")</f>
        <v>0.119991</v>
      </c>
      <c r="AS23" s="397">
        <f t="shared" si="13"/>
        <v>39126295.438940153</v>
      </c>
      <c r="AT23" s="397">
        <f t="shared" si="14"/>
        <v>195631477.19470081</v>
      </c>
      <c r="AU23" s="397" t="s">
        <v>95</v>
      </c>
      <c r="AV23" s="518" t="e" cm="1">
        <f t="array" ref="AV23">_xll.BDP($D23&amp;" Equity","EST_PE_NXT_YR")*(AA23/Z23)</f>
        <v>#VALUE!</v>
      </c>
      <c r="AX23" s="527"/>
      <c r="AY23" s="518">
        <v>4.8</v>
      </c>
      <c r="AZ23" s="513"/>
      <c r="BA23" s="527">
        <f t="shared" si="15"/>
        <v>4.8</v>
      </c>
      <c r="BB23" s="517">
        <f t="shared" si="16"/>
        <v>7.8949999999999996</v>
      </c>
      <c r="BC23" s="517">
        <f t="shared" si="17"/>
        <v>278550</v>
      </c>
      <c r="BD23" s="517">
        <f>BC23/'Master P&amp;L'!$AD$7*10000</f>
        <v>1.1034478028983006</v>
      </c>
    </row>
    <row r="24" spans="1:56" s="397" customFormat="1" ht="15.75" customHeight="1">
      <c r="A24" s="528"/>
      <c r="B24" s="397" t="s">
        <v>1068</v>
      </c>
      <c r="C24" s="397" t="str" cm="1">
        <f t="array" ref="C24">_xll.BDP($B24&amp;" Equity","opt_put_call")</f>
        <v>Put</v>
      </c>
      <c r="D24" s="397" t="str" cm="1">
        <f t="array" ref="D24">_xll.BDP(B24&amp;" Equity","OPT_UNDL_TICKER")</f>
        <v>QQQ US</v>
      </c>
      <c r="E24" s="397" t="str" cm="1">
        <f t="array" ref="E24">_xll.BDP($B24&amp;" Equity","mifid_Maturity_date")</f>
        <v>20/02/2026</v>
      </c>
      <c r="F24" s="397" cm="1">
        <f t="array" ref="F24">_xll.BDP($B24&amp;" Equity","opt_days_expire")</f>
        <v>7</v>
      </c>
      <c r="G24" s="397" t="str" cm="1">
        <f t="array" ref="G24">_xll.BDP(B24&amp;" Equity","QUOTED_CURRENCY_REALTIME")</f>
        <v>USD</v>
      </c>
      <c r="H24" s="527">
        <v>-900</v>
      </c>
      <c r="I24" s="526">
        <v>3.93</v>
      </c>
      <c r="J24" s="525">
        <f>VLOOKUP(B24,Precificação!$B:$O,14,FALSE)</f>
        <v>4.8849999999999998</v>
      </c>
      <c r="K24" s="525">
        <f t="shared" si="18"/>
        <v>4.8849999999999998</v>
      </c>
      <c r="L24" s="525" cm="1">
        <f t="array" ref="L24">_xll.BDP($B24&amp;" Equity","mid")</f>
        <v>3.85</v>
      </c>
      <c r="M24" s="516">
        <f t="shared" si="0"/>
        <v>6.3961988304093572E-3</v>
      </c>
      <c r="N24" s="524"/>
      <c r="O24" s="516">
        <f t="shared" si="1"/>
        <v>-0.21187308085977474</v>
      </c>
      <c r="P24" s="525" cm="1">
        <f t="array" ref="P24">_xll.BDP($B24&amp;" Equity","bid")</f>
        <v>3.83</v>
      </c>
      <c r="Q24" s="525" cm="1">
        <f t="array" ref="Q24">_xll.BDP($B24&amp;" Equity","ask")</f>
        <v>3.87</v>
      </c>
      <c r="R24" s="523">
        <f t="shared" si="2"/>
        <v>1.0443864229765065E-2</v>
      </c>
      <c r="S24" s="525" cm="1">
        <f t="array" ref="S24">_xll.BDP(G24&amp;" Curncy","PX_LAST")</f>
        <v>1</v>
      </c>
      <c r="T24" s="527" cm="1">
        <f t="array" ref="T24">_xll.BDP(B24&amp;" Equity","OPT_MULTIPLIER")</f>
        <v>100</v>
      </c>
      <c r="U24" s="527">
        <f t="shared" si="3"/>
        <v>-346500</v>
      </c>
      <c r="V24" s="522">
        <f>U24/'Master P&amp;L'!$AD$7*10000</f>
        <v>-1.3726248921352042</v>
      </c>
      <c r="W24" s="522">
        <f>(Y24*H24*T24/S24)/'Master P&amp;L'!$AD$7*10000</f>
        <v>-1.3726248921352042</v>
      </c>
      <c r="X24" s="515">
        <f t="shared" si="4"/>
        <v>0</v>
      </c>
      <c r="Y24" s="521">
        <f t="shared" si="5"/>
        <v>3.85</v>
      </c>
      <c r="Z24" s="520">
        <f>_xll.BDP(D24&amp;" Equity","LAST_PRICE")</f>
        <v>601.91999999999996</v>
      </c>
      <c r="AA24" s="520" cm="1">
        <f t="array" ref="AA24">_xll.BDP(B24&amp;" Equity","OPT_STRIKE_PX")</f>
        <v>590</v>
      </c>
      <c r="AB24" s="523">
        <f t="shared" si="6"/>
        <v>-1.9803296119085489E-2</v>
      </c>
      <c r="AC24" s="519" cm="1">
        <f t="array" ref="AC24">_xll.BDP($D24&amp;" Equity","volatility_10d")</f>
        <v>22.172048627512993</v>
      </c>
      <c r="AD24" s="520" cm="1">
        <f t="array" ref="AD24">_xll.BDP(B24&amp;" Equity","ivol_mid")</f>
        <v>29.518190000000001</v>
      </c>
      <c r="AE24" s="520">
        <f t="shared" si="7"/>
        <v>1.3313244299568818</v>
      </c>
      <c r="AF24" s="290" cm="1">
        <f t="array" ref="AF24">_xll.BDP(B24&amp;" Equity","DELTA_MID_RT")</f>
        <v>-0.27866187691688538</v>
      </c>
      <c r="AG24" s="516">
        <f>AL24/'Master P&amp;L'!$AE$7</f>
        <v>5.9800865934111899E-3</v>
      </c>
      <c r="AH24" s="516">
        <f>AM24/'Master P&amp;L'!$AE$7</f>
        <v>2.1460009742182394E-2</v>
      </c>
      <c r="AI24" s="514">
        <f>AO24/'Master P&amp;L'!$AD$7*10000</f>
        <v>0.23353379219953607</v>
      </c>
      <c r="AJ24" s="524">
        <f t="shared" si="8"/>
        <v>-2.9766661067412667</v>
      </c>
      <c r="AK24" s="290">
        <f>AP24/'Master P&amp;L'!$AD$7*10000</f>
        <v>0.36900435411946386</v>
      </c>
      <c r="AL24" s="527">
        <f t="shared" si="9"/>
        <v>15095894.125843044</v>
      </c>
      <c r="AM24" s="527">
        <f t="shared" si="10"/>
        <v>54172800</v>
      </c>
      <c r="AN24" s="290" cm="1">
        <f t="array" ref="AN24">_xll.BDP($B24&amp;" Equity","theta_mid_rt")</f>
        <v>-0.65502607822418213</v>
      </c>
      <c r="AO24" s="527">
        <f t="shared" si="11"/>
        <v>58952.347040176392</v>
      </c>
      <c r="AP24" s="527">
        <f t="shared" si="12"/>
        <v>93149.999999999971</v>
      </c>
      <c r="AQ24" s="525" t="str" cm="1">
        <f t="array" ref="AQ24">_xll.BDP($D24&amp;" Equity","EXPECTED_REPORT_DT")</f>
        <v>#N/A N/A</v>
      </c>
      <c r="AR24" s="286" cm="1">
        <f t="array" ref="AR24">_xll.BDP($B24&amp;" Equity","GAMMA_LAST")</f>
        <v>9.4216999999999995E-2</v>
      </c>
      <c r="AS24" s="397">
        <f t="shared" si="13"/>
        <v>-30721988.960593916</v>
      </c>
      <c r="AT24" s="397">
        <f t="shared" si="14"/>
        <v>-153609944.80296957</v>
      </c>
      <c r="AU24" s="397" t="s">
        <v>95</v>
      </c>
      <c r="AV24" s="518" t="e" cm="1">
        <f t="array" ref="AV24">_xll.BDP($D24&amp;" Equity","EST_PE_NXT_YR")*(AA24/Z24)</f>
        <v>#VALUE!</v>
      </c>
      <c r="AX24" s="527"/>
      <c r="AY24" s="518">
        <v>2.6</v>
      </c>
      <c r="AZ24" s="513"/>
      <c r="BA24" s="527">
        <f t="shared" si="15"/>
        <v>2.6</v>
      </c>
      <c r="BB24" s="517">
        <f t="shared" si="16"/>
        <v>4.8849999999999998</v>
      </c>
      <c r="BC24" s="517">
        <f t="shared" si="17"/>
        <v>-205649.99999999994</v>
      </c>
      <c r="BD24" s="517">
        <f>BC24/'Master P&amp;L'!$AD$7*10000</f>
        <v>-0.81466178663089373</v>
      </c>
    </row>
    <row r="25" spans="1:56" s="397" customFormat="1" ht="15.75" customHeight="1">
      <c r="A25" s="528" t="s">
        <v>441</v>
      </c>
      <c r="B25" s="397" t="s">
        <v>1095</v>
      </c>
      <c r="C25" s="397" t="str" cm="1">
        <f t="array" ref="C25">_xll.BDP($B25&amp;" Equity","opt_put_call")</f>
        <v>Put</v>
      </c>
      <c r="D25" s="397" t="str" cm="1">
        <f t="array" ref="D25">_xll.BDP(B25&amp;" Equity","OPT_UNDL_TICKER")</f>
        <v>QQQ US</v>
      </c>
      <c r="E25" s="397" t="str" cm="1">
        <f t="array" ref="E25">_xll.BDP($B25&amp;" Equity","mifid_Maturity_date")</f>
        <v>27/02/2026</v>
      </c>
      <c r="F25" s="397" cm="1">
        <f t="array" ref="F25">_xll.BDP($B25&amp;" Equity","opt_days_expire")</f>
        <v>14</v>
      </c>
      <c r="G25" s="397" t="s">
        <v>137</v>
      </c>
      <c r="H25" s="527">
        <v>200</v>
      </c>
      <c r="I25" s="526">
        <v>6.92</v>
      </c>
      <c r="J25" s="525">
        <f>VLOOKUP(B25,Precificação!$B:$O,14,FALSE)</f>
        <v>8.1449999999999996</v>
      </c>
      <c r="K25" s="525">
        <f t="shared" si="18"/>
        <v>8.1449999999999996</v>
      </c>
      <c r="L25" s="525" cm="1">
        <f t="array" ref="L25">_xll.BDP($B25&amp;" Equity","mid")</f>
        <v>7.45</v>
      </c>
      <c r="M25" s="516">
        <f t="shared" si="0"/>
        <v>1.2377060074428497E-2</v>
      </c>
      <c r="N25" s="524"/>
      <c r="O25" s="516">
        <f t="shared" si="1"/>
        <v>-8.5328422344996824E-2</v>
      </c>
      <c r="P25" s="525" cm="1">
        <f t="array" ref="P25">_xll.BDP($B25&amp;" Equity","bid")</f>
        <v>7.41</v>
      </c>
      <c r="Q25" s="525" cm="1">
        <f t="array" ref="Q25">_xll.BDP($B25&amp;" Equity","ask")</f>
        <v>7.48</v>
      </c>
      <c r="R25" s="523">
        <f t="shared" si="2"/>
        <v>9.4466936572199511E-3</v>
      </c>
      <c r="S25" s="525" cm="1">
        <f t="array" ref="S25">_xll.BDP(G25&amp;" Curncy","PX_LAST")</f>
        <v>1</v>
      </c>
      <c r="T25" s="527" cm="1">
        <f t="array" ref="T25">_xll.BDP(B25&amp;" Equity","OPT_MULTIPLIER")</f>
        <v>100</v>
      </c>
      <c r="U25" s="527">
        <f t="shared" si="3"/>
        <v>149000</v>
      </c>
      <c r="V25" s="522">
        <f>U25/'Master P&amp;L'!$AD$7*10000</f>
        <v>0.59024851061513839</v>
      </c>
      <c r="W25" s="522">
        <f>(Y25*H25*T25/S25)/'Master P&amp;L'!$AD$7*10000</f>
        <v>0.59024851061513839</v>
      </c>
      <c r="X25" s="515">
        <f t="shared" si="4"/>
        <v>0</v>
      </c>
      <c r="Y25" s="521">
        <f t="shared" si="5"/>
        <v>7.45</v>
      </c>
      <c r="Z25" s="520">
        <f>_xll.BDP(D25&amp;" Equity","LAST_PRICE")</f>
        <v>601.91999999999996</v>
      </c>
      <c r="AA25" s="520" cm="1">
        <f t="array" ref="AA25">_xll.BDP(B25&amp;" Equity","OPT_STRIKE_PX")</f>
        <v>590</v>
      </c>
      <c r="AB25" s="523">
        <f t="shared" si="6"/>
        <v>-1.9803296119085489E-2</v>
      </c>
      <c r="AC25" s="519" cm="1">
        <f t="array" ref="AC25">_xll.BDP($D25&amp;" Equity","volatility_10d")</f>
        <v>22.172048627512993</v>
      </c>
      <c r="AD25" s="520" cm="1">
        <f t="array" ref="AD25">_xll.BDP(B25&amp;" Equity","ivol_mid")</f>
        <v>28.913029999999999</v>
      </c>
      <c r="AE25" s="520">
        <f t="shared" si="7"/>
        <v>1.3040306056393101</v>
      </c>
      <c r="AF25" s="290" cm="1">
        <f t="array" ref="AF25">_xll.BDP(B25&amp;" Equity","DELTA_MID_RT")</f>
        <v>-0.33727678656578064</v>
      </c>
      <c r="AG25" s="516">
        <f>AL25/'Master P&amp;L'!$AE$7</f>
        <v>-1.6084362501141388E-3</v>
      </c>
      <c r="AH25" s="516">
        <f>AM25/'Master P&amp;L'!$AE$7</f>
        <v>-4.7688910538183091E-3</v>
      </c>
      <c r="AI25" s="514">
        <f>AO25/'Master P&amp;L'!$AD$7*10000</f>
        <v>-3.6807625285614612E-2</v>
      </c>
      <c r="AJ25" s="524">
        <f t="shared" si="8"/>
        <v>0.46915698848288356</v>
      </c>
      <c r="AK25" s="290">
        <f>AP25/'Master P&amp;L'!$AD$7*10000</f>
        <v>-5.5063451661412188E-2</v>
      </c>
      <c r="AL25" s="527">
        <f t="shared" si="9"/>
        <v>-4060272.8673934937</v>
      </c>
      <c r="AM25" s="527">
        <f t="shared" si="10"/>
        <v>-12038399.999999998</v>
      </c>
      <c r="AN25" s="290" cm="1">
        <f t="array" ref="AN25">_xll.BDP($B25&amp;" Equity","theta_mid_rt")</f>
        <v>-0.46457856893539429</v>
      </c>
      <c r="AO25" s="527">
        <f t="shared" si="11"/>
        <v>-9291.5713787078857</v>
      </c>
      <c r="AP25" s="527">
        <f t="shared" si="12"/>
        <v>-13899.999999999989</v>
      </c>
      <c r="AQ25" s="525" t="str" cm="1">
        <f t="array" ref="AQ25">_xll.BDP($D25&amp;" Equity","EXPECTED_REPORT_DT")</f>
        <v>#N/A N/A</v>
      </c>
      <c r="AR25" s="286" cm="1">
        <f t="array" ref="AR25">_xll.BDP($B25&amp;" Equity","GAMMA_LAST")</f>
        <v>6.8224999999999994E-2</v>
      </c>
      <c r="AS25" s="397">
        <f t="shared" si="13"/>
        <v>4943688.3809279995</v>
      </c>
      <c r="AT25" s="397">
        <f t="shared" si="14"/>
        <v>24718441.90464</v>
      </c>
      <c r="AU25" s="397" t="s">
        <v>95</v>
      </c>
      <c r="AV25" s="518" t="e" cm="1">
        <f t="array" ref="AV25">_xll.BDP($D25&amp;" Equity","EST_PE_NXT_YR")*(AA25/Z25)</f>
        <v>#VALUE!</v>
      </c>
      <c r="AX25" s="527"/>
      <c r="AY25" s="518">
        <v>5.83</v>
      </c>
      <c r="AZ25" s="513"/>
      <c r="BA25" s="527">
        <f t="shared" si="15"/>
        <v>5.83</v>
      </c>
      <c r="BB25" s="517">
        <f t="shared" si="16"/>
        <v>8.1449999999999996</v>
      </c>
      <c r="BC25" s="517">
        <f t="shared" si="17"/>
        <v>46299.999999999985</v>
      </c>
      <c r="BD25" s="517">
        <f>BC25/'Master P&amp;L'!$AD$7*10000</f>
        <v>0.183412792224704</v>
      </c>
    </row>
    <row r="26" spans="1:56" s="397" customFormat="1" ht="15.75" customHeight="1">
      <c r="A26" s="528" t="s">
        <v>441</v>
      </c>
      <c r="B26" s="397" t="s">
        <v>1097</v>
      </c>
      <c r="C26" s="397" t="str" cm="1">
        <f t="array" ref="C26">_xll.BDP($B26&amp;" Equity","opt_put_call")</f>
        <v>Put</v>
      </c>
      <c r="D26" s="397" t="str" cm="1">
        <f t="array" ref="D26">_xll.BDP(B26&amp;" Equity","OPT_UNDL_TICKER")</f>
        <v>QQQ US</v>
      </c>
      <c r="E26" s="397" t="str" cm="1">
        <f t="array" ref="E26">_xll.BDP($B26&amp;" Equity","mifid_Maturity_date")</f>
        <v>27/02/2026</v>
      </c>
      <c r="F26" s="397" cm="1">
        <f t="array" ref="F26">_xll.BDP($B26&amp;" Equity","opt_days_expire")</f>
        <v>14</v>
      </c>
      <c r="G26" s="397" t="s">
        <v>137</v>
      </c>
      <c r="H26" s="527">
        <v>-200</v>
      </c>
      <c r="I26" s="526">
        <v>4.8600000000000003</v>
      </c>
      <c r="J26" s="525">
        <f>VLOOKUP(B26,Precificação!$B:$O,14,FALSE)</f>
        <v>5.7949999999999999</v>
      </c>
      <c r="K26" s="525">
        <f t="shared" si="18"/>
        <v>5.7949999999999999</v>
      </c>
      <c r="L26" s="525" cm="1">
        <f t="array" ref="L26">_xll.BDP($B26&amp;" Equity","mid")</f>
        <v>5.14</v>
      </c>
      <c r="M26" s="516">
        <f t="shared" si="0"/>
        <v>8.5393407761828813E-3</v>
      </c>
      <c r="N26" s="524"/>
      <c r="O26" s="516">
        <f t="shared" si="1"/>
        <v>-0.11302847282139783</v>
      </c>
      <c r="P26" s="525" cm="1">
        <f t="array" ref="P26">_xll.BDP($B26&amp;" Equity","bid")</f>
        <v>5.1100000000000003</v>
      </c>
      <c r="Q26" s="525" cm="1">
        <f t="array" ref="Q26">_xll.BDP($B26&amp;" Equity","ask")</f>
        <v>5.17</v>
      </c>
      <c r="R26" s="523">
        <f t="shared" si="2"/>
        <v>1.1741682974559575E-2</v>
      </c>
      <c r="S26" s="525" cm="1">
        <f t="array" ref="S26">_xll.BDP(G26&amp;" Curncy","PX_LAST")</f>
        <v>1</v>
      </c>
      <c r="T26" s="527" cm="1">
        <f t="array" ref="T26">_xll.BDP(B26&amp;" Equity","OPT_MULTIPLIER")</f>
        <v>100</v>
      </c>
      <c r="U26" s="527">
        <f t="shared" si="3"/>
        <v>-102800</v>
      </c>
      <c r="V26" s="522">
        <f>U26/'Master P&amp;L'!$AD$7*10000</f>
        <v>-0.40723185833044445</v>
      </c>
      <c r="W26" s="522">
        <f>(Y26*H26*T26/S26)/'Master P&amp;L'!$AD$7*10000</f>
        <v>-0.40723185833044445</v>
      </c>
      <c r="X26" s="515">
        <f t="shared" si="4"/>
        <v>0</v>
      </c>
      <c r="Y26" s="521">
        <f t="shared" si="5"/>
        <v>5.14</v>
      </c>
      <c r="Z26" s="520">
        <f>_xll.BDP(D26&amp;" Equity","LAST_PRICE")</f>
        <v>601.91999999999996</v>
      </c>
      <c r="AA26" s="520" cm="1">
        <f t="array" ref="AA26">_xll.BDP(B26&amp;" Equity","OPT_STRIKE_PX")</f>
        <v>580</v>
      </c>
      <c r="AB26" s="523">
        <f t="shared" si="6"/>
        <v>-3.6416799574694236E-2</v>
      </c>
      <c r="AC26" s="519" cm="1">
        <f t="array" ref="AC26">_xll.BDP($D26&amp;" Equity","volatility_10d")</f>
        <v>22.172048627512993</v>
      </c>
      <c r="AD26" s="520" cm="1">
        <f t="array" ref="AD26">_xll.BDP(B26&amp;" Equity","ivol_mid")</f>
        <v>30.96829</v>
      </c>
      <c r="AE26" s="520">
        <f t="shared" si="7"/>
        <v>1.3967265957360326</v>
      </c>
      <c r="AF26" s="290" cm="1">
        <f t="array" ref="AF26">_xll.BDP(B26&amp;" Equity","DELTA_MID_RT")</f>
        <v>-0.24310283362865448</v>
      </c>
      <c r="AG26" s="516">
        <f>AL26/'Master P&amp;L'!$AE$7</f>
        <v>1.1593309284495712E-3</v>
      </c>
      <c r="AH26" s="516">
        <f>AM26/'Master P&amp;L'!$AE$7</f>
        <v>4.7688910538183091E-3</v>
      </c>
      <c r="AI26" s="514">
        <f>AO26/'Master P&amp;L'!$AD$7*10000</f>
        <v>3.3422203628723106E-2</v>
      </c>
      <c r="AJ26" s="524">
        <f t="shared" si="8"/>
        <v>-0.42600576052489025</v>
      </c>
      <c r="AK26" s="290">
        <f>AP26/'Master P&amp;L'!$AD$7*10000</f>
        <v>5.1894332141330976E-2</v>
      </c>
      <c r="AL26" s="527">
        <f t="shared" si="9"/>
        <v>2926569.1523551936</v>
      </c>
      <c r="AM26" s="527">
        <f t="shared" si="10"/>
        <v>12038399.999999998</v>
      </c>
      <c r="AN26" s="290" cm="1">
        <f t="array" ref="AN26">_xll.BDP($B26&amp;" Equity","theta_mid_rt")</f>
        <v>-0.42184844613075256</v>
      </c>
      <c r="AO26" s="527">
        <f t="shared" si="11"/>
        <v>8436.9689226150513</v>
      </c>
      <c r="AP26" s="527">
        <f t="shared" si="12"/>
        <v>13100.000000000005</v>
      </c>
      <c r="AQ26" s="525" t="str" cm="1">
        <f t="array" ref="AQ26">_xll.BDP($D26&amp;" Equity","EXPECTED_REPORT_DT")</f>
        <v>#N/A N/A</v>
      </c>
      <c r="AR26" s="286" cm="1">
        <f t="array" ref="AR26">_xll.BDP($B26&amp;" Equity","GAMMA_LAST")</f>
        <v>5.5272000000000002E-2</v>
      </c>
      <c r="AS26" s="397">
        <f t="shared" si="13"/>
        <v>-4005094.0885401606</v>
      </c>
      <c r="AT26" s="397">
        <f t="shared" si="14"/>
        <v>-20025470.4427008</v>
      </c>
      <c r="AU26" s="397" t="s">
        <v>95</v>
      </c>
      <c r="AV26" s="518" t="e" cm="1">
        <f t="array" ref="AV26">_xll.BDP($D26&amp;" Equity","EST_PE_NXT_YR")*(AA26/Z26)</f>
        <v>#VALUE!</v>
      </c>
      <c r="AX26" s="527"/>
      <c r="AY26" s="518">
        <v>3.92</v>
      </c>
      <c r="AZ26" s="513"/>
      <c r="BA26" s="527">
        <f t="shared" si="15"/>
        <v>3.92</v>
      </c>
      <c r="BB26" s="517">
        <f t="shared" si="16"/>
        <v>5.7949999999999999</v>
      </c>
      <c r="BC26" s="517">
        <f t="shared" si="17"/>
        <v>-37500</v>
      </c>
      <c r="BD26" s="517">
        <f>BC26/'Master P&amp;L'!$AD$7*10000</f>
        <v>-0.14855247750380998</v>
      </c>
    </row>
    <row r="27" spans="1:56" ht="15.75" customHeight="1">
      <c r="A27" s="263"/>
      <c r="B27" s="72" t="s">
        <v>820</v>
      </c>
      <c r="C27" s="72" t="str" cm="1">
        <f t="array" ref="C27">_xll.BDP($B27&amp;" Equity","opt_put_call")</f>
        <v>Call</v>
      </c>
      <c r="D27" s="72" t="str" cm="1">
        <f t="array" ref="D27">_xll.BDP(B27&amp;" Equity","OPT_UNDL_TICKER")</f>
        <v>TSM US</v>
      </c>
      <c r="E27" s="72" t="str" cm="1">
        <f t="array" ref="E27">_xll.BDP($B27&amp;" Equity","mifid_Maturity_date")</f>
        <v>18/06/2026</v>
      </c>
      <c r="F27" s="72" cm="1">
        <f t="array" ref="F27">_xll.BDP($B27&amp;" Equity","opt_days_expire")</f>
        <v>125</v>
      </c>
      <c r="G27" s="72" t="s">
        <v>137</v>
      </c>
      <c r="H27" s="41">
        <v>1550</v>
      </c>
      <c r="I27" s="335">
        <v>34.200000000000003</v>
      </c>
      <c r="J27" s="14">
        <f>VLOOKUP(B27,Precificação!$B:$O,14,FALSE)</f>
        <v>56.125</v>
      </c>
      <c r="K27" s="73">
        <f t="shared" si="18"/>
        <v>56.125</v>
      </c>
      <c r="L27" s="73" cm="1">
        <f t="array" ref="L27">_xll.BDP($B27&amp;" Equity","mid")</f>
        <v>53.97</v>
      </c>
      <c r="M27" s="74">
        <f t="shared" si="0"/>
        <v>0.14731411726170979</v>
      </c>
      <c r="N27" s="279"/>
      <c r="O27" s="74">
        <f t="shared" si="1"/>
        <v>-3.8396436525612532E-2</v>
      </c>
      <c r="P27" s="73" cm="1">
        <f t="array" ref="P27">_xll.BDP($B27&amp;" Equity","bid")</f>
        <v>53.05</v>
      </c>
      <c r="Q27" s="73" cm="1">
        <f t="array" ref="Q27">_xll.BDP($B27&amp;" Equity","ask")</f>
        <v>54.9</v>
      </c>
      <c r="R27" s="75">
        <f t="shared" si="2"/>
        <v>3.4872761545711617E-2</v>
      </c>
      <c r="S27" s="35" cm="1">
        <f t="array" ref="S27">_xll.BDP(G27&amp;" Curncy","PX_LAST")</f>
        <v>1</v>
      </c>
      <c r="T27" s="41" cm="1">
        <f t="array" ref="T27">_xll.BDP(B27&amp;" Equity","OPT_MULTIPLIER")</f>
        <v>100</v>
      </c>
      <c r="U27" s="41">
        <f t="shared" si="3"/>
        <v>8365350</v>
      </c>
      <c r="V27" s="111">
        <f>U27/'Master P&amp;L'!$AD$7*10000</f>
        <v>33.138492471639914</v>
      </c>
      <c r="W27" s="111">
        <f>(Y27*H27*T27/S27)/'Master P&amp;L'!$AD$7*10000</f>
        <v>16.953006802704792</v>
      </c>
      <c r="X27" s="116">
        <f t="shared" si="4"/>
        <v>26.360000000000014</v>
      </c>
      <c r="Y27" s="201">
        <f t="shared" si="5"/>
        <v>27.609999999999985</v>
      </c>
      <c r="Z27" s="76">
        <f>_xll.BDP(D27&amp;" Equity","LAST_PRICE")</f>
        <v>366.36</v>
      </c>
      <c r="AA27" s="76" cm="1">
        <f t="array" ref="AA27">_xll.BDP(B27&amp;" Equity","OPT_STRIKE_PX")</f>
        <v>340</v>
      </c>
      <c r="AB27" s="75">
        <f t="shared" si="6"/>
        <v>-7.1951086363140071E-2</v>
      </c>
      <c r="AC27" s="251" cm="1">
        <f t="array" ref="AC27">_xll.BDP($D27&amp;" Equity","volatility_10d")</f>
        <v>43.624768127066829</v>
      </c>
      <c r="AD27" s="76" cm="1">
        <f t="array" ref="AD27">_xll.BDP(B27&amp;" Equity","ivol_mid")</f>
        <v>45.135620000000003</v>
      </c>
      <c r="AE27" s="76">
        <f t="shared" si="7"/>
        <v>1.0346328917676417</v>
      </c>
      <c r="AF27" s="77" cm="1">
        <f t="array" ref="AF27">_xll.BDP(B27&amp;" Equity","DELTA_MID_RT")</f>
        <v>0.67608213424682617</v>
      </c>
      <c r="AG27" s="74">
        <f>AL27/'Master P&amp;L'!$AE$7</f>
        <v>1.5208551042088131E-2</v>
      </c>
      <c r="AH27" s="74">
        <f>AM27/'Master P&amp;L'!$AE$7</f>
        <v>2.2495123405428943E-2</v>
      </c>
      <c r="AI27" s="353">
        <f>AO27/'Master P&amp;L'!$AD$7*10000</f>
        <v>-9.1324296020312445E-2</v>
      </c>
      <c r="AJ27" s="277">
        <f t="shared" si="8"/>
        <v>1.1640368364908966</v>
      </c>
      <c r="AK27" s="77">
        <f>AP27/'Master P&amp;L'!$AD$7*10000</f>
        <v>-1.3232064346189374</v>
      </c>
      <c r="AL27" s="41">
        <f t="shared" si="9"/>
        <v>38391864.858913422</v>
      </c>
      <c r="AM27" s="41">
        <f t="shared" si="10"/>
        <v>56785800</v>
      </c>
      <c r="AN27" s="77" cm="1">
        <f t="array" ref="AN27">_xll.BDP($B27&amp;" Equity","theta_mid_rt")</f>
        <v>-0.14873254299163818</v>
      </c>
      <c r="AO27" s="41">
        <f t="shared" si="11"/>
        <v>-23053.544163703918</v>
      </c>
      <c r="AP27" s="41">
        <f t="shared" si="12"/>
        <v>-334025.00000000017</v>
      </c>
      <c r="AQ27" s="73" t="str" cm="1">
        <f t="array" ref="AQ27">_xll.BDP($D27&amp;" Equity","EXPECTED_REPORT_DT")</f>
        <v>17/04/2026</v>
      </c>
      <c r="AR27" s="189" cm="1">
        <f t="array" ref="AR27">_xll.BDP($B27&amp;" Equity","GAMMA_LAST")</f>
        <v>1.3598000000000001E-2</v>
      </c>
      <c r="AS27" s="72">
        <f t="shared" si="13"/>
        <v>2828934.1326542408</v>
      </c>
      <c r="AT27" s="72">
        <f t="shared" si="14"/>
        <v>14144670.663271202</v>
      </c>
      <c r="AU27" s="72" t="s">
        <v>95</v>
      </c>
      <c r="AV27" s="250" cm="1">
        <f t="array" ref="AV27">_xll.BDP($D27&amp;" Equity","EST_PE_NXT_YR")*(AA27/Z27)</f>
        <v>17.716995042166261</v>
      </c>
      <c r="AW27" s="72"/>
      <c r="AX27" s="41"/>
      <c r="AY27" s="250">
        <v>55.65</v>
      </c>
      <c r="AZ27" s="281"/>
      <c r="BA27" s="41">
        <f t="shared" si="15"/>
        <v>55.65</v>
      </c>
      <c r="BB27" s="273">
        <f t="shared" si="16"/>
        <v>56.125</v>
      </c>
      <c r="BC27" s="273">
        <f t="shared" si="17"/>
        <v>73625.000000000218</v>
      </c>
      <c r="BD27" s="273">
        <f>BC27/'Master P&amp;L'!$AD$7*10000</f>
        <v>0.29165803083248115</v>
      </c>
    </row>
    <row r="28" spans="1:56" ht="15.75" customHeight="1">
      <c r="A28" s="283"/>
      <c r="B28" t="s">
        <v>821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125</v>
      </c>
      <c r="G28" t="str" cm="1">
        <f t="array" ref="G28">_xll.BDP(B28&amp;" Equity","QUOTED_CURRENCY_REALTIME")</f>
        <v>USD</v>
      </c>
      <c r="H28" s="15">
        <v>-1275</v>
      </c>
      <c r="I28" s="336">
        <v>19.54</v>
      </c>
      <c r="J28" s="14">
        <f>VLOOKUP(B28,Precificação!$B:$O,14,FALSE)</f>
        <v>35.799999999999997</v>
      </c>
      <c r="K28" s="73">
        <f t="shared" si="18"/>
        <v>35.799999999999997</v>
      </c>
      <c r="L28" s="35" cm="1">
        <f t="array" ref="L28">_xll.BDP($B28&amp;" Equity","mid")</f>
        <v>33.549999999999997</v>
      </c>
      <c r="M28" s="18">
        <f t="shared" si="0"/>
        <v>9.1576591330931309E-2</v>
      </c>
      <c r="N28" s="277"/>
      <c r="O28" s="18">
        <f t="shared" si="1"/>
        <v>-6.2849162011173187E-2</v>
      </c>
      <c r="P28" s="35" cm="1">
        <f t="array" ref="P28">_xll.BDP($B28&amp;" Equity","bid")</f>
        <v>33.200000000000003</v>
      </c>
      <c r="Q28" s="35" cm="1">
        <f t="array" ref="Q28">_xll.BDP($B28&amp;" Equity","ask")</f>
        <v>33.9</v>
      </c>
      <c r="R28" s="39">
        <f t="shared" si="2"/>
        <v>2.1084337349397408E-2</v>
      </c>
      <c r="S28" s="35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-4277625</v>
      </c>
      <c r="V28" s="122">
        <f>U28/'Master P&amp;L'!$AD$7*10000</f>
        <v>-16.945381108859607</v>
      </c>
      <c r="W28" s="122">
        <f>(Y28*H28*T28/S28)/'Master P&amp;L'!$AD$7*10000</f>
        <v>-16.945381108859607</v>
      </c>
      <c r="X28" s="339">
        <f t="shared" si="4"/>
        <v>0</v>
      </c>
      <c r="Y28" s="202">
        <f t="shared" si="5"/>
        <v>33.549999999999997</v>
      </c>
      <c r="Z28" s="36">
        <f>_xll.BDP(D28&amp;" Equity","LAST_PRICE")</f>
        <v>366.36</v>
      </c>
      <c r="AA28" s="36" cm="1">
        <f t="array" ref="AA28">_xll.BDP(B28&amp;" Equity","OPT_STRIKE_PX")</f>
        <v>380</v>
      </c>
      <c r="AB28" s="39">
        <f t="shared" si="6"/>
        <v>3.723113877060813E-2</v>
      </c>
      <c r="AC28" s="252" cm="1">
        <f t="array" ref="AC28">_xll.BDP($D28&amp;" Equity","volatility_10d")</f>
        <v>43.624768127066829</v>
      </c>
      <c r="AD28" s="36" cm="1">
        <f t="array" ref="AD28">_xll.BDP(B28&amp;" Equity","ivol_mid")</f>
        <v>44.842379999999999</v>
      </c>
      <c r="AE28" s="36">
        <f t="shared" si="7"/>
        <v>1.0279110222290833</v>
      </c>
      <c r="AF28" s="37" cm="1">
        <f t="array" ref="AF28">_xll.BDP(B28&amp;" Equity","DELTA_MID_RT")</f>
        <v>0.51349765062332153</v>
      </c>
      <c r="AG28" s="18">
        <f>AL28/'Master P&amp;L'!$AE$7</f>
        <v>-9.5017878060910024E-3</v>
      </c>
      <c r="AH28" s="18">
        <f>AM28/'Master P&amp;L'!$AE$7</f>
        <v>-1.8504053123820582E-2</v>
      </c>
      <c r="AI28" s="352">
        <f>AO28/'Master P&amp;L'!$AD$7*10000</f>
        <v>7.9763875214747162E-2</v>
      </c>
      <c r="AJ28" s="277">
        <f t="shared" si="8"/>
        <v>-1.0166855154358656</v>
      </c>
      <c r="AK28" s="37">
        <f>AP28/'Master P&amp;L'!$AD$7*10000</f>
        <v>1.1364264529041463</v>
      </c>
      <c r="AL28" s="15">
        <f t="shared" si="9"/>
        <v>-23985937.40850091</v>
      </c>
      <c r="AM28" s="15">
        <f t="shared" si="10"/>
        <v>-46710900</v>
      </c>
      <c r="AN28" s="37" cm="1">
        <f t="array" ref="AN28">_xll.BDP($B28&amp;" Equity","theta_mid_rt")</f>
        <v>-0.15792374312877655</v>
      </c>
      <c r="AO28" s="15">
        <f t="shared" si="11"/>
        <v>20135.27724891901</v>
      </c>
      <c r="AP28" s="15">
        <f t="shared" si="12"/>
        <v>286875</v>
      </c>
      <c r="AQ28" s="35" t="str" cm="1">
        <f t="array" ref="AQ28">_xll.BDP($D28&amp;" Equity","EXPECTED_REPORT_DT")</f>
        <v>17/04/2026</v>
      </c>
      <c r="AR28" s="65" cm="1">
        <f t="array" ref="AR28">_xll.BDP($B28&amp;" Equity","GAMMA_LAST")</f>
        <v>1.5419E-2</v>
      </c>
      <c r="AS28">
        <f t="shared" si="13"/>
        <v>-2638654.2909075604</v>
      </c>
      <c r="AT28">
        <f t="shared" si="14"/>
        <v>-13193271.454537803</v>
      </c>
      <c r="AU28" t="s">
        <v>95</v>
      </c>
      <c r="AV28" s="206" cm="1">
        <f t="array" ref="AV28">_xll.BDP($D28&amp;" Equity","EST_PE_NXT_YR")*(AA28/Z28)</f>
        <v>19.80134740006817</v>
      </c>
      <c r="AX28" s="15"/>
      <c r="AY28" s="206">
        <v>35</v>
      </c>
      <c r="AZ28" s="282"/>
      <c r="BA28" s="15">
        <f t="shared" si="15"/>
        <v>35</v>
      </c>
      <c r="BB28" s="340">
        <f t="shared" si="16"/>
        <v>35.799999999999997</v>
      </c>
      <c r="BC28" s="340">
        <f t="shared" si="17"/>
        <v>-101999.99999999964</v>
      </c>
      <c r="BD28" s="340">
        <f>BC28/'Master P&amp;L'!$AD$7*10000</f>
        <v>-0.4040627388103617</v>
      </c>
    </row>
    <row r="29" spans="1:56">
      <c r="H29" s="264"/>
      <c r="I29" s="174"/>
      <c r="J29" s="174"/>
      <c r="K29" s="174"/>
      <c r="L29" s="174"/>
    </row>
    <row r="30" spans="1:56">
      <c r="I30" s="174"/>
      <c r="J30" s="174"/>
      <c r="K30" s="174"/>
      <c r="L30" s="174"/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527">
        <v>-300</v>
      </c>
      <c r="I33" s="526">
        <v>2.57</v>
      </c>
      <c r="J33" s="333">
        <f>H33*I33</f>
        <v>-771</v>
      </c>
    </row>
    <row r="34" spans="8:10">
      <c r="H34" s="41"/>
      <c r="I34" s="335"/>
      <c r="J34" s="333">
        <f t="shared" ref="J34:J40" si="19">H34*I34</f>
        <v>0</v>
      </c>
    </row>
    <row r="35" spans="8:10">
      <c r="H35" s="41"/>
      <c r="I35" s="335"/>
      <c r="J35" s="333">
        <f t="shared" si="19"/>
        <v>0</v>
      </c>
    </row>
    <row r="36" spans="8:10">
      <c r="H36" s="330"/>
      <c r="I36" s="331"/>
      <c r="J36" s="333">
        <f t="shared" si="19"/>
        <v>0</v>
      </c>
    </row>
    <row r="37" spans="8:10">
      <c r="H37" s="527">
        <v>-600</v>
      </c>
      <c r="I37" s="526">
        <v>4.6100000000000003</v>
      </c>
      <c r="J37" s="333">
        <f t="shared" si="19"/>
        <v>-2766</v>
      </c>
    </row>
    <row r="38" spans="8:10">
      <c r="H38" s="330"/>
      <c r="I38" s="337"/>
      <c r="J38" s="333">
        <f t="shared" si="19"/>
        <v>0</v>
      </c>
    </row>
    <row r="39" spans="8:10">
      <c r="H39" s="330"/>
      <c r="I39" s="337"/>
      <c r="J39" s="333">
        <f t="shared" si="19"/>
        <v>0</v>
      </c>
    </row>
    <row r="40" spans="8:10">
      <c r="H40" s="275"/>
      <c r="I40" s="332"/>
      <c r="J40" s="333">
        <f t="shared" si="19"/>
        <v>0</v>
      </c>
    </row>
    <row r="42" spans="8:10">
      <c r="H42" s="275">
        <f>H33+H37</f>
        <v>-900</v>
      </c>
      <c r="I42" s="332">
        <f>J42/H42</f>
        <v>3.93</v>
      </c>
      <c r="J42" s="334">
        <f>J33+J37</f>
        <v>-3537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  <row r="44" spans="8:10">
      <c r="H44" s="275">
        <f>H35+H39</f>
        <v>0</v>
      </c>
      <c r="I44" s="332" t="e">
        <f>J44/H44</f>
        <v>#DIV/0!</v>
      </c>
      <c r="J44" s="334">
        <f>J35+J39</f>
        <v>0</v>
      </c>
    </row>
    <row r="45" spans="8:10">
      <c r="H45" s="275">
        <f>H36+H40</f>
        <v>0</v>
      </c>
      <c r="I45" s="332" t="e">
        <f>J45/H45</f>
        <v>#DIV/0!</v>
      </c>
      <c r="J45" s="334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0" sqref="B30:B3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1039</v>
      </c>
      <c r="B5" s="98"/>
      <c r="I5" s="63"/>
      <c r="K5" s="63">
        <f>K10-K16</f>
        <v>-2.8899999999999997</v>
      </c>
      <c r="P5" s="196"/>
      <c r="Q5">
        <f>Q9/Q15-1</f>
        <v>-0.85155555555555551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327.80822366476053</v>
      </c>
    </row>
    <row r="7" spans="1:41" outlineLevel="1">
      <c r="A7" s="405">
        <f>P7/Y7</f>
        <v>0.1002868747875052</v>
      </c>
      <c r="B7" t="s">
        <v>1099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7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3.7</v>
      </c>
      <c r="J7" s="18">
        <f>I7/S7</f>
        <v>6.5749724561964679E-3</v>
      </c>
      <c r="K7" s="35" cm="1">
        <f t="array" ref="K7">_xll.BDP($B7&amp;" Equity","bid")</f>
        <v>0.25</v>
      </c>
      <c r="L7" s="35" cm="1">
        <f t="array" ref="L7">_xll.BDP($B7&amp;" Equity","ask")</f>
        <v>3.7</v>
      </c>
      <c r="M7" s="39">
        <f>(L7/K7-1)</f>
        <v>13.8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18500</v>
      </c>
      <c r="Q7" s="57">
        <f>P7/'Master P&amp;L'!$AD$5*10000</f>
        <v>7.8040616704676616E-2</v>
      </c>
      <c r="R7" s="36" cm="1">
        <f t="array" ref="R7">_xll.BDP($C7&amp;" Equity","EST_PE_NXT_YR")*(T7/S7)</f>
        <v>49.944230903195511</v>
      </c>
      <c r="S7" s="35" cm="1">
        <f t="array" ref="S7">_xll.BDP(C7&amp;" Equity","LAST_PRICE")</f>
        <v>562.74</v>
      </c>
      <c r="T7" s="52" cm="1">
        <f t="array" ref="T7">_xll.BDP(B7&amp;" Equity","OPT_STRIKE_PX")</f>
        <v>690</v>
      </c>
      <c r="U7" s="39">
        <f>T7/S7-1</f>
        <v>0.22614351210150341</v>
      </c>
      <c r="V7" s="36" cm="1">
        <f t="array" ref="V7">_xll.BDP($B7&amp;" Equity","ivol_mid")</f>
        <v>100.62860000000001</v>
      </c>
      <c r="W7" s="37" cm="1">
        <f t="array" ref="W7">_xll.BDP(B7&amp;" Equity","DELTA_MID_RT")</f>
        <v>6.5561644732952118E-2</v>
      </c>
      <c r="X7" s="47">
        <f>Y7/'Master P&amp;L'!$AE$5</f>
        <v>7.7817378266133521E-5</v>
      </c>
      <c r="Y7" s="15">
        <f>IF(G7="Sell", S7*W7*-H7*O7/N7, S7*W7*H7*O7/N7)</f>
        <v>184470.79978510735</v>
      </c>
      <c r="Z7" s="15">
        <f>_xll.BDP($B7&amp;" Equity","opt_theta")*H7*O7/N7</f>
        <v>-3861.9500000000003</v>
      </c>
      <c r="AA7" s="18">
        <f>_xll.BDP($B7&amp;" Equity","opt_theta")/I7</f>
        <v>-0.20875405405405406</v>
      </c>
      <c r="AB7" s="35" t="str" cm="1">
        <f t="array" ref="AB7">_xll.BDP($C7&amp;" Equity","EXPECTED_REPORT_DT")</f>
        <v>06/05/2026</v>
      </c>
      <c r="AC7" s="15">
        <f>S7*H7*O7/N7</f>
        <v>2813700</v>
      </c>
      <c r="AD7" s="18">
        <f>AC7/'Master P&amp;L'!$AE$5</f>
        <v>1.1869345039024247E-3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1098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7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1.2</v>
      </c>
      <c r="J8" s="18">
        <f>I8/S8</f>
        <v>2.1324234993069621E-3</v>
      </c>
      <c r="K8" s="35" cm="1">
        <f t="array" ref="K8">_xll.BDP($B8&amp;" Equity","bid")</f>
        <v>1.2</v>
      </c>
      <c r="L8" s="35" cm="1">
        <f t="array" ref="L8">_xll.BDP($B8&amp;" Equity","ask")</f>
        <v>4.0999999999999996</v>
      </c>
      <c r="M8" s="39">
        <f>(L8/K8-1)</f>
        <v>2.4166666666666665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-1800</v>
      </c>
      <c r="Q8" s="57">
        <f>P8/'Master P&amp;L'!$AD$5*10000</f>
        <v>-7.5931410847793453E-3</v>
      </c>
      <c r="R8" s="36" cm="1">
        <f t="array" ref="R8">_xll.BDP($C8&amp;" Equity","EST_PE_NXT_YR")*(T8/S8)</f>
        <v>49.220401469815869</v>
      </c>
      <c r="S8" s="35" cm="1">
        <f t="array" ref="S8">_xll.BDP(C8&amp;" Equity","LAST_PRICE")</f>
        <v>562.74</v>
      </c>
      <c r="T8" s="52" cm="1">
        <f t="array" ref="T8">_xll.BDP(B8&amp;" Equity","OPT_STRIKE_PX")</f>
        <v>680</v>
      </c>
      <c r="U8" s="39">
        <f>T8/S8-1</f>
        <v>0.2083733162739454</v>
      </c>
      <c r="V8" s="36" cm="1">
        <f t="array" ref="V8">_xll.BDP($B8&amp;" Equity","ivol_mid")</f>
        <v>100.26260000000001</v>
      </c>
      <c r="W8" s="37" cm="1">
        <f t="array" ref="W8">_xll.BDP(B8&amp;" Equity","DELTA_MID_RT")</f>
        <v>8.355376124382019E-2</v>
      </c>
      <c r="X8" s="47">
        <f>Y8/'Master P&amp;L'!$AE$5</f>
        <v>-2.9751852645334607E-5</v>
      </c>
      <c r="Y8" s="15">
        <f>IF(G8="Sell", S8*W8*-H8*O8/N8, S8*W8*H8*O8/N8)</f>
        <v>-70528.565403521061</v>
      </c>
      <c r="Z8" s="15" cm="1">
        <f t="array" ref="Z8">_xll.BDP($B8&amp;" Equity","opt_theta")*H8*O8/N8</f>
        <v>-1332.8235000000002</v>
      </c>
      <c r="AA8" s="18" cm="1">
        <f t="array" ref="AA8">_xll.BDP($B8&amp;" Equity","opt_theta")/I8</f>
        <v>-0.7404575000000001</v>
      </c>
      <c r="AB8" s="35" t="str" cm="1">
        <f t="array" ref="AB8">_xll.BDP($C8&amp;" Equity","EXPECTED_REPORT_DT")</f>
        <v>06/05/2026</v>
      </c>
      <c r="AC8" s="15">
        <f>S8*H8*O8/N8</f>
        <v>844110</v>
      </c>
      <c r="AD8" s="18">
        <f>AC8/'Master P&amp;L'!$AE$5</f>
        <v>3.5608035117072736E-4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2.5</v>
      </c>
      <c r="J9" s="99" t="s">
        <v>192</v>
      </c>
      <c r="K9" s="100">
        <f>K8/L7</f>
        <v>0.32432432432432429</v>
      </c>
      <c r="P9" s="99" t="s">
        <v>193</v>
      </c>
      <c r="Q9" s="106">
        <f>Q7+Q8</f>
        <v>7.0447475619897268E-2</v>
      </c>
      <c r="S9" s="99" t="s">
        <v>194</v>
      </c>
      <c r="T9" s="101">
        <f>T8-T7</f>
        <v>-10</v>
      </c>
      <c r="W9" s="99" t="s">
        <v>195</v>
      </c>
      <c r="X9" s="120">
        <f>X7+X8</f>
        <v>4.8065525620798915E-5</v>
      </c>
      <c r="Y9" s="13">
        <f>Y7+Y8</f>
        <v>113942.23438158628</v>
      </c>
      <c r="AC9" s="99" t="s">
        <v>172</v>
      </c>
      <c r="AD9" s="120">
        <f>AD7</f>
        <v>1.1869345039024247E-3</v>
      </c>
      <c r="AO9" t="s">
        <v>95</v>
      </c>
    </row>
    <row r="10" spans="1:41" outlineLevel="1">
      <c r="H10" s="99" t="s">
        <v>196</v>
      </c>
      <c r="I10" s="101">
        <f>(T9-I9)/I9</f>
        <v>-5</v>
      </c>
      <c r="J10" s="99" t="s">
        <v>90</v>
      </c>
      <c r="K10" s="178">
        <f>AVERAGE(K7:L7)-AVERAGE(K8:L8)</f>
        <v>-0.67499999999999982</v>
      </c>
      <c r="L10" s="17"/>
      <c r="P10" s="127">
        <f>P7+P8</f>
        <v>16700</v>
      </c>
      <c r="Q10" s="106"/>
      <c r="S10" s="99"/>
      <c r="T10" s="101"/>
      <c r="W10" s="99"/>
      <c r="X10" s="120"/>
      <c r="Y10" s="13">
        <f>Y9/S7</f>
        <v>202.47758179903025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4.4425489568895062E-3</v>
      </c>
      <c r="K11" s="135">
        <f>K7-K8</f>
        <v>-0.95</v>
      </c>
      <c r="L11" s="135">
        <f>L7-L8</f>
        <v>-0.39999999999999947</v>
      </c>
      <c r="P11" s="39">
        <f>P10/Y9</f>
        <v>0.14656549514443096</v>
      </c>
      <c r="Q11" s="63">
        <f>Q9*I10</f>
        <v>-0.35223737809948635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3.5862449750632226E-4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1069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35</v>
      </c>
      <c r="F13" s="58" t="str" cm="1">
        <f t="array" ref="F13">_xll.BDP(B13&amp;" Equity","QUOTED_CURRENCY_REALTIME")</f>
        <v>USD</v>
      </c>
      <c r="G13" s="103" t="s">
        <v>190</v>
      </c>
      <c r="H13" s="95">
        <v>500</v>
      </c>
      <c r="I13" s="96">
        <f>IF(G13="Buy",L13,K13)</f>
        <v>4.9000000000000004</v>
      </c>
      <c r="J13" s="18">
        <f>I13/S13</f>
        <v>2.6803785350910783E-2</v>
      </c>
      <c r="K13" s="35" cm="1">
        <f t="array" ref="K13">_xll.BDP($B13&amp;" Equity","bid")</f>
        <v>4.8499999999999996</v>
      </c>
      <c r="L13" s="35" cm="1">
        <f t="array" ref="L13">_xll.BDP($B13&amp;" Equity","ask")</f>
        <v>4.9000000000000004</v>
      </c>
      <c r="M13" s="39">
        <f>(L13/K13-1)</f>
        <v>1.0309278350515649E-2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245000</v>
      </c>
      <c r="Q13" s="57">
        <f>P13/'Master P&amp;L'!$AD$5*10000</f>
        <v>1.0335108698727442</v>
      </c>
      <c r="R13" s="36" cm="1">
        <f t="array" ref="R13">_xll.BDP($C13&amp;" Equity","EST_PE_NXT_YR")*(T13/S13)</f>
        <v>25.843326976922285</v>
      </c>
      <c r="S13" s="35" cm="1">
        <f t="array" ref="S13">_xll.BDP(C13&amp;" Equity","LAST_PRICE")</f>
        <v>182.81</v>
      </c>
      <c r="T13" s="52" cm="1">
        <f t="array" ref="T13">_xll.BDP(B13&amp;" Equity","OPT_STRIKE_PX")</f>
        <v>200</v>
      </c>
      <c r="U13" s="39">
        <f>T13/S13-1</f>
        <v>9.4032055139215531E-2</v>
      </c>
      <c r="V13" s="36" cm="1">
        <f t="array" ref="V13">_xll.BDP($B13&amp;" Equity","ivol_mid")</f>
        <v>47.01981</v>
      </c>
      <c r="W13" s="37" cm="1">
        <f t="array" ref="W13">_xll.BDP(B13&amp;" Equity","DELTA_MID_RT")</f>
        <v>0.30479326844215393</v>
      </c>
      <c r="X13" s="47">
        <f>Y13/'Master P&amp;L'!$AE$5</f>
        <v>1.1752338405750721E-3</v>
      </c>
      <c r="Y13" s="15">
        <f>IF(G13="Sell", S13*W13*-H13*O13/N13, S13*W13*H13*O13/N13)</f>
        <v>2785962.870195508</v>
      </c>
      <c r="Z13" s="15" cm="1">
        <f t="array" ref="Z13">_xll.BDP($B13&amp;" Equity","opt_theta")*H13*O13/N13</f>
        <v>-6526.5</v>
      </c>
      <c r="AA13" s="18" cm="1">
        <f t="array" ref="AA13">_xll.BDP($B13&amp;" Equity","opt_theta")/I13</f>
        <v>-2.663877551020408E-2</v>
      </c>
      <c r="AB13" s="35" t="str" cm="1">
        <f t="array" ref="AB13">_xll.BDP($C13&amp;" Equity","EXPECTED_REPORT_DT")</f>
        <v>25/02/2026</v>
      </c>
      <c r="AC13" s="15">
        <f>S13*H13*O13/N13</f>
        <v>9140500</v>
      </c>
      <c r="AD13" s="18">
        <f>AC13/'Master P&amp;L'!$AE$5</f>
        <v>3.8558392269680891E-3</v>
      </c>
      <c r="AE13" t="str">
        <f>B13  &amp; " - Buy to open " &amp;  "-" &amp; H13 &amp;"x"</f>
        <v>NVDA US 03/20/26 C200 - Buy to open -500x</v>
      </c>
      <c r="AF13">
        <f>H13*$AF$3</f>
        <v>125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1100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35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500</v>
      </c>
      <c r="I14" s="96">
        <f>IF(G14="Buy",L14,K14)</f>
        <v>2.65</v>
      </c>
      <c r="J14" s="18">
        <f>I14/S14</f>
        <v>1.4495924730594606E-2</v>
      </c>
      <c r="K14" s="35" cm="1">
        <f t="array" ref="K14">_xll.BDP($B14&amp;" Equity","bid")</f>
        <v>2.65</v>
      </c>
      <c r="L14" s="35" cm="1">
        <f t="array" ref="L14">_xll.BDP($B14&amp;" Equity","ask")</f>
        <v>2.67</v>
      </c>
      <c r="M14" s="39">
        <f>(L14/K14-1)</f>
        <v>7.547169811320753E-3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-132500</v>
      </c>
      <c r="Q14" s="57">
        <f>P14/'Master P&amp;L'!$AD$5*10000</f>
        <v>-0.55893955207403512</v>
      </c>
      <c r="R14" s="36" cm="1">
        <f t="array" ref="R14">_xll.BDP($C14&amp;" Equity","EST_PE_NXT_YR")*(T14/S14)</f>
        <v>27.135493325768401</v>
      </c>
      <c r="S14" s="35" cm="1">
        <f t="array" ref="S14">_xll.BDP(C14&amp;" Equity","LAST_PRICE")</f>
        <v>182.81</v>
      </c>
      <c r="T14" s="52" cm="1">
        <f t="array" ref="T14">_xll.BDP(B14&amp;" Equity","OPT_STRIKE_PX")</f>
        <v>210</v>
      </c>
      <c r="U14" s="39">
        <f>T14/S14-1</f>
        <v>0.14873365789617643</v>
      </c>
      <c r="V14" s="36" cm="1">
        <f t="array" ref="V14">_xll.BDP($B14&amp;" Equity","ivol_mid")</f>
        <v>46.120080000000002</v>
      </c>
      <c r="W14" s="37" cm="1">
        <f t="array" ref="W14">_xll.BDP(B14&amp;" Equity","DELTA_MID_RT")</f>
        <v>0.19417892396450043</v>
      </c>
      <c r="X14" s="47">
        <f>Y14/'Master P&amp;L'!$AE$5</f>
        <v>-7.4872271207277472E-4</v>
      </c>
      <c r="Y14" s="15">
        <f>IF(G14="Sell", S14*W14*-H14*O14/N14, S14*W14*H14*O14/N14)</f>
        <v>-1774892.4544975162</v>
      </c>
      <c r="Z14" s="15" cm="1">
        <f t="array" ref="Z14">_xll.BDP($B14&amp;" Equity","opt_theta")*H14*O14/N14</f>
        <v>-4910.3500000000004</v>
      </c>
      <c r="AA14" s="18" cm="1">
        <f t="array" ref="AA14">_xll.BDP($B14&amp;" Equity","opt_theta")/I14</f>
        <v>-3.705924528301887E-2</v>
      </c>
      <c r="AB14" s="35" t="str" cm="1">
        <f t="array" ref="AB14">_xll.BDP($C14&amp;" Equity","EXPECTED_REPORT_DT")</f>
        <v>25/02/2026</v>
      </c>
      <c r="AC14" s="15">
        <f>S14*H14*O14/N14</f>
        <v>9140500</v>
      </c>
      <c r="AD14" s="18">
        <f>AC14/'Master P&amp;L'!$AE$5</f>
        <v>3.8558392269680891E-3</v>
      </c>
      <c r="AE14" t="str">
        <f>B14  &amp; " - Buy to open " &amp;  "-" &amp; H14 &amp;"x"</f>
        <v>NVDA US 03/20/26 C210 - Buy to open -500x</v>
      </c>
      <c r="AF14">
        <f>H14*$AF$3</f>
        <v>125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2.2500000000000004</v>
      </c>
      <c r="J15" s="99" t="s">
        <v>192</v>
      </c>
      <c r="K15" s="100">
        <f>K14/L13</f>
        <v>0.54081632653061218</v>
      </c>
      <c r="P15" s="99" t="s">
        <v>193</v>
      </c>
      <c r="Q15" s="106">
        <f>Q13+Q14</f>
        <v>0.47457131779870909</v>
      </c>
      <c r="S15" s="99" t="s">
        <v>194</v>
      </c>
      <c r="T15" s="101">
        <f>T14-T13</f>
        <v>10</v>
      </c>
      <c r="W15" s="99" t="s">
        <v>195</v>
      </c>
      <c r="X15" s="120">
        <f>X13+X14</f>
        <v>4.2651112850229742E-4</v>
      </c>
      <c r="Y15" s="13">
        <f>Y13+Y14</f>
        <v>1011070.4156979918</v>
      </c>
      <c r="AC15" s="99" t="s">
        <v>172</v>
      </c>
      <c r="AD15" s="102">
        <f>AD13</f>
        <v>3.8558392269680891E-3</v>
      </c>
    </row>
    <row r="16" spans="1:41" outlineLevel="1">
      <c r="H16" s="99" t="s">
        <v>196</v>
      </c>
      <c r="I16" s="101">
        <f>(T15-I15)/I15</f>
        <v>3.4444444444444438</v>
      </c>
      <c r="J16" s="99" t="s">
        <v>90</v>
      </c>
      <c r="K16" s="178">
        <f>AVERAGE(K13:L13)-AVERAGE(K14:L14)</f>
        <v>2.2149999999999999</v>
      </c>
      <c r="P16" s="127">
        <f>P13+P14</f>
        <v>112500</v>
      </c>
      <c r="Q16" s="106"/>
      <c r="S16" s="99"/>
      <c r="T16" s="101"/>
      <c r="W16" s="106">
        <f>1/(W13-W14)</f>
        <v>9.0404188057365538</v>
      </c>
      <c r="X16" s="120"/>
      <c r="Y16" s="13">
        <f>Y15/S13</f>
        <v>5530.7172238826752</v>
      </c>
      <c r="AC16" s="99"/>
      <c r="AD16" s="102"/>
    </row>
    <row r="17" spans="1:38" outlineLevel="1">
      <c r="I17" s="20"/>
      <c r="J17" s="42">
        <f>J13-J14</f>
        <v>1.2307860620316177E-2</v>
      </c>
      <c r="K17" s="135">
        <f>K13-K14</f>
        <v>2.1999999999999997</v>
      </c>
      <c r="L17" s="135">
        <f>L13-L14</f>
        <v>2.2300000000000004</v>
      </c>
      <c r="P17" s="39">
        <f>P16/Y15</f>
        <v>0.11126821461029071</v>
      </c>
      <c r="Q17" s="63">
        <f>Q15/5</f>
        <v>9.4914263559741821E-2</v>
      </c>
      <c r="W17" s="49"/>
      <c r="X17" s="47"/>
      <c r="Y17" s="3"/>
      <c r="Z17" s="17"/>
    </row>
    <row r="18" spans="1:38" outlineLevel="1">
      <c r="G18">
        <f>H19/25</f>
        <v>20</v>
      </c>
      <c r="H18" s="13">
        <v>1.5</v>
      </c>
      <c r="K18" s="276">
        <f>K10-K16</f>
        <v>-2.8899999999999997</v>
      </c>
      <c r="AK18">
        <v>13</v>
      </c>
      <c r="AL18" s="1">
        <v>16</v>
      </c>
    </row>
    <row r="19" spans="1:38" outlineLevel="1">
      <c r="A19" s="97" t="s">
        <v>189</v>
      </c>
      <c r="B19" s="72" t="s">
        <v>1077</v>
      </c>
      <c r="C19" s="58" t="str">
        <f>_xll.BDP(B19&amp;" Equity","OPT_UNDL_TICKER")</f>
        <v>CSCO US</v>
      </c>
      <c r="D19" s="58" t="str">
        <f>_xll.BDP($B19&amp;" Index","mifid_Maturity_date")</f>
        <v>17/07/2026</v>
      </c>
      <c r="E19" s="58">
        <f>_xll.BDP($B19&amp;" Index","opt_days_expire")</f>
        <v>154</v>
      </c>
      <c r="F19" s="58" t="str">
        <f>_xll.BDP(B19&amp;" Equity","QUOTED_CURRENCY_REALTIME")</f>
        <v>USD</v>
      </c>
      <c r="G19" s="103" t="s">
        <v>190</v>
      </c>
      <c r="H19" s="95">
        <v>500</v>
      </c>
      <c r="I19" s="96">
        <f>IF(G19="Buy",L19,K19)</f>
        <v>0.94</v>
      </c>
      <c r="J19" s="18">
        <f>I19/S19</f>
        <v>1.2231620039037085E-2</v>
      </c>
      <c r="K19" s="35">
        <f>_xll.BDP($B19&amp;" Equity","bid")</f>
        <v>0.56000000000000005</v>
      </c>
      <c r="L19" s="35">
        <f>_xll.BDP($B19&amp;" Equity","ask")</f>
        <v>0.94</v>
      </c>
      <c r="M19" s="39">
        <f>(L19/K19-1)</f>
        <v>0.67857142857142838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47000</v>
      </c>
      <c r="Q19" s="57">
        <f>P19/'Master P&amp;L'!$AD$5*10000</f>
        <v>0.19826535054701624</v>
      </c>
      <c r="R19" s="36" cm="1">
        <f t="array" ref="R19">_xll.BDP($C19&amp;" Equity","EST_PE_NXT_YR")*(T19/S19)</f>
        <v>21.110791686210433</v>
      </c>
      <c r="S19" s="35" cm="1">
        <f t="array" ref="S19">_xll.BDP(C19&amp;" Equity","LAST_PRICE")</f>
        <v>76.849999999999994</v>
      </c>
      <c r="T19" s="52">
        <f>_xll.BDP(B19&amp;" Equity","OPT_STRIKE_PX")</f>
        <v>95</v>
      </c>
      <c r="U19" s="39">
        <f>T19/S19-1</f>
        <v>0.23617436564736516</v>
      </c>
      <c r="V19" s="36">
        <f>_xll.BDP($B19&amp;" Equity","ivol_mid")</f>
        <v>26.796379999999999</v>
      </c>
      <c r="W19" s="37">
        <f>_xll.BDP(B19&amp;" Equity","DELTA_MID_RT")</f>
        <v>0.12629111111164093</v>
      </c>
      <c r="X19" s="47">
        <f>Y19/'Master P&amp;L'!$AE$5</f>
        <v>2.0470838151945107E-4</v>
      </c>
      <c r="Y19" s="15">
        <f>IF(G19="Sell", S19*W19*-H19*O19/N19, S19*W19*H19*O19/N19)</f>
        <v>485273.59444648027</v>
      </c>
      <c r="Z19" s="15" cm="1">
        <f t="array" ref="Z19">_xll.BDP($B19&amp;" Equity","opt_theta")*H19*O19/N19</f>
        <v>-457.79999999999995</v>
      </c>
      <c r="AA19" s="18" cm="1">
        <f t="array" ref="AA19">_xll.BDP($B19&amp;" Equity","opt_theta")/I19</f>
        <v>-9.7404255319148928E-3</v>
      </c>
      <c r="AB19" s="35" t="str" cm="1">
        <f t="array" ref="AB19">_xll.BDP($C19&amp;" Equity","EXPECTED_REPORT_DT")</f>
        <v>14/05/2026</v>
      </c>
      <c r="AC19" s="15">
        <f>S19*H19*O19/N19</f>
        <v>3842500</v>
      </c>
      <c r="AD19" s="18">
        <f>AC19/'Master P&amp;L'!$AE$5</f>
        <v>1.6209247010147019E-3</v>
      </c>
      <c r="AE19" t="str">
        <f>B19  &amp; " - Buy to open " &amp;  "-" &amp; H19 &amp;"x"</f>
        <v>CSCO US 07/17/26 C95 -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1078</v>
      </c>
      <c r="C20" s="58" t="str" cm="1">
        <f t="array" ref="C20">_xll.BDP(B20&amp;" Equity","OPT_UNDL_TICKER")</f>
        <v>CSCO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154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500</v>
      </c>
      <c r="I20" s="96">
        <f>IF(G20="Buy",L20,K20)</f>
        <v>0.37</v>
      </c>
      <c r="J20" s="18">
        <f>I20/S20</f>
        <v>4.8145738451528955E-3</v>
      </c>
      <c r="K20" s="35" cm="1">
        <f t="array" ref="K20">_xll.BDP($B20&amp;" Equity","bid")</f>
        <v>0.37</v>
      </c>
      <c r="L20" s="35" cm="1">
        <f t="array" ref="L20">_xll.BDP($B20&amp;" Equity","ask")</f>
        <v>0.61</v>
      </c>
      <c r="M20" s="39">
        <f>(L20/K20-1)</f>
        <v>0.64864864864864868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-18500</v>
      </c>
      <c r="Q20" s="57">
        <f>P20/'Master P&amp;L'!$AD$5*10000</f>
        <v>-7.8040616704676616E-2</v>
      </c>
      <c r="R20" s="36" cm="1">
        <f t="array" ref="R20">_xll.BDP($C20&amp;" Equity","EST_PE_NXT_YR")*(T20/S20)</f>
        <v>22.221885985484668</v>
      </c>
      <c r="S20" s="35" cm="1">
        <f t="array" ref="S20">_xll.BDP(C20&amp;" Equity","LAST_PRICE")</f>
        <v>76.849999999999994</v>
      </c>
      <c r="T20" s="52" cm="1">
        <f t="array" ref="T20">_xll.BDP(B20&amp;" Equity","OPT_STRIKE_PX")</f>
        <v>100</v>
      </c>
      <c r="U20" s="39">
        <f>T20/S20-1</f>
        <v>0.30123617436564754</v>
      </c>
      <c r="V20" s="36" cm="1">
        <f t="array" ref="V20">_xll.BDP($B20&amp;" Equity","ivol_mid")</f>
        <v>27.04335</v>
      </c>
      <c r="W20" s="37" cm="1">
        <f t="array" ref="W20">_xll.BDP(B20&amp;" Equity","DELTA_MID_RT")</f>
        <v>8.4348201751708984E-2</v>
      </c>
      <c r="X20" s="47">
        <f>Y20/'Master P&amp;L'!$AE$5</f>
        <v>-1.3672208370551665E-4</v>
      </c>
      <c r="Y20" s="15">
        <f>IF(G20="Sell", S20*W20*-H20*O20/N20, S20*W20*H20*O20/N20)</f>
        <v>-324107.96523094177</v>
      </c>
      <c r="Z20" s="15" cm="1">
        <f t="array" ref="Z20">_xll.BDP($B20&amp;" Equity","opt_theta")*H20*O20/N20</f>
        <v>-339.15000000000003</v>
      </c>
      <c r="AA20" s="18" cm="1">
        <f t="array" ref="AA20">_xll.BDP($B20&amp;" Equity","opt_theta")/I20</f>
        <v>-1.8332432432432433E-2</v>
      </c>
      <c r="AB20" s="35" t="str" cm="1">
        <f t="array" ref="AB20">_xll.BDP($C20&amp;" Equity","EXPECTED_REPORT_DT")</f>
        <v>14/05/2026</v>
      </c>
      <c r="AC20" s="15">
        <f>S20*H20*O20/N20</f>
        <v>3842500</v>
      </c>
      <c r="AD20" s="18">
        <f>AC20/'Master P&amp;L'!$AE$5</f>
        <v>1.6209247010147019E-3</v>
      </c>
      <c r="AE20" t="str">
        <f>B20  &amp; " - Buy to open " &amp;  "-" &amp; H20 &amp;"x"</f>
        <v>CSCO US 07/17/26 C100 -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0.56999999999999995</v>
      </c>
      <c r="J21" s="99" t="s">
        <v>192</v>
      </c>
      <c r="K21" s="100">
        <f>K20/L19</f>
        <v>0.39361702127659576</v>
      </c>
      <c r="P21" s="99" t="s">
        <v>193</v>
      </c>
      <c r="Q21" s="106">
        <f>Q19+Q20</f>
        <v>0.12022473384233963</v>
      </c>
      <c r="S21" s="99" t="s">
        <v>194</v>
      </c>
      <c r="T21" s="101">
        <f>T20-T19</f>
        <v>5</v>
      </c>
      <c r="W21" s="99" t="s">
        <v>195</v>
      </c>
      <c r="X21" s="120">
        <f>X19+X20</f>
        <v>6.7986297813934425E-5</v>
      </c>
      <c r="Y21" s="13">
        <f>Y19+Y20</f>
        <v>161165.6292155385</v>
      </c>
      <c r="AC21" s="99" t="s">
        <v>172</v>
      </c>
      <c r="AD21" s="102">
        <f>AD19</f>
        <v>1.6209247010147019E-3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7.7719298245614032</v>
      </c>
      <c r="J22" s="99" t="s">
        <v>90</v>
      </c>
      <c r="K22" s="178">
        <f>AVERAGE(K19:L19)-AVERAGE(K20:L20)</f>
        <v>0.26</v>
      </c>
      <c r="P22" s="127">
        <f>P19+P20</f>
        <v>28500</v>
      </c>
      <c r="Q22" s="106"/>
      <c r="S22" s="99"/>
      <c r="T22" s="101"/>
      <c r="W22" s="99"/>
      <c r="X22" s="120"/>
      <c r="Y22" s="3">
        <f>Y21/S19</f>
        <v>2097.1454679965973</v>
      </c>
      <c r="AC22" s="99"/>
      <c r="AD22" s="102"/>
    </row>
    <row r="23" spans="1:38" outlineLevel="1">
      <c r="I23" s="63">
        <f>I20*2</f>
        <v>0.74</v>
      </c>
      <c r="K23" s="135">
        <f>K19-K20</f>
        <v>0.19000000000000006</v>
      </c>
      <c r="L23" s="135">
        <f>L19-L20</f>
        <v>0.32999999999999996</v>
      </c>
      <c r="P23" s="39">
        <f>P22/Y21</f>
        <v>0.17683671226130282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-0.35434658395636948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0.03</v>
      </c>
      <c r="L27" s="63">
        <f>L30*2+L31</f>
        <v>0.06</v>
      </c>
    </row>
    <row r="28" spans="1:38">
      <c r="A28" s="98" t="s">
        <v>1038</v>
      </c>
      <c r="B28" s="98"/>
      <c r="K28" s="63"/>
      <c r="L28" s="63"/>
      <c r="P28" s="3">
        <f>P30+P31</f>
        <v>1000</v>
      </c>
      <c r="Q28" s="57"/>
    </row>
    <row r="29" spans="1:38">
      <c r="H29">
        <v>1</v>
      </c>
      <c r="I29" s="63">
        <f>I30-I31</f>
        <v>0.01</v>
      </c>
    </row>
    <row r="30" spans="1:38" outlineLevel="1">
      <c r="A30" s="209">
        <v>4.3</v>
      </c>
      <c r="B30" t="s">
        <v>1103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12/02/2026</v>
      </c>
      <c r="E30" t="str" cm="1">
        <f t="array" ref="E30">_xll.BDP($B30&amp;" Index","opt_days_expire")</f>
        <v>#N/A N/A</v>
      </c>
      <c r="F30" t="str" cm="1">
        <f t="array" ref="F30">_xll.BDP(B30&amp;" Equity","QUOTED_CURRENCY_REALTIME")</f>
        <v>USD</v>
      </c>
      <c r="G30" s="103" t="s">
        <v>190</v>
      </c>
      <c r="H30" s="95">
        <v>1000</v>
      </c>
      <c r="I30" s="96">
        <f>IF(G30="Buy",L30,K30)</f>
        <v>0.02</v>
      </c>
      <c r="J30" s="18">
        <f>I30/S30</f>
        <v>3.322700691121744E-5</v>
      </c>
      <c r="K30" s="35" cm="1">
        <f t="array" ref="K30">_xll.BDP($B30&amp;" Equity","bid")</f>
        <v>0.01</v>
      </c>
      <c r="L30" s="35" cm="1">
        <f t="array" ref="L30">_xll.BDP($B30&amp;" Equity","ask")</f>
        <v>0.02</v>
      </c>
      <c r="M30" s="39">
        <f>(L30/K30-1)</f>
        <v>1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2000</v>
      </c>
      <c r="Q30" s="57">
        <f>P30/'Master P&amp;L'!$AD$5*10000</f>
        <v>8.4368234275326061E-3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601.91999999999996</v>
      </c>
      <c r="T30" s="52" cm="1">
        <f t="array" ref="T30">_xll.BDP(B30&amp;" Equity","OPT_STRIKE_PX")</f>
        <v>599</v>
      </c>
      <c r="U30" s="39">
        <f>T30/S30-1</f>
        <v>-4.8511430090376617E-3</v>
      </c>
      <c r="V30" s="36" cm="1">
        <f t="array" ref="V30">_xll.BDP($B30&amp;" Equity","ivol_mid")</f>
        <v>68.566339999999997</v>
      </c>
      <c r="W30" s="37" cm="1">
        <f t="array" ref="W30">_xll.BDP(B30&amp;" Equity","DELTA_MID_RT")</f>
        <v>-2.3706004023551941E-2</v>
      </c>
      <c r="X30" s="284">
        <f>Y30/'Master P&amp;L'!$AE$5</f>
        <v>-6.0193014271039881E-4</v>
      </c>
      <c r="Y30" s="15">
        <f>IF(G30="Sell", S30*W30*-H30*O30/N30, S30*W30*H30*O30/N30)</f>
        <v>-1426911.7941856382</v>
      </c>
      <c r="Z30" s="15" cm="1">
        <f t="array" ref="Z30">_xll.BDP($B30&amp;" Equity","opt_theta")*H30*O30/N30</f>
        <v>0</v>
      </c>
      <c r="AA30" s="18" cm="1">
        <f t="array" ref="AA30">_xll.BDP($B30&amp;" Equity","opt_theta")/I30</f>
        <v>0</v>
      </c>
      <c r="AB30" s="35" t="str" cm="1">
        <f t="array" ref="AB30">_xll.BDP($C30&amp;" Equity","EXPECTED_REPORT_DT")</f>
        <v>#N/A N/A</v>
      </c>
      <c r="AC30" s="15">
        <f>S30*H30*O30/N30</f>
        <v>60192000</v>
      </c>
      <c r="AD30" s="47">
        <f>AC30/'Master P&amp;L'!$AE$5</f>
        <v>2.5391463787502129E-2</v>
      </c>
      <c r="AE30" t="str">
        <f>B30&amp;" -&gt; Buy to open "&amp;H30&amp;"x"</f>
        <v>QQQ US 02/12/26 P599 -&gt; Buy to open 1000x</v>
      </c>
      <c r="AJ30" t="s">
        <v>198</v>
      </c>
    </row>
    <row r="31" spans="1:38" outlineLevel="1">
      <c r="A31" s="209">
        <v>2.0499999999999998</v>
      </c>
      <c r="B31" t="s">
        <v>1104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12/02/2026</v>
      </c>
      <c r="E31" t="str" cm="1">
        <f t="array" ref="E31">_xll.BDP($B31&amp;" Index","opt_days_expire")</f>
        <v>#N/A N/A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1000</v>
      </c>
      <c r="I31" s="96">
        <f>IF(G31="Buy",L31,K31)</f>
        <v>0.01</v>
      </c>
      <c r="J31" s="18">
        <f>I31/S31</f>
        <v>1.661350345560872E-5</v>
      </c>
      <c r="K31" s="35" cm="1">
        <f t="array" ref="K31">_xll.BDP($B31&amp;" Equity","bid")</f>
        <v>0.01</v>
      </c>
      <c r="L31" s="35" cm="1">
        <f t="array" ref="L31">_xll.BDP($B31&amp;" Equity","ask")</f>
        <v>0.02</v>
      </c>
      <c r="M31" s="39">
        <f>(L31/K31-1)</f>
        <v>1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-1000</v>
      </c>
      <c r="Q31" s="57">
        <f>P31/'Master P&amp;L'!$AD$5*10000</f>
        <v>-4.218411713766303E-3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601.91999999999996</v>
      </c>
      <c r="T31" s="52" cm="1">
        <f t="array" ref="T31">_xll.BDP(B31&amp;" Equity","OPT_STRIKE_PX")</f>
        <v>598</v>
      </c>
      <c r="U31" s="39">
        <f>T31/S31-1</f>
        <v>-6.5124933545985808E-3</v>
      </c>
      <c r="V31" s="36" cm="1">
        <f t="array" ref="V31">_xll.BDP(B31&amp;" Equity","ivol_mid")</f>
        <v>110.754</v>
      </c>
      <c r="W31" s="37" cm="1">
        <f t="array" ref="W31">_xll.BDP(B31&amp;" Equity","DELTA_MID_RT")</f>
        <v>-1.5740003436803818E-2</v>
      </c>
      <c r="X31" s="284">
        <f>Y31/'Master P&amp;L'!$AE$5</f>
        <v>3.9966172728076322E-4</v>
      </c>
      <c r="Y31" s="15">
        <f>IF(G31="Sell", S31*W31*-H31*O31/N31, S31*W31*H31*O31/N31)</f>
        <v>947422.2868680954</v>
      </c>
      <c r="Z31" s="15" cm="1">
        <f t="array" ref="Z31">_xll.BDP($B31&amp;" Equity","opt_theta")*H31*O31/N31</f>
        <v>0</v>
      </c>
      <c r="AA31" s="18" cm="1">
        <f t="array" ref="AA31">_xll.BDP($B31&amp;" Equity","opt_theta")/I31</f>
        <v>0</v>
      </c>
      <c r="AB31" s="35" t="str" cm="1">
        <f t="array" ref="AB31">_xll.BDP($C31&amp;" Equity","EXPECTED_REPORT_DT")</f>
        <v>#N/A N/A</v>
      </c>
      <c r="AC31" s="15">
        <f>S31*H31*O31/N31</f>
        <v>60192000</v>
      </c>
      <c r="AD31" s="18">
        <f>AC31/'Master P&amp;L'!$AE$5</f>
        <v>2.5391463787502129E-2</v>
      </c>
      <c r="AE31" t="str">
        <f>B31  &amp; " -&gt; Sell to open " &amp;   H31 &amp;"x"</f>
        <v>QQQ US 02/12/26 P598 -&gt; Sell to open 1000x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0.01</v>
      </c>
      <c r="J32" s="99" t="s">
        <v>192</v>
      </c>
      <c r="K32" s="100">
        <f>K31/L30</f>
        <v>0.5</v>
      </c>
      <c r="L32" s="63"/>
      <c r="P32" s="99" t="s">
        <v>193</v>
      </c>
      <c r="Q32" s="106">
        <f>Q30+Q31</f>
        <v>4.218411713766303E-3</v>
      </c>
      <c r="S32" s="99" t="s">
        <v>194</v>
      </c>
      <c r="T32" s="101">
        <f>T30-T31</f>
        <v>1</v>
      </c>
      <c r="W32" s="99" t="s">
        <v>195</v>
      </c>
      <c r="X32" s="342">
        <f>X30+X31</f>
        <v>-2.0226841542963559E-4</v>
      </c>
      <c r="Y32" s="13">
        <f>Y30+Y31</f>
        <v>-479489.5073175428</v>
      </c>
      <c r="AC32" s="99" t="s">
        <v>172</v>
      </c>
      <c r="AD32" s="120">
        <f>AD30</f>
        <v>2.5391463787502129E-2</v>
      </c>
    </row>
    <row r="33" spans="1:36" outlineLevel="1">
      <c r="A33" s="205"/>
      <c r="H33" s="99" t="s">
        <v>196</v>
      </c>
      <c r="I33" s="101">
        <f>(T32-I32)/I32</f>
        <v>99</v>
      </c>
      <c r="J33" s="99" t="s">
        <v>90</v>
      </c>
      <c r="K33" s="107">
        <f>AVERAGE(K30:L30)-AVERAGE(K31:L31)</f>
        <v>0</v>
      </c>
      <c r="L33" s="63"/>
      <c r="P33" s="127">
        <f>P30+P31</f>
        <v>1000</v>
      </c>
      <c r="Q33" s="106"/>
      <c r="S33" s="99"/>
      <c r="T33" s="101"/>
      <c r="W33" s="99"/>
      <c r="X33" s="120"/>
      <c r="Z33" s="3">
        <f>Y32/S30</f>
        <v>-796.60005867481198</v>
      </c>
      <c r="AC33" s="99"/>
      <c r="AD33" s="102"/>
    </row>
    <row r="34" spans="1:36" outlineLevel="1"/>
    <row r="35" spans="1:36" outlineLevel="1">
      <c r="H35">
        <v>1</v>
      </c>
      <c r="I35" s="63"/>
      <c r="J35" s="42" t="e">
        <f>J36-J37</f>
        <v>#VALUE!</v>
      </c>
      <c r="L35" s="63"/>
      <c r="P35" s="13" t="e">
        <f>P36+P37</f>
        <v>#VALUE!</v>
      </c>
      <c r="V35" s="529"/>
    </row>
    <row r="36" spans="1:36" outlineLevel="1">
      <c r="A36" s="97" t="s">
        <v>197</v>
      </c>
      <c r="B36" t="s">
        <v>1101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13/02/2026</v>
      </c>
      <c r="E36" cm="1">
        <f t="array" ref="E36">_xll.BDP($B36&amp;" Index","opt_days_expire")</f>
        <v>0</v>
      </c>
      <c r="F36" t="str" cm="1">
        <f t="array" ref="F36">_xll.BDP(B36&amp;" Equity","QUOTED_CURRENCY_REALTIME")</f>
        <v>USD</v>
      </c>
      <c r="G36" s="103" t="s">
        <v>190</v>
      </c>
      <c r="H36" s="95">
        <v>500</v>
      </c>
      <c r="I36" s="96">
        <f>IF(G36="Buy",L36,K36)</f>
        <v>0.01</v>
      </c>
      <c r="J36" s="18">
        <f>I36/S36</f>
        <v>1.661350345560872E-5</v>
      </c>
      <c r="K36" s="35" t="str" cm="1">
        <f t="array" ref="K36">_xll.BDP($B36&amp;" Equity","bid")</f>
        <v>#N/A N/A</v>
      </c>
      <c r="L36" s="35" cm="1">
        <f t="array" ref="L36">_xll.BDP($B36&amp;" Equity","ask")</f>
        <v>0.01</v>
      </c>
      <c r="M36" s="39" t="e">
        <f>(L36/K36-1)</f>
        <v>#VALUE!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500</v>
      </c>
      <c r="Q36" s="57">
        <f>P36/'Master P&amp;L'!$AD$5*10000</f>
        <v>2.1092058568831515E-3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601.91999999999996</v>
      </c>
      <c r="T36" s="52" cm="1">
        <f t="array" ref="T36">_xll.BDP(B36&amp;" Equity","OPT_STRIKE_PX")</f>
        <v>595</v>
      </c>
      <c r="U36" s="39">
        <f>T36/S36-1</f>
        <v>-1.1496544391281116E-2</v>
      </c>
      <c r="V36" s="36" cm="1">
        <f t="array" ref="V36">_xll.BDP($B36&amp;" Equity","ivol_mid")</f>
        <v>49.757019999999997</v>
      </c>
      <c r="W36" s="37" cm="1">
        <f t="array" ref="W36">_xll.BDP(B36&amp;" Equity","DELTA_MID_RT")</f>
        <v>-6.4561213366687298E-3</v>
      </c>
      <c r="X36" s="47">
        <f>Y36/'Master P&amp;L'!$AE$5</f>
        <v>-8.1965185563871932E-5</v>
      </c>
      <c r="Y36" s="15">
        <f>IF(G36="Sell", S36*W36*-H36*O36/N36, S36*W36*H36*O36/N36)</f>
        <v>-194303.42774838206</v>
      </c>
      <c r="Z36" s="15" cm="1">
        <f t="array" ref="Z36">_xll.BDP($B36&amp;" Equity","opt_theta")*H36*O36/N36</f>
        <v>0</v>
      </c>
      <c r="AA36" s="18" cm="1">
        <f t="array" ref="AA36">_xll.BDP($B36&amp;" Equity","opt_theta")/I36</f>
        <v>0</v>
      </c>
      <c r="AB36" s="35" t="str" cm="1">
        <f t="array" ref="AB36">_xll.BDP($C36&amp;" Equity","EXPECTED_REPORT_DT")</f>
        <v>#N/A N/A</v>
      </c>
      <c r="AC36" s="15">
        <f>S36*H36*O36/N36</f>
        <v>30096000</v>
      </c>
      <c r="AD36" s="47">
        <f>AC36/'Master P&amp;L'!$AE$5</f>
        <v>1.2695731893751065E-2</v>
      </c>
      <c r="AE36" t="str">
        <f>B36&amp;" -&gt; Buy to open "&amp;H36&amp;"x"</f>
        <v>QQQ US 02/13/26 P595 -&gt; Buy to open 500x</v>
      </c>
      <c r="AJ36" t="s">
        <v>198</v>
      </c>
    </row>
    <row r="37" spans="1:36" outlineLevel="1">
      <c r="A37" s="97" t="s">
        <v>197</v>
      </c>
      <c r="B37" t="s">
        <v>1102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13/02/2026</v>
      </c>
      <c r="E37" cm="1">
        <f t="array" ref="E37">_xll.BDP($B37&amp;" Index","opt_days_expire")</f>
        <v>0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500</v>
      </c>
      <c r="I37" s="96" t="str">
        <f>IF(G37="Buy",L37,K37)</f>
        <v>#N/A N/A</v>
      </c>
      <c r="J37" s="18" t="e">
        <f>I37/S37</f>
        <v>#VALUE!</v>
      </c>
      <c r="K37" s="35" t="str" cm="1">
        <f t="array" ref="K37">_xll.BDP($B37&amp;" Equity","bid")</f>
        <v>#N/A N/A</v>
      </c>
      <c r="L37" s="35" cm="1">
        <f t="array" ref="L37">_xll.BDP($B37&amp;" Equity","ask")</f>
        <v>0.01</v>
      </c>
      <c r="M37" s="39" t="e">
        <f>(L37/K37-1)</f>
        <v>#VALUE!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 t="e">
        <f>IF(G37="Buy",((I37/N37)*H37*O37),((I37/N37)*-H37*O37))</f>
        <v>#VALUE!</v>
      </c>
      <c r="Q37" s="57" t="e">
        <f>P37/'Master P&amp;L'!$AD$5*10000</f>
        <v>#VALUE!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601.91999999999996</v>
      </c>
      <c r="T37" s="52" cm="1">
        <f t="array" ref="T37">_xll.BDP(B37&amp;" Equity","OPT_STRIKE_PX")</f>
        <v>590</v>
      </c>
      <c r="U37" s="39">
        <f>T37/S37-1</f>
        <v>-1.9803296119085489E-2</v>
      </c>
      <c r="V37" s="36" cm="1">
        <f t="array" ref="V37">_xll.BDP(B37&amp;" Equity","ivol_mid")</f>
        <v>68.981650000000002</v>
      </c>
      <c r="W37" s="37" cm="1">
        <f t="array" ref="W37">_xll.BDP(B37&amp;" Equity","DELTA_MID_RT")</f>
        <v>-3.9813593029975891E-3</v>
      </c>
      <c r="X37" s="47">
        <f>Y37/'Master P&amp;L'!$AE$5</f>
        <v>5.0546270283548987E-5</v>
      </c>
      <c r="Y37" s="15">
        <f>IF(G37="Sell", S37*W37*-H37*O37/N37, S37*W37*H37*O37/N37)</f>
        <v>119822.98958301541</v>
      </c>
      <c r="Z37" s="15" cm="1">
        <f t="array" ref="Z37">_xll.BDP($B37&amp;" Equity","opt_theta")*H37*O37/N37</f>
        <v>0</v>
      </c>
      <c r="AA37" s="18" t="e" cm="1">
        <f t="array" ref="AA37">_xll.BDP($B37&amp;" Equity","opt_theta")/I37</f>
        <v>#VALUE!</v>
      </c>
      <c r="AB37" s="35" t="str" cm="1">
        <f t="array" ref="AB37">_xll.BDP($C37&amp;" Equity","EXPECTED_REPORT_DT")</f>
        <v>#N/A N/A</v>
      </c>
      <c r="AC37" s="15">
        <f>S37*H37*O37/N37</f>
        <v>30096000</v>
      </c>
      <c r="AD37" s="18">
        <f>AC37/'Master P&amp;L'!$AE$5</f>
        <v>1.2695731893751065E-2</v>
      </c>
      <c r="AE37" t="str">
        <f>B37  &amp; " -&gt; Sell to open " &amp;   H37 &amp;"x"</f>
        <v>QQQ US 02/13/26 P590 -&gt; Sell to open 500x</v>
      </c>
      <c r="AJ37" t="s">
        <v>199</v>
      </c>
    </row>
    <row r="38" spans="1:36" outlineLevel="1">
      <c r="G38" t="e">
        <f>I38/K39</f>
        <v>#VALUE!</v>
      </c>
      <c r="H38" s="99" t="s">
        <v>64</v>
      </c>
      <c r="I38" s="101" t="e">
        <f>I36-I37</f>
        <v>#VALUE!</v>
      </c>
      <c r="J38" s="99" t="s">
        <v>192</v>
      </c>
      <c r="K38" s="100" t="e">
        <f>K37/L36</f>
        <v>#VALUE!</v>
      </c>
      <c r="L38" s="63"/>
      <c r="P38" s="99" t="s">
        <v>193</v>
      </c>
      <c r="Q38" s="106" t="e">
        <f>Q36+Q37</f>
        <v>#VALUE!</v>
      </c>
      <c r="S38" s="99" t="s">
        <v>194</v>
      </c>
      <c r="T38" s="101">
        <f>T36-T37</f>
        <v>5</v>
      </c>
      <c r="W38" s="99" t="s">
        <v>195</v>
      </c>
      <c r="X38" s="120">
        <f>X36+X37</f>
        <v>-3.1418915280322944E-5</v>
      </c>
      <c r="Y38" s="13"/>
      <c r="AC38" s="99" t="s">
        <v>172</v>
      </c>
      <c r="AD38" s="120">
        <f>AD36</f>
        <v>1.2695731893751065E-2</v>
      </c>
    </row>
    <row r="39" spans="1:36" outlineLevel="1">
      <c r="H39" s="99" t="s">
        <v>196</v>
      </c>
      <c r="I39" s="101" t="e">
        <f>(T38-I38)/I38</f>
        <v>#VALUE!</v>
      </c>
      <c r="J39" s="99" t="s">
        <v>90</v>
      </c>
      <c r="K39" s="107">
        <f>AVERAGE(K36:L36)-AVERAGE(K37:L37)</f>
        <v>0</v>
      </c>
      <c r="L39" s="63"/>
      <c r="P39" s="99"/>
      <c r="Q39" s="106"/>
      <c r="S39" s="99"/>
      <c r="T39" s="101"/>
      <c r="W39" s="99"/>
      <c r="X39" s="120"/>
      <c r="Y39" s="13">
        <f>Y36+Y37</f>
        <v>-74480.43816536665</v>
      </c>
      <c r="Z39" s="3"/>
      <c r="AC39" s="99"/>
      <c r="AD39" s="102"/>
    </row>
    <row r="40" spans="1:36" outlineLevel="1">
      <c r="K40" s="63">
        <f>K39-K33</f>
        <v>0</v>
      </c>
      <c r="Q40" s="63"/>
      <c r="Y40" s="63">
        <f>Y39/S36</f>
        <v>-123.73810168355705</v>
      </c>
    </row>
    <row r="41" spans="1:36" outlineLevel="1">
      <c r="I41" s="63" t="e">
        <f>I32-I38</f>
        <v>#VALUE!</v>
      </c>
      <c r="K41" s="63">
        <f>K33-K39</f>
        <v>0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-147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-147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>
        <f>Z61/P61</f>
        <v>0</v>
      </c>
    </row>
    <row r="61" spans="1:38">
      <c r="A61" s="97"/>
      <c r="B61" s="249" t="s">
        <v>1024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0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>
        <f>IF(G61="Buy",L61,K61)</f>
        <v>50</v>
      </c>
      <c r="J61" s="18">
        <f>I61/S61</f>
        <v>2.0174713014707367E-3</v>
      </c>
      <c r="K61" s="35" t="str" cm="1">
        <f t="array" ref="K61">_xll.BDP($B61&amp;" Index","bid")</f>
        <v>#N/A N/A</v>
      </c>
      <c r="L61" s="35" cm="1">
        <f t="array" ref="L61">_xll.BDP($B61&amp;" Index","ask")</f>
        <v>50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>
        <f>IF(G61="Buy",((I61/N61)*H61*O61),((I61/N61)*-H61*O61))</f>
        <v>30000</v>
      </c>
      <c r="Q61" s="57">
        <f>P61/'Master P&amp;L'!$AD$5*10000</f>
        <v>0.12655235141298909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24783.5</v>
      </c>
      <c r="T61" s="52" cm="1">
        <f t="array" ref="T61">_xll.BDP(B61&amp;" Index","OPT_STRIKE_PX")</f>
        <v>24750</v>
      </c>
      <c r="U61" s="39">
        <f>T61/S61-1</f>
        <v>-1.3517057719854009E-3</v>
      </c>
      <c r="V61" s="36" cm="1">
        <f t="array" ref="V61">_xll.BDP($B61&amp;" Index","ivol_mid")</f>
        <v>1105.4641429999999</v>
      </c>
      <c r="W61" s="37" cm="1">
        <f t="array" ref="W61">_xll.BDP(B61&amp;" Index","DELTA_MID_RT")</f>
        <v>-0.47955486178398132</v>
      </c>
      <c r="X61" s="47">
        <f>Y61/'Master P&amp;L'!$AE$5</f>
        <v>-3.0081615211106933E-3</v>
      </c>
      <c r="Y61" s="15">
        <f>IF(G61="Sell", S61*W61*-H61*O61/N61, S61*W61*H61*O61/N61)</f>
        <v>-7131028.7502139807</v>
      </c>
      <c r="Z61" s="15" cm="1">
        <f t="array" ref="Z61">_xll.BDP($B61&amp;" Index","opt_theta")*H61*O61/N61</f>
        <v>0</v>
      </c>
      <c r="AA61" s="123" cm="1">
        <f t="array" ref="AA61">_xll.BDP($B61&amp;" Index","opt_theta")/I61</f>
        <v>0</v>
      </c>
      <c r="AB61" s="35" t="str" cm="1">
        <f t="array" ref="AB61">_xll.BDP($C61&amp;" Index","EXPECTED_REPORT_DT")</f>
        <v>#N/A Field Not Applicable</v>
      </c>
      <c r="AC61" s="15">
        <f>S61*H61*O61/N61</f>
        <v>14870100</v>
      </c>
      <c r="AD61" s="47">
        <f>AC61/'Master P&amp;L'!$AE$5</f>
        <v>6.2728204024876302E-3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6.2728204024876302E-3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6836.17</v>
      </c>
      <c r="T68" s="52" cm="1">
        <f t="array" ref="T68">_xll.BDP(B68&amp;" Index","OPT_STRIKE_PX")</f>
        <v>6950</v>
      </c>
      <c r="U68" s="39">
        <f>T68/S68-1</f>
        <v>1.6651136528202271E-2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68361700</v>
      </c>
      <c r="AD68" s="47">
        <f>AC68/'Master P&amp;L'!$AE$5</f>
        <v>2.8837779605297785E-2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2.8837779605297785E-2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11.150000000000006</v>
      </c>
    </row>
    <row r="76" spans="1:37" hidden="1">
      <c r="A76">
        <v>300</v>
      </c>
      <c r="H76" s="205">
        <v>1</v>
      </c>
      <c r="I76" s="63">
        <f>I78-I79</f>
        <v>11.150000000000006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16.074999999999999</v>
      </c>
      <c r="E77" cm="1">
        <f t="array" ref="E77">_xll.BDP($B77&amp;" Index","opt_days_expire")</f>
        <v>63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16.2</v>
      </c>
      <c r="J77" s="18">
        <f>I77/S77</f>
        <v>2.5321599949982024E-2</v>
      </c>
      <c r="K77" s="35" cm="1">
        <f t="array" ref="K77">_xll.BDP($B77&amp;" Equity","bid")</f>
        <v>15.95</v>
      </c>
      <c r="L77" s="35" cm="1">
        <f t="array" ref="L77">_xll.BDP($B77&amp;" Equity","ask")</f>
        <v>16.2</v>
      </c>
      <c r="M77" s="39">
        <f>(L77/K77-1)</f>
        <v>1.5673981191222541E-2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97200</v>
      </c>
      <c r="Q77" s="57">
        <f>P77/'Master P&amp;L'!$AD$5*10000</f>
        <v>0.41002961857808462</v>
      </c>
      <c r="R77" s="36" cm="1">
        <f t="array" ref="R77">_xll.BDP($C77&amp;" Equity","EST_PE_NXT_YR")*(T77/S77)</f>
        <v>18.403016016833782</v>
      </c>
      <c r="S77" s="35" cm="1">
        <f t="array" ref="S77">_xll.BDP(C77&amp;" Equity","LAST_PRICE")</f>
        <v>639.77</v>
      </c>
      <c r="T77" s="52" cm="1">
        <f t="array" ref="T77">_xll.BDP(B77&amp;" Equity","OPT_STRIKE_PX")</f>
        <v>690</v>
      </c>
      <c r="U77" s="39">
        <f>T77/S77-1</f>
        <v>7.8512590462197274E-2</v>
      </c>
      <c r="V77" s="36" cm="1">
        <f t="array" ref="V77">_xll.BDP($B77&amp;" Equity","ivol_mid")</f>
        <v>31.263909999999999</v>
      </c>
      <c r="W77" s="37" cm="1">
        <f t="array" ref="W77">_xll.BDP(B77&amp;" Equity","DELTA_MID_RT")</f>
        <v>0.31831291317939758</v>
      </c>
      <c r="X77" s="47">
        <f>Y77/'Master P&amp;L'!$AE$5</f>
        <v>5.1544026695485334E-4</v>
      </c>
      <c r="Y77" s="15">
        <f>IF(G77="Sell", S77*W77*-H77*O77/N77, S77*W77*H77*O77/N77)</f>
        <v>1221882.3147886992</v>
      </c>
      <c r="Z77" s="15" cm="1">
        <f t="array" ref="Z77">_xll.BDP($B77&amp;" Equity","opt_theta")*H77*O77/N77</f>
        <v>-1491.5160000000001</v>
      </c>
      <c r="AA77" s="18" cm="1">
        <f t="array" ref="AA77">_xll.BDP($B77&amp;" Equity","opt_theta")/I77</f>
        <v>-1.5344814814814816E-2</v>
      </c>
      <c r="AB77" s="35" t="str" cm="1">
        <f t="array" ref="AB77">_xll.BDP($C77&amp;" Equity","EXPECTED_REPORT_DT")</f>
        <v>30/04/2026</v>
      </c>
      <c r="AC77" s="15">
        <f>S77*H77*O77/N77</f>
        <v>3838619.9999999995</v>
      </c>
      <c r="AD77" s="18">
        <f>AC77/'Master P&amp;L'!$AE$5</f>
        <v>1.6192879572697603E-3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856</v>
      </c>
      <c r="C78" t="str" cm="1">
        <f t="array" ref="C78">_xll.BDP(B78&amp;" Equity","OPT_UNDL_TICKER")</f>
        <v>META US</v>
      </c>
      <c r="D78" s="63">
        <f>A78*AVERAGE(K78:L78)</f>
        <v>99.35</v>
      </c>
      <c r="E78" cm="1">
        <f t="array" ref="E78">_xll.BDP($B78&amp;" Index","opt_days_expire")</f>
        <v>154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49.45</v>
      </c>
      <c r="J78" s="18">
        <f>I78/S78</f>
        <v>7.7293402316457482E-2</v>
      </c>
      <c r="K78" s="35" cm="1">
        <f t="array" ref="K78">_xll.BDP($B78&amp;" Equity","bid")</f>
        <v>49.45</v>
      </c>
      <c r="L78" s="35" cm="1">
        <f t="array" ref="L78">_xll.BDP($B78&amp;" Equity","ask")</f>
        <v>49.9</v>
      </c>
      <c r="M78" s="39">
        <f>(L78/K78-1)</f>
        <v>9.100101112234471E-3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-370875</v>
      </c>
      <c r="Q78" s="57">
        <f>P78/'Master P&amp;L'!$AD$5*10000</f>
        <v>-1.5645034443430774</v>
      </c>
      <c r="R78" s="36" cm="1">
        <f t="array" ref="R78">_xll.BDP($C78&amp;" Equity","EST_PE_NXT_YR")*(T78/S78)</f>
        <v>17.869595262722662</v>
      </c>
      <c r="S78" s="35" cm="1">
        <f t="array" ref="S78">_xll.BDP(C78&amp;" Equity","LAST_PRICE")</f>
        <v>639.77</v>
      </c>
      <c r="T78" s="52" cm="1">
        <f t="array" ref="T78">_xll.BDP(B78&amp;" Equity","OPT_STRIKE_PX")</f>
        <v>670</v>
      </c>
      <c r="U78" s="39">
        <f>T78/S78-1</f>
        <v>4.7251355956046792E-2</v>
      </c>
      <c r="V78" s="36" cm="1">
        <f t="array" ref="V78">_xll.BDP($B78&amp;" Equity","ivol_mid")</f>
        <v>35.498150000000003</v>
      </c>
      <c r="W78" s="37" cm="1">
        <f t="array" ref="W78">_xll.BDP(B78&amp;" Equity","DELTA_MID_RT")</f>
        <v>0.48948341608047485</v>
      </c>
      <c r="X78" s="47">
        <f>Y78/'Master P&amp;L'!$AE$5</f>
        <v>-9.9076825117797051E-4</v>
      </c>
      <c r="Y78" s="15">
        <f>IF(G78="Sell", S78*W78*-H78*O78/N78, S78*W78*H78*O78/N78)</f>
        <v>-2348676.0382935405</v>
      </c>
      <c r="Z78" s="15" cm="1">
        <f t="array" ref="Z78">_xll.BDP($B78&amp;" Equity","opt_theta")*H78*O78/N78</f>
        <v>-1493.5350000000001</v>
      </c>
      <c r="AA78" s="18" cm="1">
        <f t="array" ref="AA78">_xll.BDP($B78&amp;" Equity","opt_theta")/I78</f>
        <v>-4.0270576339737109E-3</v>
      </c>
      <c r="AB78" s="35" t="str" cm="1">
        <f t="array" ref="AB78">_xll.BDP($C78&amp;" Equity","EXPECTED_REPORT_DT")</f>
        <v>30/04/2026</v>
      </c>
      <c r="AC78" s="15">
        <f>S78*H78*O78/N78</f>
        <v>4798275</v>
      </c>
      <c r="AD78" s="47">
        <f>AC78/'Master P&amp;L'!$AE$5</f>
        <v>2.0241099465872006E-3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935</v>
      </c>
      <c r="C79" t="str" cm="1">
        <f t="array" ref="C79">_xll.BDP(B79&amp;" Equity","OPT_UNDL_TICKER")</f>
        <v>META US</v>
      </c>
      <c r="D79" s="63">
        <f>A79*AVERAGE(K79:L79)</f>
        <v>76.199999999999989</v>
      </c>
      <c r="E79" cm="1">
        <f t="array" ref="E79">_xll.BDP($B79&amp;" Index","opt_days_expire")</f>
        <v>154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38.299999999999997</v>
      </c>
      <c r="J79" s="18">
        <f>I79/S79</f>
        <v>5.9865264079278488E-2</v>
      </c>
      <c r="K79" s="35" cm="1">
        <f t="array" ref="K79">_xll.BDP($B79&amp;" Equity","bid")</f>
        <v>37.9</v>
      </c>
      <c r="L79" s="35" cm="1">
        <f t="array" ref="L79">_xll.BDP($B79&amp;" Equity","ask")</f>
        <v>38.299999999999997</v>
      </c>
      <c r="M79" s="39">
        <f>(L79/K79-1)</f>
        <v>1.055408970976246E-2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287250</v>
      </c>
      <c r="Q79" s="57">
        <f>P79/'Master P&amp;L'!$AD$5*10000</f>
        <v>1.2117387647793705</v>
      </c>
      <c r="R79" s="36" cm="1">
        <f t="array" ref="R79">_xll.BDP($C79&amp;" Equity","EST_PE_NXT_YR")*(T79/S79)</f>
        <v>18.669726393889345</v>
      </c>
      <c r="S79" s="35" cm="1">
        <f t="array" ref="S79">_xll.BDP(C79&amp;" Equity","LAST_PRICE")</f>
        <v>639.77</v>
      </c>
      <c r="T79" s="52" cm="1">
        <f t="array" ref="T79">_xll.BDP(B79&amp;" Equity","OPT_STRIKE_PX")</f>
        <v>700</v>
      </c>
      <c r="U79" s="39">
        <f>T79/S79-1</f>
        <v>9.4143207715272625E-2</v>
      </c>
      <c r="V79" s="36" cm="1">
        <f t="array" ref="V79">_xll.BDP(B79&amp;" Equity","ivol_mid")</f>
        <v>34.925089999999997</v>
      </c>
      <c r="W79" s="37" cm="1">
        <f t="array" ref="W79">_xll.BDP(B79&amp;" Equity","DELTA_MID_RT")</f>
        <v>0.41200947761535645</v>
      </c>
      <c r="X79" s="47">
        <f>Y79/'Master P&amp;L'!$AE$5</f>
        <v>8.3395248172943943E-4</v>
      </c>
      <c r="Y79" s="15">
        <f>IF(G79="Sell", S79*W79*-H79*O79/N79, S79*W79*H79*O79/N79)</f>
        <v>1976934.776204824</v>
      </c>
      <c r="Z79" s="15" cm="1">
        <f t="array" ref="Z79">_xll.BDP($B79&amp;" Equity","opt_theta")*H79*O79/N79</f>
        <v>-1435.095</v>
      </c>
      <c r="AA79" s="18" cm="1">
        <f t="array" ref="AA79">_xll.BDP($B79&amp;" Equity","opt_theta")/I79</f>
        <v>-4.9959791122715404E-3</v>
      </c>
      <c r="AB79" s="35" t="str" cm="1">
        <f t="array" ref="AB79">_xll.BDP($C79&amp;" Equity","EXPECTED_REPORT_DT")</f>
        <v>30/04/2026</v>
      </c>
      <c r="AC79" s="15">
        <f>S79*H79*O79/N79</f>
        <v>4798275</v>
      </c>
      <c r="AD79" s="18">
        <f>AC79/'Master P&amp;L'!$AE$5</f>
        <v>2.0241099465872006E-3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-5.0499999999999972</v>
      </c>
      <c r="J80" s="99" t="s">
        <v>192</v>
      </c>
      <c r="K80" s="100">
        <f>K79/L78</f>
        <v>0.75951903807615229</v>
      </c>
      <c r="P80" s="127">
        <f>P78+P79+P77</f>
        <v>13575</v>
      </c>
      <c r="Q80" s="57">
        <f>P80/'Master P&amp;L'!$AD$5*10000</f>
        <v>5.7264939014377556E-2</v>
      </c>
      <c r="S80" s="99" t="s">
        <v>194</v>
      </c>
      <c r="T80" s="101"/>
      <c r="W80" s="99" t="s">
        <v>195</v>
      </c>
      <c r="X80" s="120">
        <f>X78+X79+X77</f>
        <v>3.5862449750632226E-4</v>
      </c>
      <c r="AC80" s="99" t="s">
        <v>172</v>
      </c>
      <c r="AD80" s="120">
        <f>AD78</f>
        <v>2.0241099465872006E-3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-4.5</v>
      </c>
      <c r="P81" s="99"/>
      <c r="Q81" s="106"/>
      <c r="S81" s="99"/>
      <c r="T81" s="101"/>
      <c r="W81" s="99"/>
      <c r="X81" s="120"/>
      <c r="Y81" s="13">
        <f>(Y77+Y78+Y79)/S78</f>
        <v>1328.8229405879968</v>
      </c>
      <c r="AC81" s="99"/>
      <c r="AD81" s="102"/>
    </row>
    <row r="82" spans="1:37" hidden="1">
      <c r="D82" s="63"/>
      <c r="H82" s="95"/>
      <c r="I82" s="63">
        <f>(I78*A78)-(I79*A79)-(I77*A77)</f>
        <v>6.1000000000000121</v>
      </c>
      <c r="K82" s="63"/>
      <c r="N82" s="35"/>
      <c r="O82" s="132"/>
      <c r="P82" s="15"/>
      <c r="Q82" s="57"/>
    </row>
    <row r="83" spans="1:37" hidden="1">
      <c r="I83" s="20">
        <f>I79/I78</f>
        <v>0.77451971688574306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858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14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8.3000000000000007</v>
      </c>
      <c r="J88" s="18">
        <f>I88/S88</f>
        <v>1.2973412320052521E-2</v>
      </c>
      <c r="K88" s="35" cm="1">
        <f t="array" ref="K88">_xll.BDP($B88&amp;" Equity","bid")</f>
        <v>8.15</v>
      </c>
      <c r="L88" s="35" cm="1">
        <f t="array" ref="L88">_xll.BDP($B88&amp;" Equity","ask")</f>
        <v>8.3000000000000007</v>
      </c>
      <c r="M88" s="39">
        <f>(L88/K88-1)</f>
        <v>1.8404907975460238E-2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29050</v>
      </c>
      <c r="Q88" s="57">
        <f>P88/'Master P&amp;L'!$AD$5*10000</f>
        <v>0.1225448602849111</v>
      </c>
      <c r="R88" s="36" cm="1">
        <f t="array" ref="R88">_xll.BDP($C88&amp;" Equity","EST_PE_NXT_YR")*(T88/S88)</f>
        <v>17.602884885667098</v>
      </c>
      <c r="S88" s="35" cm="1">
        <f t="array" ref="S88">_xll.BDP(C88&amp;" Equity","LAST_PRICE")</f>
        <v>639.77</v>
      </c>
      <c r="T88" s="52" cm="1">
        <f t="array" ref="T88">_xll.BDP(B88&amp;" Equity","OPT_STRIKE_PX")</f>
        <v>660</v>
      </c>
      <c r="U88" s="39">
        <f>T88/S88-1</f>
        <v>3.162073870297144E-2</v>
      </c>
      <c r="V88" s="36" cm="1">
        <f t="array" ref="V88">_xll.BDP(B88&amp;" Equity","ivol_mid")</f>
        <v>32.525100000000002</v>
      </c>
      <c r="W88" s="37" cm="1">
        <f t="array" ref="W88">_xll.BDP(B88&amp;" Equity","DELTA_MID_RT")</f>
        <v>0.32702887058258057</v>
      </c>
      <c r="X88" s="47">
        <f>Y88/'Master P&amp;L'!$AE$5</f>
        <v>3.0890644855811048E-4</v>
      </c>
      <c r="Y88" s="15">
        <f>IF(G88="Sell", S88*W88*-H88*O88/N88, S88*W88*H88*O88/N88)</f>
        <v>732281.41186416137</v>
      </c>
      <c r="Z88" s="15" cm="1">
        <f t="array" ref="Z88">_xll.BDP($B88&amp;" Equity","opt_theta")*H88*O88/N88</f>
        <v>-1950.3259999999998</v>
      </c>
      <c r="AA88" s="18" cm="1">
        <f t="array" ref="AA88">_xll.BDP($B88&amp;" Equity","opt_theta")/I88</f>
        <v>-6.7136867469879513E-2</v>
      </c>
      <c r="AB88" s="35" t="str" cm="1">
        <f t="array" ref="AB88">_xll.BDP($C88&amp;" Equity","EXPECTED_REPORT_DT")</f>
        <v>30/04/2026</v>
      </c>
      <c r="AC88" s="15">
        <f>S88*H88*O88/N88</f>
        <v>2239195</v>
      </c>
      <c r="AD88" s="18">
        <f>AC88/'Master P&amp;L'!$AE$5</f>
        <v>9.4458464174069362E-4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5.5</v>
      </c>
      <c r="J93" s="17">
        <f>T94-T95</f>
        <v>20</v>
      </c>
      <c r="K93" s="205">
        <f>(J93-I93)/I93</f>
        <v>2.6363636363636362</v>
      </c>
      <c r="Q93" s="205">
        <f>Q95+Q94</f>
        <v>0.69603793277143988</v>
      </c>
    </row>
    <row r="94" spans="1:37">
      <c r="A94" s="191">
        <v>2</v>
      </c>
      <c r="B94" t="s">
        <v>1071</v>
      </c>
      <c r="C94" t="str" cm="1">
        <f t="array" ref="C94">_xll.BDP(B94&amp;" Equity","OPT_UNDL_TICKER")</f>
        <v>AMZN US</v>
      </c>
      <c r="D94" t="str" cm="1">
        <f t="array" ref="D94">_xll.BDP($B94&amp;" Index","mifid_Maturity_date")</f>
        <v>18/12/2026</v>
      </c>
      <c r="E94" cm="1">
        <f t="array" ref="E94">_xll.BDP($B94&amp;" Index","opt_days_expire")</f>
        <v>308</v>
      </c>
      <c r="F94" t="str" cm="1">
        <f t="array" ref="F94">_xll.BDP(B94&amp;" Equity","QUOTED_CURRENCY_REALTIME")</f>
        <v>USD</v>
      </c>
      <c r="G94" s="103" t="s">
        <v>191</v>
      </c>
      <c r="H94" s="128">
        <f>H95</f>
        <v>300</v>
      </c>
      <c r="I94" s="96">
        <f>IF(G94="Buy",L94,K94)</f>
        <v>12.05</v>
      </c>
      <c r="J94" s="18">
        <f>I94/S94</f>
        <v>6.0616731223904631E-2</v>
      </c>
      <c r="K94" s="35" cm="1">
        <f t="array" ref="K94">_xll.BDP($B94&amp;" Equity","bid")</f>
        <v>12.05</v>
      </c>
      <c r="L94" s="35" cm="1">
        <f t="array" ref="L94">_xll.BDP($B94&amp;" Equity","ask")</f>
        <v>12.2</v>
      </c>
      <c r="M94" s="39">
        <f>(L94/K94-1)</f>
        <v>1.2448132780082943E-2</v>
      </c>
      <c r="N94" s="35" cm="1">
        <f t="array" ref="N94">_xll.BDP(F94&amp;" Curncy","PX_LAST")</f>
        <v>1</v>
      </c>
      <c r="O94" s="132" cm="1">
        <f t="array" ref="O94">_xll.BDP(B94&amp;" Equity","OPT_MULTIPLIER")</f>
        <v>100</v>
      </c>
      <c r="P94" s="15">
        <f>IF(G94="Buy",((I94/N94)*H94*O94),((I94/N94)*-H94*O94))</f>
        <v>-361500</v>
      </c>
      <c r="Q94" s="57">
        <f>P94/'Master P&amp;L'!$AD$5*10000</f>
        <v>-1.5249558345265186</v>
      </c>
      <c r="R94" s="36" cm="1">
        <f t="array" ref="R94">_xll.BDP($C94&amp;" Equity","EST_PE_NXT_YR")*(T94/S94)</f>
        <v>22.850574744326462</v>
      </c>
      <c r="S94" s="35">
        <f>_xll.BDP(C94&amp;" Equity","LAST_PRICE")</f>
        <v>198.79</v>
      </c>
      <c r="T94" s="52" cm="1">
        <f t="array" ref="T94">_xll.BDP(B94&amp;" Equity","OPT_STRIKE_PX")</f>
        <v>250</v>
      </c>
      <c r="U94" s="39">
        <f>T94/S94-1</f>
        <v>0.25760853161627861</v>
      </c>
      <c r="V94" s="36" cm="1">
        <f t="array" ref="V94">_xll.BDP($B94&amp;" Equity","ivol_mid")</f>
        <v>35.502809999999997</v>
      </c>
      <c r="W94" s="37" cm="1">
        <f t="array" ref="W94">_xll.BDP(B94&amp;" Equity","DELTA_MID_RT")</f>
        <v>0.33078858256340027</v>
      </c>
      <c r="X94" s="47">
        <f>Y94/'Master P&amp;L'!$AE$5</f>
        <v>-8.3217614805313953E-4</v>
      </c>
      <c r="Y94" s="15">
        <f>IF(G94="Sell", S94*W94*-H94*O94/N94, S94*W94*H94*O94/N94)</f>
        <v>-1972723.8698333502</v>
      </c>
      <c r="Z94" s="15" cm="1">
        <f t="array" ref="Z94">_xll.BDP($B94&amp;" Equity","opt_theta")*H94*O94/N94</f>
        <v>-1086.0899999999999</v>
      </c>
      <c r="AA94" s="18" cm="1">
        <f t="array" ref="AA94">_xll.BDP($B94&amp;" Equity","opt_theta")/I94</f>
        <v>-3.0043983402489624E-3</v>
      </c>
      <c r="AB94" s="35" t="str" cm="1">
        <f t="array" ref="AB94">_xll.BDP($C94&amp;" Equity","EXPECTED_REPORT_DT")</f>
        <v>01/05/2026</v>
      </c>
      <c r="AC94" s="15">
        <f>S94*H94*O94/N94</f>
        <v>5963700</v>
      </c>
      <c r="AD94" s="18">
        <f>AC94/'Master P&amp;L'!$AE$5</f>
        <v>2.5157341937388101E-3</v>
      </c>
      <c r="AE94" t="str">
        <f>B94  &amp; " - Buy to open " &amp;  "-" &amp; H94 &amp;"x"</f>
        <v>AMZN US 12/18/26 C250 - Buy to open -300x</v>
      </c>
      <c r="AK94" s="58" t="s">
        <v>481</v>
      </c>
    </row>
    <row r="95" spans="1:37">
      <c r="A95" s="191">
        <v>2</v>
      </c>
      <c r="B95" t="s">
        <v>1072</v>
      </c>
      <c r="C95" t="str" cm="1">
        <f t="array" ref="C95">_xll.BDP(B95&amp;" Equity","OPT_UNDL_TICKER")</f>
        <v>AMZN US</v>
      </c>
      <c r="D95" t="str" cm="1">
        <f t="array" ref="D95">_xll.BDP($B95&amp;" Index","mifid_Maturity_date")</f>
        <v>18/12/2026</v>
      </c>
      <c r="E95" cm="1">
        <f t="array" ref="E95">_xll.BDP($B95&amp;" Index","opt_days_expire")</f>
        <v>308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17.55</v>
      </c>
      <c r="J95" s="18">
        <f>I95/S95</f>
        <v>8.8284118919462751E-2</v>
      </c>
      <c r="K95" s="35" cm="1">
        <f t="array" ref="K95">_xll.BDP($B95&amp;" Equity","bid")</f>
        <v>17.350000000000001</v>
      </c>
      <c r="L95" s="35" cm="1">
        <f t="array" ref="L95">_xll.BDP($B95&amp;" Equity","ask")</f>
        <v>17.55</v>
      </c>
      <c r="M95" s="39">
        <f>(L95/K95-1)</f>
        <v>1.1527377521613813E-2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526500</v>
      </c>
      <c r="Q95" s="57">
        <f>P95/'Master P&amp;L'!$AD$5*10000</f>
        <v>2.2209937672979585</v>
      </c>
      <c r="R95" s="36" cm="1">
        <f t="array" ref="R95">_xll.BDP($C95&amp;" Equity","EST_PE_NXT_YR")*(T95/S95)</f>
        <v>21.022528764780343</v>
      </c>
      <c r="S95" s="35">
        <f>_xll.BDP(C95&amp;" Equity","LAST_PRICE")</f>
        <v>198.79</v>
      </c>
      <c r="T95" s="52" cm="1">
        <f t="array" ref="T95">_xll.BDP(B95&amp;" Equity","OPT_STRIKE_PX")</f>
        <v>230</v>
      </c>
      <c r="U95" s="39">
        <f>T95/S95-1</f>
        <v>0.15699984908697617</v>
      </c>
      <c r="V95" s="36" cm="1">
        <f t="array" ref="V95">_xll.BDP($B95&amp;" Equity","ivol_mid")</f>
        <v>35.919890000000002</v>
      </c>
      <c r="W95" s="37" cm="1">
        <f t="array" ref="W95">_xll.BDP(B95&amp;" Equity","DELTA_MID_RT")</f>
        <v>0.4282907247543335</v>
      </c>
      <c r="X95" s="47">
        <f>Y95/'Master P&amp;L'!$AE$5</f>
        <v>1.0774656211256538E-3</v>
      </c>
      <c r="Y95" s="15">
        <f>IF(G95="Sell", S95*W95*-H95*O95/N95, S95*W95*H95*O95/N95)</f>
        <v>2554197.3952174187</v>
      </c>
      <c r="Z95" s="15" cm="1">
        <f t="array" ref="Z95">_xll.BDP($B95&amp;" Equity","opt_theta")*H95*O95/N95</f>
        <v>-1180.4100000000001</v>
      </c>
      <c r="AA95" s="18" cm="1">
        <f t="array" ref="AA95">_xll.BDP($B95&amp;" Equity","opt_theta")/I95</f>
        <v>-2.2419943019943017E-3</v>
      </c>
      <c r="AB95" s="35" t="str" cm="1">
        <f t="array" ref="AB95">_xll.BDP($C95&amp;" Equity","EXPECTED_REPORT_DT")</f>
        <v>01/05/2026</v>
      </c>
      <c r="AC95" s="15">
        <f>S95*H95*O95/N95</f>
        <v>5963700</v>
      </c>
      <c r="AD95" s="18">
        <f>AC95/'Master P&amp;L'!$AE$5</f>
        <v>2.5157341937388101E-3</v>
      </c>
      <c r="AE95" t="str">
        <f>B95  &amp; " - Buy to open " &amp;  "-" &amp; H95 &amp;"x"</f>
        <v>AMZN US 12/18/26 C230 - Buy to open -300x</v>
      </c>
      <c r="AK95" s="58" t="s">
        <v>481</v>
      </c>
    </row>
    <row r="96" spans="1:37">
      <c r="A96" s="191">
        <v>2</v>
      </c>
      <c r="B96" t="s">
        <v>1075</v>
      </c>
      <c r="C96" t="str" cm="1">
        <f t="array" ref="C96">_xll.BDP(B96&amp;" Equity","OPT_UNDL_TICKER")</f>
        <v>AMZN US</v>
      </c>
      <c r="D96" t="str" cm="1">
        <f t="array" ref="D96">_xll.BDP($B96&amp;" Index","mifid_Maturity_date")</f>
        <v>18/12/2026</v>
      </c>
      <c r="E96" cm="1">
        <f t="array" ref="E96">_xll.BDP($B96&amp;" Index","opt_days_expire")</f>
        <v>308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15.15</v>
      </c>
      <c r="J96" s="18">
        <f>I96/S96</f>
        <v>7.6211077015946482E-2</v>
      </c>
      <c r="K96" s="35" cm="1">
        <f t="array" ref="K96">_xll.BDP($B96&amp;" Equity","bid")</f>
        <v>15.15</v>
      </c>
      <c r="L96" s="35" cm="1">
        <f t="array" ref="L96">_xll.BDP($B96&amp;" Equity","ask")</f>
        <v>15.3</v>
      </c>
      <c r="M96" s="39">
        <f>(L96/K96-1)</f>
        <v>9.9009900990099098E-3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-454500</v>
      </c>
      <c r="Q96" s="57">
        <f>P96/'Master P&amp;L'!$AD$5*10000</f>
        <v>-1.9172681239067846</v>
      </c>
      <c r="R96" s="36" cm="1">
        <f t="array" ref="R96">_xll.BDP($C96&amp;" Equity","EST_PE_NXT_YR")*(T96/S96)</f>
        <v>16.452413815915051</v>
      </c>
      <c r="S96" s="35" cm="1">
        <f t="array" ref="S96">_xll.BDP(C96&amp;" Equity","LAST_PRICE")</f>
        <v>198.79</v>
      </c>
      <c r="T96" s="52" cm="1">
        <f t="array" ref="T96">_xll.BDP(B96&amp;" Equity","OPT_STRIKE_PX")</f>
        <v>180</v>
      </c>
      <c r="U96" s="39">
        <f>T96/S96-1</f>
        <v>-9.4521857236279483E-2</v>
      </c>
      <c r="V96" s="36" cm="1">
        <f t="array" ref="V96">_xll.BDP($B96&amp;" Equity","ivol_mid")</f>
        <v>36.418610000000001</v>
      </c>
      <c r="W96" s="37" cm="1">
        <f t="array" ref="W96">_xll.BDP(B96&amp;" Equity","DELTA_MID_RT")</f>
        <v>-0.29878926277160645</v>
      </c>
      <c r="X96" s="47">
        <f>Y96/'Master P&amp;L'!$AE$5</f>
        <v>7.5167436507654075E-4</v>
      </c>
      <c r="Y96" s="15">
        <f>IF(G96="Sell", S96*W96*-H96*O96/N96, S96*W96*H96*O96/N96)</f>
        <v>1781889.5263910294</v>
      </c>
      <c r="Z96" s="15" cm="1">
        <f t="array" ref="Z96">_xll.BDP($B96&amp;" Equity","opt_theta")*H96*O96/N96</f>
        <v>-1099.29</v>
      </c>
      <c r="AA96" s="18" cm="1">
        <f t="array" ref="AA96">_xll.BDP($B96&amp;" Equity","opt_theta")/I96</f>
        <v>-2.4186798679867987E-3</v>
      </c>
      <c r="AB96" s="35" t="str" cm="1">
        <f t="array" ref="AB96">_xll.BDP($C96&amp;" Equity","EXPECTED_REPORT_DT")</f>
        <v>01/05/2026</v>
      </c>
      <c r="AC96" s="15">
        <f>S96*H96*O96/N96</f>
        <v>5963700</v>
      </c>
      <c r="AD96" s="18">
        <f>AC96/'Master P&amp;L'!$AE$5</f>
        <v>2.5157341937388101E-3</v>
      </c>
      <c r="AE96" t="str">
        <f>B96  &amp; " - Buy to open " &amp;  "-" &amp; H96 &amp;"x"</f>
        <v>AMZN US 12/18/26 P180 - Buy to open -300x</v>
      </c>
      <c r="AK96" s="58" t="s">
        <v>481</v>
      </c>
    </row>
    <row r="97" spans="1:37">
      <c r="H97" s="99" t="s">
        <v>64</v>
      </c>
      <c r="I97" s="101">
        <f>I95-I94-I96</f>
        <v>-9.65</v>
      </c>
      <c r="J97" s="99" t="s">
        <v>192</v>
      </c>
      <c r="K97" s="100">
        <f>K96/L95</f>
        <v>0.86324786324786318</v>
      </c>
      <c r="P97" s="127">
        <f>P95+P96+P94</f>
        <v>-289500</v>
      </c>
      <c r="Q97" s="57">
        <f>P97/'Master P&amp;L'!$AD$5*10000</f>
        <v>-1.2212301911353445</v>
      </c>
      <c r="S97" s="99" t="s">
        <v>194</v>
      </c>
      <c r="T97" s="101"/>
      <c r="W97" s="99" t="s">
        <v>195</v>
      </c>
      <c r="X97" s="120">
        <f>X95+X96+X94</f>
        <v>9.9696383814905495E-4</v>
      </c>
      <c r="AC97" s="99" t="s">
        <v>172</v>
      </c>
      <c r="AD97" s="120">
        <f>AD95</f>
        <v>2.5157341937388101E-3</v>
      </c>
    </row>
    <row r="98" spans="1:37">
      <c r="B98" s="17">
        <f>((T94-T95)*(H95*100))+P97</f>
        <v>310500</v>
      </c>
      <c r="H98" s="99" t="s">
        <v>196</v>
      </c>
      <c r="I98" s="101"/>
      <c r="J98" s="99" t="s">
        <v>90</v>
      </c>
      <c r="K98" s="107">
        <f>-AVERAGE(K94:L94)+AVERAGE(K95:L95)-AVERAGE(K96:L96)</f>
        <v>-9.8999999999999986</v>
      </c>
      <c r="P98" s="99"/>
      <c r="Q98" s="106"/>
      <c r="S98" s="99"/>
      <c r="T98" s="101"/>
      <c r="W98" s="99"/>
      <c r="X98" s="120"/>
      <c r="Y98" s="13">
        <f>(Y94+Y95+Y96)/S95</f>
        <v>11888.74214887619</v>
      </c>
      <c r="AC98" s="99"/>
      <c r="AD98" s="102"/>
    </row>
    <row r="99" spans="1:37">
      <c r="B99" s="205">
        <f>B98/'Master P&amp;L'!$AD$5*10000</f>
        <v>1.3098168371244372</v>
      </c>
      <c r="D99" s="63"/>
      <c r="H99" s="95"/>
      <c r="I99" s="63">
        <f>I95-I94</f>
        <v>5.5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2.2999999999999998</v>
      </c>
      <c r="Q101" s="63">
        <f>Q104+Q105</f>
        <v>-1.1769368681407986</v>
      </c>
    </row>
    <row r="102" spans="1:37">
      <c r="A102">
        <v>300</v>
      </c>
      <c r="H102" s="205">
        <v>1</v>
      </c>
      <c r="I102" s="126">
        <f>(I104-I103)/I105</f>
        <v>0.24731182795698922</v>
      </c>
      <c r="K102" s="126">
        <f>K103/K104</f>
        <v>0.74251497005988032</v>
      </c>
      <c r="Q102" s="126">
        <f>(Q104+Q103)/Q105</f>
        <v>0.66666666666666652</v>
      </c>
    </row>
    <row r="103" spans="1:37">
      <c r="A103" s="191">
        <v>2</v>
      </c>
      <c r="B103" t="s">
        <v>1076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154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6.2</v>
      </c>
      <c r="J103" s="18">
        <f>I103/S103</f>
        <v>3.118869158408371E-2</v>
      </c>
      <c r="K103" s="35" cm="1">
        <f t="array" ref="K103">_xll.BDP($B103&amp;" Equity","bid")</f>
        <v>6.2</v>
      </c>
      <c r="L103" s="35" cm="1">
        <f t="array" ref="L103">_xll.BDP($B103&amp;" Equity","ask")</f>
        <v>6.3</v>
      </c>
      <c r="M103" s="39">
        <f>(L103/K103-1)</f>
        <v>1.6129032258064502E-2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-186000</v>
      </c>
      <c r="Q103" s="57">
        <f>P103/'Master P&amp;L'!$AD$5*10000</f>
        <v>-0.78462457876053227</v>
      </c>
      <c r="R103" s="36" cm="1">
        <f t="array" ref="R103">_xll.BDP($C103&amp;" Equity","EST_PE_NXT_YR")*(T103/S103)</f>
        <v>21.936551754553403</v>
      </c>
      <c r="S103" s="35">
        <f>_xll.BDP(C103&amp;" Equity","LAST_PRICE")</f>
        <v>198.79</v>
      </c>
      <c r="T103" s="52" cm="1">
        <f t="array" ref="T103">_xll.BDP(B103&amp;" Equity","OPT_STRIKE_PX")</f>
        <v>240</v>
      </c>
      <c r="U103" s="39">
        <f>T103/S103-1</f>
        <v>0.2073041903516275</v>
      </c>
      <c r="V103" s="36" cm="1">
        <f t="array" ref="V103">_xll.BDP($B103&amp;" Equity","ivol_mid")</f>
        <v>35.138860000000001</v>
      </c>
      <c r="W103" s="37" cm="1">
        <f t="array" ref="W103">_xll.BDP(B103&amp;" Equity","DELTA_MID_RT")</f>
        <v>0.25737655162811279</v>
      </c>
      <c r="X103" s="47">
        <f>Y103/'Master P&amp;L'!$AE$5</f>
        <v>-6.474909915974255E-4</v>
      </c>
      <c r="Y103" s="15">
        <f>IF(G103="Sell", S103*W103*-H103*O103/N103, S103*W103*H103*O103/N103)</f>
        <v>-1534916.5409445763</v>
      </c>
      <c r="Z103" s="15" cm="1">
        <f t="array" ref="Z103">_xll.BDP($B103&amp;" Equity","opt_theta")*H103*O103/N103</f>
        <v>-1398.8100000000002</v>
      </c>
      <c r="AA103" s="18" cm="1">
        <f t="array" ref="AA103">_xll.BDP($B103&amp;" Equity","opt_theta")/I103</f>
        <v>-7.5204838709677421E-3</v>
      </c>
      <c r="AB103" s="35" t="str" cm="1">
        <f t="array" ref="AB103">_xll.BDP($C103&amp;" Equity","EXPECTED_REPORT_DT")</f>
        <v>01/05/2026</v>
      </c>
      <c r="AC103" s="15">
        <f>S103*H103*O103/N103</f>
        <v>5963700</v>
      </c>
      <c r="AD103" s="18">
        <f>AC103/'Master P&amp;L'!$AE$5</f>
        <v>2.5157341937388101E-3</v>
      </c>
      <c r="AE103" t="str">
        <f>B103  &amp; " - Buy to open " &amp;  "-" &amp; H103 &amp;"x"</f>
        <v>AMZN US 07/17/26 C240 - Buy to open -300x</v>
      </c>
      <c r="AK103" s="58" t="s">
        <v>481</v>
      </c>
    </row>
    <row r="104" spans="1:37">
      <c r="A104" s="191">
        <v>2</v>
      </c>
      <c r="B104" t="s">
        <v>1073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154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8.5</v>
      </c>
      <c r="J104" s="18">
        <f>I104/S104</f>
        <v>4.2758690074953469E-2</v>
      </c>
      <c r="K104" s="35" cm="1">
        <f t="array" ref="K104">_xll.BDP($B104&amp;" Equity","bid")</f>
        <v>8.35</v>
      </c>
      <c r="L104" s="35" cm="1">
        <f t="array" ref="L104">_xll.BDP($B104&amp;" Equity","ask")</f>
        <v>8.5</v>
      </c>
      <c r="M104" s="39">
        <f>(L104/K104-1)</f>
        <v>1.7964071856287456E-2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21.022528764780343</v>
      </c>
      <c r="S104" s="35">
        <f>_xll.BDP(C104&amp;" Equity","LAST_PRICE")</f>
        <v>198.79</v>
      </c>
      <c r="T104" s="52" cm="1">
        <f t="array" ref="T104">_xll.BDP(B104&amp;" Equity","OPT_STRIKE_PX")</f>
        <v>230</v>
      </c>
      <c r="U104" s="39">
        <f>T104/S104-1</f>
        <v>0.15699984908697617</v>
      </c>
      <c r="V104" s="36" cm="1">
        <f t="array" ref="V104">_xll.BDP($B104&amp;" Equity","ivol_mid")</f>
        <v>35.277589999999996</v>
      </c>
      <c r="W104" s="37" cm="1">
        <f t="array" ref="W104">_xll.BDP(B104&amp;" Equity","DELTA_MID_RT")</f>
        <v>0.32216265797615051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-6.1162352941176472E-3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481</v>
      </c>
    </row>
    <row r="105" spans="1:37">
      <c r="A105" s="191">
        <v>2</v>
      </c>
      <c r="B105" t="s">
        <v>1074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154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9.3000000000000007</v>
      </c>
      <c r="J105" s="18">
        <f>I105/S105</f>
        <v>4.6783037376125568E-2</v>
      </c>
      <c r="K105" s="35" cm="1">
        <f t="array" ref="K105">_xll.BDP($B105&amp;" Equity","bid")</f>
        <v>9.3000000000000007</v>
      </c>
      <c r="L105" s="35" cm="1">
        <f t="array" ref="L105">_xll.BDP($B105&amp;" Equity","ask")</f>
        <v>9.4499999999999993</v>
      </c>
      <c r="M105" s="39">
        <f>(L105/K105-1)</f>
        <v>1.612903225806428E-2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-279000</v>
      </c>
      <c r="Q105" s="57">
        <f>P105/'Master P&amp;L'!$AD$5*10000</f>
        <v>-1.1769368681407986</v>
      </c>
      <c r="R105" s="36" cm="1">
        <f t="array" ref="R105">_xll.BDP($C105&amp;" Equity","EST_PE_NXT_YR")*(T105/S105)</f>
        <v>16.452413815915051</v>
      </c>
      <c r="S105" s="35" cm="1">
        <f t="array" ref="S105">_xll.BDP(C105&amp;" Equity","LAST_PRICE")</f>
        <v>198.79</v>
      </c>
      <c r="T105" s="52" cm="1">
        <f t="array" ref="T105">_xll.BDP(B105&amp;" Equity","OPT_STRIKE_PX")</f>
        <v>180</v>
      </c>
      <c r="U105" s="39">
        <f>T105/S105-1</f>
        <v>-9.4521857236279483E-2</v>
      </c>
      <c r="V105" s="36" cm="1">
        <f t="array" ref="V105">_xll.BDP($B105&amp;" Equity","ivol_mid")</f>
        <v>37.591340000000002</v>
      </c>
      <c r="W105" s="37" cm="1">
        <f t="array" ref="W105">_xll.BDP(B105&amp;" Equity","DELTA_MID_RT")</f>
        <v>-0.27932128310203552</v>
      </c>
      <c r="X105" s="47">
        <f>Y105/'Master P&amp;L'!$AE$5</f>
        <v>7.0269810293878919E-4</v>
      </c>
      <c r="Y105" s="15">
        <f>IF(G105="Sell", S105*W105*-H105*O105/N105, S105*W105*H105*O105/N105)</f>
        <v>1665788.3360356092</v>
      </c>
      <c r="Z105" s="15" cm="1">
        <f t="array" ref="Z105">_xll.BDP($B105&amp;" Equity","opt_theta")*H105*O105/N105</f>
        <v>-1598.73</v>
      </c>
      <c r="AA105" s="18" cm="1">
        <f t="array" ref="AA105">_xll.BDP($B105&amp;" Equity","opt_theta")/I105</f>
        <v>-5.7302150537634402E-3</v>
      </c>
      <c r="AB105" s="35" t="str" cm="1">
        <f t="array" ref="AB105">_xll.BDP($C105&amp;" Equity","EXPECTED_REPORT_DT")</f>
        <v>01/05/2026</v>
      </c>
      <c r="AC105" s="15">
        <f>S105*H105*O105/N105</f>
        <v>5963700</v>
      </c>
      <c r="AD105" s="18">
        <f>AC105/'Master P&amp;L'!$AE$5</f>
        <v>2.5157341937388101E-3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>
        <f>I104-I103-I105</f>
        <v>-7.0000000000000009</v>
      </c>
      <c r="J106" s="99" t="s">
        <v>192</v>
      </c>
      <c r="K106" s="100">
        <f>K105/L104</f>
        <v>1.0941176470588236</v>
      </c>
      <c r="P106" s="127">
        <f>P104+P105+P103</f>
        <v>-465000</v>
      </c>
      <c r="Q106" s="57">
        <f>P106/'Master P&amp;L'!$AD$5*10000</f>
        <v>-1.9615614469013307</v>
      </c>
      <c r="S106" s="99" t="s">
        <v>194</v>
      </c>
      <c r="T106" s="101"/>
      <c r="W106" s="99" t="s">
        <v>195</v>
      </c>
      <c r="X106" s="120">
        <f>X104+X105+X103</f>
        <v>5.5207111341363689E-5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-7.1999999999999993</v>
      </c>
      <c r="P107" s="99"/>
      <c r="Q107" s="106"/>
      <c r="S107" s="99"/>
      <c r="T107" s="101"/>
      <c r="W107" s="99"/>
      <c r="X107" s="120"/>
      <c r="Y107" s="13">
        <f>(Y103+Y104+Y105)/S104</f>
        <v>658.34194421768188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-14.000000000000002</v>
      </c>
      <c r="K108" s="63"/>
      <c r="N108" s="35"/>
      <c r="O108" s="132"/>
      <c r="P108" s="15"/>
      <c r="Q108" s="57"/>
      <c r="X108" s="70">
        <f>AD106+X106</f>
        <v>5.5207111341363689E-5</v>
      </c>
    </row>
    <row r="109" spans="1:37">
      <c r="I109" s="63"/>
      <c r="K109" s="63"/>
    </row>
    <row r="110" spans="1:37">
      <c r="G110" s="63">
        <f>H110/$S$103-1</f>
        <v>0.2852759193118366</v>
      </c>
      <c r="H110" s="205">
        <f>$I$110+T103</f>
        <v>255.5</v>
      </c>
      <c r="I110" s="63">
        <f>I103+I105</f>
        <v>15.5</v>
      </c>
      <c r="K110" s="63"/>
      <c r="Q110" s="126" t="e">
        <f>(#REF!+#REF!)/#REF!</f>
        <v>#REF!</v>
      </c>
    </row>
    <row r="111" spans="1:37">
      <c r="G111" s="63">
        <f>H111/$S$103-1</f>
        <v>-0.17249358619648869</v>
      </c>
      <c r="H111" s="63">
        <f>T105-I110</f>
        <v>164.5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12" zoomScale="70" zoomScaleNormal="70" workbookViewId="0">
      <selection activeCell="O93" sqref="O93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P&amp;L'!$H$11:$H$101,'Master P&amp;L'!$B$11:$B$101,Check!B5)))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1036</v>
      </c>
      <c r="P5" s="173">
        <f>IF(O5="","",IF(OR(LEFT(O5,4)="Cash",LEFT(O5,4)="Prov"),0,SUMIFS(Input_APM!N:N,Input_APM!L:L,Check!O5)))</f>
        <v>2537</v>
      </c>
      <c r="Q5" s="21">
        <f>IF(O5="","",IF(LEN(O5)&gt;9,SUMIFS(Options!$H$3:$H$28,Options!$B$3:$B$28,Check!O5),SUMIFS('Master P&amp;L'!$H$11:$H$101,'Master P&amp;L'!$B$11:$B$101,Check!O5)))</f>
        <v>3313</v>
      </c>
      <c r="R5" s="173">
        <f>IF(O5="","",P5-Q5)</f>
        <v>-776</v>
      </c>
      <c r="S5" s="288">
        <f>IF(O5="","",IF((P5+Q5)=0,"Ok",IF(OR(P5=0,Q5=0),"Erro",P5/Q5)))</f>
        <v>0.76577120434651369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P&amp;L'!$H$11:$H$101,'Master P&amp;L'!$B$11:$B$101,Check!B6)))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1079</v>
      </c>
      <c r="P6" s="173">
        <f>IF(O6="","",IF(OR(LEFT(O6,4)="Cash",LEFT(O6,4)="Prov"),0,SUMIFS(Input_APM!N:N,Input_APM!L:L,Check!O6)))</f>
        <v>12024</v>
      </c>
      <c r="Q6" s="21">
        <f>IF(O6="","",IF(LEN(O6)&gt;9,SUMIFS(Options!$H$3:$H$28,Options!$B$3:$B$28,Check!O6),SUMIFS('Master P&amp;L'!$H$11:$H$101,'Master P&amp;L'!$B$11:$B$101,Check!O6)))</f>
        <v>15760</v>
      </c>
      <c r="R6" s="173">
        <f t="shared" ref="R6:R69" si="1">IF(O6="","",P6-Q6)</f>
        <v>-3736</v>
      </c>
      <c r="S6" s="288">
        <f t="shared" ref="S6:S69" si="2">IF(O6="","",IF((P6+Q6)=0,"Ok",IF(OR(P6=0,Q6=0),"Erro",P6/Q6)))</f>
        <v>0.76294416243654828</v>
      </c>
      <c r="V6" s="13"/>
    </row>
    <row r="7" spans="2:22">
      <c r="B7" t="s">
        <v>800</v>
      </c>
      <c r="C7" s="187">
        <f>IF(B7="","",IF(LEN(B7)&gt;9,SUMIFS(Options!$H$3:$H$28,Options!$B$3:$B$28,Check!B7),SUMIFS('Master P&amp;L'!$H$11:$H$101,'Master P&amp;L'!$B$11:$B$101,Check!B7)))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1028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IF(O7="","",IF(LEN(O7)&gt;9,SUMIFS(Options!$H$3:$H$28,Options!$B$3:$B$28,Check!O7),SUMIFS('Master P&amp;L'!$H$11:$H$101,'Master P&amp;L'!$B$11:$B$101,Check!O7)))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P&amp;L'!$H$11:$H$101,'Master P&amp;L'!$B$11:$B$101,Check!B8)))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1076</v>
      </c>
      <c r="P8" s="173">
        <f>IF(O8="","",IF(OR(LEFT(O8,4)="Cash",LEFT(O8,4)="Prov"),0,SUMIFS(Input_APM!N:N,Input_APM!L:L,Check!O8)))</f>
        <v>-281</v>
      </c>
      <c r="Q8" s="21">
        <f>IF(O8="","",IF(LEN(O8)&gt;9,SUMIFS(Options!$H$3:$H$28,Options!$B$3:$B$28,Check!O8),SUMIFS('Master P&amp;L'!$H$11:$H$101,'Master P&amp;L'!$B$11:$B$101,Check!O8)))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IF(B9="","",IF(LEN(B9)&gt;9,SUMIFS(Options!$H$3:$H$28,Options!$B$3:$B$28,Check!B9),SUMIFS('Master P&amp;L'!$H$11:$H$101,'Master P&amp;L'!$B$11:$B$101,Check!B9)))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1074</v>
      </c>
      <c r="P9" s="173">
        <f>IF(O9="","",IF(OR(LEFT(O9,4)="Cash",LEFT(O9,4)="Prov"),0,SUMIFS(Input_APM!N:N,Input_APM!L:L,Check!O9)))</f>
        <v>-282</v>
      </c>
      <c r="Q9" s="21">
        <f>IF(O9="","",IF(LEN(O9)&gt;9,SUMIFS(Options!$H$3:$H$28,Options!$B$3:$B$28,Check!O9),SUMIFS('Master P&amp;L'!$H$11:$H$101,'Master P&amp;L'!$B$11:$B$101,Check!O9)))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IF(B10="","",IF(LEN(B10)&gt;9,SUMIFS(Options!$H$3:$H$28,Options!$B$3:$B$28,Check!B10),SUMIFS('Master P&amp;L'!$H$11:$H$101,'Master P&amp;L'!$B$11:$B$101,Check!B10)))</f>
        <v>-65</v>
      </c>
      <c r="D10" s="187">
        <f>IF(B10="","",SUMIFS(Input_APM!N:N,Input_APM!L:L,Check!B10,Input_APM!M:M,Check!$F$1))</f>
        <v>0</v>
      </c>
      <c r="E10" s="173">
        <f t="shared" ref="E10:E65" si="5">IF(B10="","",C10-M10)</f>
        <v>-65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9393</v>
      </c>
      <c r="Q10" s="21">
        <f>IF(O10="","",IF(LEN(O10)&gt;9,SUMIFS(Options!$H$3:$H$28,Options!$B$3:$B$28,Check!O10),SUMIFS('Master P&amp;L'!$H$11:$H$101,'Master P&amp;L'!$B$11:$B$101,Check!O10)))</f>
        <v>10000</v>
      </c>
      <c r="R10" s="173">
        <f t="shared" si="1"/>
        <v>-607</v>
      </c>
      <c r="S10" s="288">
        <f t="shared" si="2"/>
        <v>0.93930000000000002</v>
      </c>
      <c r="V10" s="13"/>
    </row>
    <row r="11" spans="2:22">
      <c r="B11" t="s">
        <v>807</v>
      </c>
      <c r="C11" s="187">
        <f>IF(B11="","",IF(LEN(B11)&gt;9,SUMIFS(Options!$H$3:$H$28,Options!$B$3:$B$28,Check!B11),SUMIFS('Master P&amp;L'!$H$11:$H$101,'Master P&amp;L'!$B$11:$B$101,Check!B11)))</f>
        <v>2000</v>
      </c>
      <c r="D11" s="187">
        <f>IF(B11="","",SUMIFS(Input_APM!N:N,Input_APM!L:L,Check!B11,Input_APM!M:M,Check!$F$1))</f>
        <v>1852</v>
      </c>
      <c r="E11" s="173">
        <f t="shared" si="5"/>
        <v>0</v>
      </c>
      <c r="F11" s="187">
        <f>IF(B11="","",SUMIFS(Input_APM!N:N,Input_APM!M:M,Check!$F$1,Input_APM!L:L,Check!B11))</f>
        <v>1852</v>
      </c>
      <c r="G11" s="187">
        <f>IF(B11="","",SUMIFS(Input_APM!N:N,Input_APM!M:M,Check!$G$1,Input_APM!L:L,Check!B11))</f>
        <v>0</v>
      </c>
      <c r="H11" s="173">
        <f t="shared" si="0"/>
        <v>1852</v>
      </c>
      <c r="I11" s="173">
        <f>SUMIFS(Input_APM!N:N,Input_APM!L:L,Check!B11)</f>
        <v>1852</v>
      </c>
      <c r="J11" s="175">
        <f t="shared" si="3"/>
        <v>0</v>
      </c>
      <c r="K11" s="21">
        <f>IF(B11="","",SUMIFS('Input_APM (Zenith)'!N:N,'Input_APM (Zenith)'!L:L,Check!B11,'Input_APM (Zenith)'!M:M,Check!$F$1))</f>
        <v>148</v>
      </c>
      <c r="L11" s="21">
        <f>IF(B11="","",SUMIFS('Input_APM (Zenith)'!N:N,'Input_APM (Zenith)'!L:L,Check!B11,'Input_APM (Zenith)'!M:M,Check!$G$1))</f>
        <v>0</v>
      </c>
      <c r="M11" s="193">
        <f t="shared" si="4"/>
        <v>2000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IF(O11="","",IF(LEN(O11)&gt;9,SUMIFS(Options!$H$3:$H$28,Options!$B$3:$B$28,Check!O11),SUMIFS('Master P&amp;L'!$H$11:$H$101,'Master P&amp;L'!$B$11:$B$101,Check!O11)))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IF(B12="","",IF(LEN(B12)&gt;9,SUMIFS(Options!$H$3:$H$28,Options!$B$3:$B$28,Check!B12),SUMIFS('Master P&amp;L'!$H$11:$H$101,'Master P&amp;L'!$B$11:$B$101,Check!B12)))</f>
        <v>8100</v>
      </c>
      <c r="D12" s="187">
        <f>IF(B12="","",SUMIFS(Input_APM!N:N,Input_APM!L:L,Check!B12,Input_APM!M:M,Check!$F$1))</f>
        <v>7610</v>
      </c>
      <c r="E12" s="173">
        <f t="shared" si="5"/>
        <v>0</v>
      </c>
      <c r="F12" s="187">
        <f>IF(B12="","",SUMIFS(Input_APM!N:N,Input_APM!M:M,Check!$F$1,Input_APM!L:L,Check!B12))</f>
        <v>7610</v>
      </c>
      <c r="G12" s="187">
        <f>IF(B12="","",SUMIFS(Input_APM!N:N,Input_APM!M:M,Check!$G$1,Input_APM!L:L,Check!B12))</f>
        <v>0</v>
      </c>
      <c r="H12" s="173">
        <f t="shared" si="0"/>
        <v>7610</v>
      </c>
      <c r="I12" s="173">
        <f>SUMIFS(Input_APM!N:N,Input_APM!L:L,Check!B12)</f>
        <v>7610</v>
      </c>
      <c r="J12" s="175">
        <f t="shared" si="3"/>
        <v>0</v>
      </c>
      <c r="K12" s="21">
        <f>IF(B12="","",SUMIFS('Input_APM (Zenith)'!N:N,'Input_APM (Zenith)'!L:L,Check!B12,'Input_APM (Zenith)'!M:M,Check!$F$1))</f>
        <v>490</v>
      </c>
      <c r="L12" s="21">
        <f>IF(B12="","",SUMIFS('Input_APM (Zenith)'!N:N,'Input_APM (Zenith)'!L:L,Check!B12,'Input_APM (Zenith)'!M:M,Check!$G$1))</f>
        <v>0</v>
      </c>
      <c r="M12" s="193">
        <f t="shared" si="4"/>
        <v>8100</v>
      </c>
      <c r="O12" t="s">
        <v>1049</v>
      </c>
      <c r="P12" s="173">
        <f>IF(O12="","",IF(OR(LEFT(O12,4)="Cash",LEFT(O12,4)="Prov"),0,SUMIFS(Input_APM!N:N,Input_APM!L:L,Check!O12)))</f>
        <v>469</v>
      </c>
      <c r="Q12" s="21">
        <f>IF(O12="","",IF(LEN(O12)&gt;9,SUMIFS(Options!$H$3:$H$28,Options!$B$3:$B$28,Check!O12),SUMIFS('Master P&amp;L'!$H$11:$H$101,'Master P&amp;L'!$B$11:$B$101,Check!O12)))</f>
        <v>500</v>
      </c>
      <c r="R12" s="173">
        <f t="shared" si="1"/>
        <v>-31</v>
      </c>
      <c r="S12" s="288">
        <f t="shared" si="2"/>
        <v>0.93799999999999994</v>
      </c>
      <c r="V12" s="13"/>
    </row>
    <row r="13" spans="2:22">
      <c r="B13" t="s">
        <v>316</v>
      </c>
      <c r="C13" s="187">
        <f>IF(B13="","",IF(LEN(B13)&gt;9,SUMIFS(Options!$H$3:$H$28,Options!$B$3:$B$28,Check!B13),SUMIFS('Master P&amp;L'!$H$11:$H$101,'Master P&amp;L'!$B$11:$B$101,Check!B13)))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15399</v>
      </c>
      <c r="Q13" s="21">
        <f>IF(O13="","",IF(LEN(O13)&gt;9,SUMIFS(Options!$H$3:$H$28,Options!$B$3:$B$28,Check!O13),SUMIFS('Master P&amp;L'!$H$11:$H$101,'Master P&amp;L'!$B$11:$B$101,Check!O13)))</f>
        <v>12750</v>
      </c>
      <c r="R13" s="173">
        <f t="shared" si="1"/>
        <v>2649</v>
      </c>
      <c r="S13" s="288">
        <f t="shared" si="2"/>
        <v>1.2077647058823529</v>
      </c>
      <c r="V13" s="13"/>
    </row>
    <row r="14" spans="2:22">
      <c r="B14" t="s">
        <v>982</v>
      </c>
      <c r="C14" s="187">
        <f>IF(B14="","",IF(LEN(B14)&gt;9,SUMIFS(Options!$H$3:$H$28,Options!$B$3:$B$28,Check!B14),SUMIFS('Master P&amp;L'!$H$11:$H$101,'Master P&amp;L'!$B$11:$B$101,Check!B14)))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765</v>
      </c>
      <c r="P14" s="173">
        <f>IF(O14="","",IF(OR(LEFT(O14,4)="Cash",LEFT(O14,4)="Prov"),0,SUMIFS(Input_APM!N:N,Input_APM!L:L,Check!O14)))</f>
        <v>114</v>
      </c>
      <c r="Q14" s="21">
        <f>IF(O14="","",IF(LEN(O14)&gt;9,SUMIFS(Options!$H$3:$H$28,Options!$B$3:$B$28,Check!O14),SUMIFS('Master P&amp;L'!$H$11:$H$101,'Master P&amp;L'!$B$11:$B$101,Check!O14)))</f>
        <v>120</v>
      </c>
      <c r="R14" s="173">
        <f t="shared" si="1"/>
        <v>-6</v>
      </c>
      <c r="S14" s="288">
        <f t="shared" si="2"/>
        <v>0.95</v>
      </c>
      <c r="V14" s="13"/>
    </row>
    <row r="15" spans="2:22">
      <c r="B15" t="s">
        <v>425</v>
      </c>
      <c r="C15" s="187">
        <f>IF(B15="","",IF(LEN(B15)&gt;9,SUMIFS(Options!$H$3:$H$28,Options!$B$3:$B$28,Check!B15),SUMIFS('Master P&amp;L'!$H$11:$H$101,'Master P&amp;L'!$B$11:$B$101,Check!B15)))</f>
        <v>38496</v>
      </c>
      <c r="D15" s="187">
        <f>IF(B15="","",SUMIFS(Input_APM!N:N,Input_APM!L:L,Check!B15,Input_APM!M:M,Check!$F$1))</f>
        <v>36016</v>
      </c>
      <c r="E15" s="175">
        <f t="shared" si="5"/>
        <v>0</v>
      </c>
      <c r="F15" s="187">
        <f>IF(B15="","",SUMIFS(Input_APM!N:N,Input_APM!M:M,Check!$F$1,Input_APM!L:L,Check!B15))</f>
        <v>36016</v>
      </c>
      <c r="G15" s="187">
        <f>IF(B15="","",SUMIFS(Input_APM!N:N,Input_APM!M:M,Check!$G$1,Input_APM!L:L,Check!B15))</f>
        <v>0</v>
      </c>
      <c r="H15" s="173">
        <f t="shared" si="0"/>
        <v>36016</v>
      </c>
      <c r="I15" s="173">
        <f>SUMIFS(Input_APM!N:N,Input_APM!L:L,Check!B15)</f>
        <v>36016</v>
      </c>
      <c r="J15" s="175">
        <f t="shared" si="3"/>
        <v>0</v>
      </c>
      <c r="K15" s="21">
        <f>IF(B15="","",SUMIFS('Input_APM (Zenith)'!N:N,'Input_APM (Zenith)'!L:L,Check!B15,'Input_APM (Zenith)'!M:M,Check!$F$1))</f>
        <v>2480</v>
      </c>
      <c r="L15" s="21">
        <f>IF(B15="","",SUMIFS('Input_APM (Zenith)'!N:N,'Input_APM (Zenith)'!L:L,Check!B15,'Input_APM (Zenith)'!M:M,Check!$G$1))</f>
        <v>0</v>
      </c>
      <c r="M15" s="193">
        <f t="shared" si="4"/>
        <v>38496</v>
      </c>
      <c r="O15" t="s">
        <v>334</v>
      </c>
      <c r="P15" s="173">
        <f>IF(O15="","",IF(OR(LEFT(O15,4)="Cash",LEFT(O15,4)="Prov"),0,SUMIFS(Input_APM!N:N,Input_APM!L:L,Check!O15)))</f>
        <v>3445</v>
      </c>
      <c r="Q15" s="21">
        <f>IF(O15="","",IF(LEN(O15)&gt;9,SUMIFS(Options!$H$3:$H$28,Options!$B$3:$B$28,Check!O15),SUMIFS('Master P&amp;L'!$H$11:$H$101,'Master P&amp;L'!$B$11:$B$101,Check!O15)))</f>
        <v>3678</v>
      </c>
      <c r="R15" s="173">
        <f t="shared" si="1"/>
        <v>-233</v>
      </c>
      <c r="S15" s="288">
        <f t="shared" si="2"/>
        <v>0.93665035345296355</v>
      </c>
      <c r="V15" s="13"/>
    </row>
    <row r="16" spans="2:22">
      <c r="B16" t="s">
        <v>432</v>
      </c>
      <c r="C16" s="187">
        <f>IF(B16="","",IF(LEN(B16)&gt;9,SUMIFS(Options!$H$3:$H$28,Options!$B$3:$B$28,Check!B16),SUMIFS('Master P&amp;L'!$H$11:$H$101,'Master P&amp;L'!$B$11:$B$101,Check!B16)))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800</v>
      </c>
      <c r="P16" s="173">
        <f>IF(O16="","",IF(OR(LEFT(O16,4)="Cash",LEFT(O16,4)="Prov"),0,SUMIFS(Input_APM!N:N,Input_APM!L:L,Check!O16)))</f>
        <v>4215</v>
      </c>
      <c r="Q16" s="21">
        <f>IF(O16="","",IF(LEN(O16)&gt;9,SUMIFS(Options!$H$3:$H$28,Options!$B$3:$B$28,Check!O16),SUMIFS('Master P&amp;L'!$H$11:$H$101,'Master P&amp;L'!$B$11:$B$101,Check!O16)))</f>
        <v>4500</v>
      </c>
      <c r="R16" s="173">
        <f t="shared" si="1"/>
        <v>-285</v>
      </c>
      <c r="S16" s="288">
        <f t="shared" si="2"/>
        <v>0.93666666666666665</v>
      </c>
      <c r="V16" s="13"/>
    </row>
    <row r="17" spans="2:22">
      <c r="B17" t="s">
        <v>523</v>
      </c>
      <c r="C17" s="187">
        <f>IF(B17="","",IF(LEN(B17)&gt;9,SUMIFS(Options!$H$3:$H$28,Options!$B$3:$B$28,Check!B17),SUMIFS('Master P&amp;L'!$H$11:$H$101,'Master P&amp;L'!$B$11:$B$101,Check!B17)))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221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IF(O17="","",IF(LEN(O17)&gt;9,SUMIFS(Options!$H$3:$H$28,Options!$B$3:$B$28,Check!O17),SUMIFS('Master P&amp;L'!$H$11:$H$101,'Master P&amp;L'!$B$11:$B$101,Check!O17)))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956</v>
      </c>
      <c r="C18" s="187">
        <f>IF(B18="","",IF(LEN(B18)&gt;9,SUMIFS(Options!$H$3:$H$28,Options!$B$3:$B$28,Check!B18),SUMIFS('Master P&amp;L'!$H$11:$H$101,'Master P&amp;L'!$B$11:$B$101,Check!B18)))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222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P&amp;L'!$H$11:$H$101,'Master P&amp;L'!$B$11:$B$101,Check!O18)))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1041</v>
      </c>
      <c r="C19" s="187">
        <f>IF(B19="","",IF(LEN(B19)&gt;9,SUMIFS(Options!$H$3:$H$28,Options!$B$3:$B$28,Check!B19),SUMIFS('Master P&amp;L'!$H$11:$H$101,'Master P&amp;L'!$B$11:$B$101,Check!B19)))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223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P&amp;L'!$H$11:$H$101,'Master P&amp;L'!$B$11:$B$101,Check!O19)))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IF(B20="","",IF(LEN(B20)&gt;9,SUMIFS(Options!$H$3:$H$28,Options!$B$3:$B$28,Check!B20),SUMIFS('Master P&amp;L'!$H$11:$H$101,'Master P&amp;L'!$B$11:$B$101,Check!B20)))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786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P&amp;L'!$H$11:$H$101,'Master P&amp;L'!$B$11:$B$101,Check!O20)))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IF(B21="","",IF(LEN(B21)&gt;9,SUMIFS(Options!$H$3:$H$28,Options!$B$3:$B$28,Check!B21),SUMIFS('Master P&amp;L'!$H$11:$H$101,'Master P&amp;L'!$B$11:$B$101,Check!B21)))</f>
        <v>-3360</v>
      </c>
      <c r="D21" s="187">
        <f>IF(B21="","",SUMIFS(Input_APM!N:N,Input_APM!L:L,Check!B21,Input_APM!M:M,Check!$F$1))</f>
        <v>-4697</v>
      </c>
      <c r="E21" s="173">
        <f t="shared" si="5"/>
        <v>1640</v>
      </c>
      <c r="F21" s="187">
        <f>IF(B21="","",SUMIFS(Input_APM!N:N,Input_APM!M:M,Check!$F$1,Input_APM!L:L,Check!B21))</f>
        <v>-4697</v>
      </c>
      <c r="G21" s="187">
        <f>IF(B21="","",SUMIFS(Input_APM!N:N,Input_APM!M:M,Check!$G$1,Input_APM!L:L,Check!B21))</f>
        <v>0</v>
      </c>
      <c r="H21" s="173">
        <f t="shared" si="0"/>
        <v>-4697</v>
      </c>
      <c r="I21" s="173">
        <f>SUMIFS(Input_APM!N:N,Input_APM!L:L,Check!B21)</f>
        <v>-4697</v>
      </c>
      <c r="J21" s="175">
        <f t="shared" si="3"/>
        <v>0</v>
      </c>
      <c r="K21" s="21">
        <f>IF(B21="","",SUMIFS('Input_APM (Zenith)'!N:N,'Input_APM (Zenith)'!L:L,Check!B21,'Input_APM (Zenith)'!M:M,Check!$F$1))</f>
        <v>-303</v>
      </c>
      <c r="L21" s="21">
        <f>IF(B21="","",SUMIFS('Input_APM (Zenith)'!N:N,'Input_APM (Zenith)'!L:L,Check!B21,'Input_APM (Zenith)'!M:M,Check!$G$1))</f>
        <v>0</v>
      </c>
      <c r="M21" s="193">
        <f t="shared" si="4"/>
        <v>-5000</v>
      </c>
      <c r="O21" t="s">
        <v>224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P&amp;L'!$H$11:$H$101,'Master P&amp;L'!$B$11:$B$101,Check!O21)))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IF(B22="","",IF(LEN(B22)&gt;9,SUMIFS(Options!$H$3:$H$28,Options!$B$3:$B$28,Check!B22),SUMIFS('Master P&amp;L'!$H$11:$H$101,'Master P&amp;L'!$B$11:$B$101,Check!B22)))</f>
        <v>12750</v>
      </c>
      <c r="D22" s="187">
        <f>IF(B22="","",SUMIFS(Input_APM!N:N,Input_APM!L:L,Check!B22,Input_APM!M:M,Check!$F$1))</f>
        <v>15399</v>
      </c>
      <c r="E22" s="173">
        <f t="shared" si="5"/>
        <v>-3650</v>
      </c>
      <c r="F22" s="187">
        <f>IF(B22="","",SUMIFS(Input_APM!N:N,Input_APM!M:M,Check!$F$1,Input_APM!L:L,Check!B22))</f>
        <v>15399</v>
      </c>
      <c r="G22" s="187">
        <f>IF(B22="","",SUMIFS(Input_APM!N:N,Input_APM!M:M,Check!$G$1,Input_APM!L:L,Check!B22))</f>
        <v>0</v>
      </c>
      <c r="H22" s="173">
        <f t="shared" si="0"/>
        <v>15399</v>
      </c>
      <c r="I22" s="173">
        <f>SUMIFS(Input_APM!N:N,Input_APM!L:L,Check!B22)</f>
        <v>15399</v>
      </c>
      <c r="J22" s="175">
        <f t="shared" si="3"/>
        <v>0</v>
      </c>
      <c r="K22" s="21">
        <f>IF(B22="","",SUMIFS('Input_APM (Zenith)'!N:N,'Input_APM (Zenith)'!L:L,Check!B22,'Input_APM (Zenith)'!M:M,Check!$F$1))</f>
        <v>1001</v>
      </c>
      <c r="L22" s="21">
        <f>IF(B22="","",SUMIFS('Input_APM (Zenith)'!N:N,'Input_APM (Zenith)'!L:L,Check!B22,'Input_APM (Zenith)'!M:M,Check!$G$1))</f>
        <v>0</v>
      </c>
      <c r="M22" s="193">
        <f t="shared" si="4"/>
        <v>16400</v>
      </c>
      <c r="O22" t="s">
        <v>225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P&amp;L'!$H$11:$H$101,'Master P&amp;L'!$B$11:$B$101,Check!O22)))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IF(B23="","",IF(LEN(B23)&gt;9,SUMIFS(Options!$H$3:$H$28,Options!$B$3:$B$28,Check!B23),SUMIFS('Master P&amp;L'!$H$11:$H$101,'Master P&amp;L'!$B$11:$B$101,Check!B23)))</f>
        <v>-1000</v>
      </c>
      <c r="D23" s="187">
        <f>IF(B23="","",SUMIFS(Input_APM!N:N,Input_APM!L:L,Check!B23,Input_APM!M:M,Check!$F$1))</f>
        <v>-939</v>
      </c>
      <c r="E23" s="173">
        <f t="shared" si="5"/>
        <v>0</v>
      </c>
      <c r="F23" s="187">
        <f>IF(B23="","",SUMIFS(Input_APM!N:N,Input_APM!M:M,Check!$F$1,Input_APM!L:L,Check!B23))</f>
        <v>-939</v>
      </c>
      <c r="G23" s="187">
        <f>IF(B23="","",SUMIFS(Input_APM!N:N,Input_APM!M:M,Check!$G$1,Input_APM!L:L,Check!B23))</f>
        <v>0</v>
      </c>
      <c r="H23" s="173">
        <f t="shared" si="0"/>
        <v>-939</v>
      </c>
      <c r="I23" s="173">
        <f>SUMIFS(Input_APM!N:N,Input_APM!L:L,Check!B23)</f>
        <v>-939</v>
      </c>
      <c r="J23" s="175">
        <f t="shared" si="3"/>
        <v>0</v>
      </c>
      <c r="K23" s="21">
        <f>IF(B23="","",SUMIFS('Input_APM (Zenith)'!N:N,'Input_APM (Zenith)'!L:L,Check!B23,'Input_APM (Zenith)'!M:M,Check!$F$1))</f>
        <v>-61</v>
      </c>
      <c r="L23" s="21">
        <f>IF(B23="","",SUMIFS('Input_APM (Zenith)'!N:N,'Input_APM (Zenith)'!L:L,Check!B23,'Input_APM (Zenith)'!M:M,Check!$G$1))</f>
        <v>0</v>
      </c>
      <c r="M23" s="193">
        <f t="shared" si="4"/>
        <v>-1000</v>
      </c>
      <c r="O23" t="s">
        <v>226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IF(O23="","",IF(LEN(O23)&gt;9,SUMIFS(Options!$H$3:$H$28,Options!$B$3:$B$28,Check!O23),SUMIFS('Master P&amp;L'!$H$11:$H$101,'Master P&amp;L'!$B$11:$B$101,Check!O23)))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IF(B24="","",IF(LEN(B24)&gt;9,SUMIFS(Options!$H$3:$H$28,Options!$B$3:$B$28,Check!B24),SUMIFS('Master P&amp;L'!$H$11:$H$101,'Master P&amp;L'!$B$11:$B$101,Check!B24)))</f>
        <v>55970</v>
      </c>
      <c r="D24" s="187">
        <f>IF(B24="","",SUMIFS(Input_APM!N:N,Input_APM!L:L,Check!B24,Input_APM!M:M,Check!$F$1))</f>
        <v>49407</v>
      </c>
      <c r="E24" s="173">
        <f t="shared" si="5"/>
        <v>3270</v>
      </c>
      <c r="F24" s="187">
        <f>IF(B24="","",SUMIFS(Input_APM!N:N,Input_APM!M:M,Check!$F$1,Input_APM!L:L,Check!B24))</f>
        <v>49407</v>
      </c>
      <c r="G24" s="187">
        <f>IF(B24="","",SUMIFS(Input_APM!N:N,Input_APM!M:M,Check!$G$1,Input_APM!L:L,Check!B24))</f>
        <v>0</v>
      </c>
      <c r="H24" s="173">
        <f t="shared" si="0"/>
        <v>49407</v>
      </c>
      <c r="I24" s="173">
        <f>SUMIFS(Input_APM!N:N,Input_APM!L:L,Check!B24)</f>
        <v>49407</v>
      </c>
      <c r="J24" s="175">
        <f t="shared" si="3"/>
        <v>0</v>
      </c>
      <c r="K24" s="21">
        <f>IF(B24="","",SUMIFS('Input_APM (Zenith)'!N:N,'Input_APM (Zenith)'!L:L,Check!B24,'Input_APM (Zenith)'!M:M,Check!$F$1))</f>
        <v>3293</v>
      </c>
      <c r="L24" s="21">
        <f>IF(B24="","",SUMIFS('Input_APM (Zenith)'!N:N,'Input_APM (Zenith)'!L:L,Check!B24,'Input_APM (Zenith)'!M:M,Check!$G$1))</f>
        <v>0</v>
      </c>
      <c r="M24" s="193">
        <f t="shared" si="4"/>
        <v>52700</v>
      </c>
      <c r="O24" t="s">
        <v>227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P&amp;L'!$H$11:$H$101,'Master P&amp;L'!$B$11:$B$101,Check!O24)))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IF(B25="","",IF(LEN(B25)&gt;9,SUMIFS(Options!$H$3:$H$28,Options!$B$3:$B$28,Check!B25),SUMIFS('Master P&amp;L'!$H$11:$H$101,'Master P&amp;L'!$B$11:$B$101,Check!B25)))</f>
        <v>-5600</v>
      </c>
      <c r="D25" s="187">
        <f>IF(B25="","",SUMIFS(Input_APM!N:N,Input_APM!L:L,Check!B25,Input_APM!M:M,Check!$F$1))</f>
        <v>-5262</v>
      </c>
      <c r="E25" s="173">
        <f t="shared" si="5"/>
        <v>0</v>
      </c>
      <c r="F25" s="187">
        <f>IF(B25="","",SUMIFS(Input_APM!N:N,Input_APM!M:M,Check!$F$1,Input_APM!L:L,Check!B25))</f>
        <v>-5262</v>
      </c>
      <c r="G25" s="187">
        <f>IF(B25="","",SUMIFS(Input_APM!N:N,Input_APM!M:M,Check!$G$1,Input_APM!L:L,Check!B25))</f>
        <v>0</v>
      </c>
      <c r="H25" s="173">
        <f t="shared" si="0"/>
        <v>-5262</v>
      </c>
      <c r="I25" s="173">
        <f>SUMIFS(Input_APM!N:N,Input_APM!L:L,Check!B25)</f>
        <v>-5262</v>
      </c>
      <c r="J25" s="175">
        <f t="shared" si="3"/>
        <v>0</v>
      </c>
      <c r="K25" s="21">
        <f>IF(B25="","",SUMIFS('Input_APM (Zenith)'!N:N,'Input_APM (Zenith)'!L:L,Check!B25,'Input_APM (Zenith)'!M:M,Check!$F$1))</f>
        <v>-338</v>
      </c>
      <c r="L25" s="21">
        <f>IF(B25="","",SUMIFS('Input_APM (Zenith)'!N:N,'Input_APM (Zenith)'!L:L,Check!B25,'Input_APM (Zenith)'!M:M,Check!$G$1))</f>
        <v>0</v>
      </c>
      <c r="M25" s="193">
        <f t="shared" si="4"/>
        <v>-5600</v>
      </c>
      <c r="O25" t="s">
        <v>228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IF(O25="","",IF(LEN(O25)&gt;9,SUMIFS(Options!$H$3:$H$28,Options!$B$3:$B$28,Check!O25),SUMIFS('Master P&amp;L'!$H$11:$H$101,'Master P&amp;L'!$B$11:$B$101,Check!O25)))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IF(B26="","",IF(LEN(B26)&gt;9,SUMIFS(Options!$H$3:$H$28,Options!$B$3:$B$28,Check!B26),SUMIFS('Master P&amp;L'!$H$11:$H$101,'Master P&amp;L'!$B$11:$B$101,Check!B26)))</f>
        <v>4445</v>
      </c>
      <c r="D26" s="187">
        <f>IF(B26="","",SUMIFS(Input_APM!N:N,Input_APM!L:L,Check!B26,Input_APM!M:M,Check!$F$1))</f>
        <v>3756</v>
      </c>
      <c r="E26" s="175">
        <f>IF(B26="","",C26-M26)</f>
        <v>445</v>
      </c>
      <c r="F26" s="187">
        <f>IF(B26="","",SUMIFS(Input_APM!N:N,Input_APM!M:M,Check!$F$1,Input_APM!L:L,Check!B26))</f>
        <v>3756</v>
      </c>
      <c r="G26" s="187">
        <f>IF(B26="","",SUMIFS(Input_APM!N:N,Input_APM!M:M,Check!$G$1,Input_APM!L:L,Check!B26))</f>
        <v>0</v>
      </c>
      <c r="H26" s="173">
        <f t="shared" si="0"/>
        <v>3756</v>
      </c>
      <c r="I26" s="173">
        <f>SUMIFS(Input_APM!N:N,Input_APM!L:L,Check!B26)</f>
        <v>3756</v>
      </c>
      <c r="J26" s="175">
        <f t="shared" si="3"/>
        <v>0</v>
      </c>
      <c r="K26" s="21">
        <f>IF(B26="","",SUMIFS('Input_APM (Zenith)'!N:N,'Input_APM (Zenith)'!L:L,Check!B26,'Input_APM (Zenith)'!M:M,Check!$F$1))</f>
        <v>244</v>
      </c>
      <c r="L26" s="21">
        <f>IF(B26="","",SUMIFS('Input_APM (Zenith)'!N:N,'Input_APM (Zenith)'!L:L,Check!B26,'Input_APM (Zenith)'!M:M,Check!$G$1))</f>
        <v>0</v>
      </c>
      <c r="M26" s="193">
        <f t="shared" si="4"/>
        <v>4000</v>
      </c>
      <c r="O26" t="s">
        <v>571</v>
      </c>
      <c r="P26" s="173">
        <f>IF(O26="","",IF(OR(LEFT(O26,4)="Cash",LEFT(O26,4)="Prov"),0,SUMIFS(Input_APM!N:N,Input_APM!L:L,Check!O26)))</f>
        <v>4625000</v>
      </c>
      <c r="Q26" s="21">
        <f>IF(O26="","",IF(LEN(O26)&gt;9,SUMIFS(Options!$H$3:$H$28,Options!$B$3:$B$28,Check!O26),SUMIFS('Master P&amp;L'!$H$11:$H$101,'Master P&amp;L'!$B$11:$B$101,Check!O26)))</f>
        <v>0</v>
      </c>
      <c r="R26" s="173">
        <f t="shared" si="1"/>
        <v>4625000</v>
      </c>
      <c r="S26" s="288" t="str">
        <f t="shared" si="2"/>
        <v>Erro</v>
      </c>
      <c r="V26" s="13"/>
    </row>
    <row r="27" spans="2:22">
      <c r="B27" t="s">
        <v>1052</v>
      </c>
      <c r="C27" s="187">
        <f>IF(B27="","",IF(LEN(B27)&gt;9,SUMIFS(Options!$H$3:$H$28,Options!$B$3:$B$28,Check!B27),SUMIFS('Master P&amp;L'!$H$11:$H$101,'Master P&amp;L'!$B$11:$B$101,Check!B27)))</f>
        <v>2880</v>
      </c>
      <c r="D27" s="187">
        <f>IF(B27="","",SUMIFS(Input_APM!N:N,Input_APM!L:L,Check!B27,Input_APM!M:M,Check!$F$1))</f>
        <v>0</v>
      </c>
      <c r="E27" s="175">
        <f t="shared" si="5"/>
        <v>2880</v>
      </c>
      <c r="F27" s="187">
        <f>IF(B27="","",SUMIFS(Input_APM!N:N,Input_APM!M:M,Check!$F$1,Input_APM!L:L,Check!B27))</f>
        <v>0</v>
      </c>
      <c r="G27" s="187">
        <f>IF(B27="","",SUMIFS(Input_APM!N:N,Input_APM!M:M,Check!$G$1,Input_APM!L:L,Check!B27))</f>
        <v>0</v>
      </c>
      <c r="H27" s="173">
        <f t="shared" si="0"/>
        <v>0</v>
      </c>
      <c r="I27" s="173">
        <f>SUMIFS(Input_APM!N:N,Input_APM!L:L,Check!B27)</f>
        <v>0</v>
      </c>
      <c r="J27" s="175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3">
        <f t="shared" si="4"/>
        <v>0</v>
      </c>
      <c r="O27" t="s">
        <v>892</v>
      </c>
      <c r="P27" s="173">
        <f>IF(O27="","",IF(OR(LEFT(O27,4)="Cash",LEFT(O27,4)="Prov"),0,SUMIFS(Input_APM!N:N,Input_APM!L:L,Check!O27)))</f>
        <v>28668</v>
      </c>
      <c r="Q27" s="21">
        <f>IF(O27="","",IF(LEN(O27)&gt;9,SUMIFS(Options!$H$3:$H$28,Options!$B$3:$B$28,Check!O27),SUMIFS('Master P&amp;L'!$H$11:$H$101,'Master P&amp;L'!$B$11:$B$101,Check!O27)))</f>
        <v>35110</v>
      </c>
      <c r="R27" s="173">
        <f t="shared" si="1"/>
        <v>-6442</v>
      </c>
      <c r="S27" s="288">
        <f t="shared" si="2"/>
        <v>0.81651951011107948</v>
      </c>
      <c r="V27" s="13"/>
    </row>
    <row r="28" spans="2:22">
      <c r="B28" t="s">
        <v>1079</v>
      </c>
      <c r="C28" s="187">
        <f>IF(B28="","",IF(LEN(B28)&gt;9,SUMIFS(Options!$H$3:$H$28,Options!$B$3:$B$28,Check!B28),SUMIFS('Master P&amp;L'!$H$11:$H$101,'Master P&amp;L'!$B$11:$B$101,Check!B28)))</f>
        <v>15760</v>
      </c>
      <c r="D28" s="187">
        <f>IF(B28="","",SUMIFS(Input_APM!N:N,Input_APM!L:L,Check!B28,Input_APM!M:M,Check!$F$1))</f>
        <v>12024</v>
      </c>
      <c r="E28" s="175">
        <f>IF(B28="","",C28-M28)</f>
        <v>2960</v>
      </c>
      <c r="F28" s="187">
        <f>IF(B28="","",SUMIFS(Input_APM!N:N,Input_APM!M:M,Check!$F$1,Input_APM!L:L,Check!B28))</f>
        <v>12024</v>
      </c>
      <c r="G28" s="187">
        <f>IF(B28="","",SUMIFS(Input_APM!N:N,Input_APM!M:M,Check!$G$1,Input_APM!L:L,Check!B28))</f>
        <v>0</v>
      </c>
      <c r="H28" s="173">
        <f t="shared" si="0"/>
        <v>12024</v>
      </c>
      <c r="I28" s="173">
        <f>SUMIFS(Input_APM!N:N,Input_APM!L:L,Check!B28)</f>
        <v>12024</v>
      </c>
      <c r="J28" s="175">
        <f t="shared" si="3"/>
        <v>0</v>
      </c>
      <c r="K28" s="21">
        <f>IF(B28="","",SUMIFS('Input_APM (Zenith)'!N:N,'Input_APM (Zenith)'!L:L,Check!B28,'Input_APM (Zenith)'!M:M,Check!$F$1))</f>
        <v>776</v>
      </c>
      <c r="L28" s="21">
        <f>IF(B28="","",SUMIFS('Input_APM (Zenith)'!N:N,'Input_APM (Zenith)'!L:L,Check!B28,'Input_APM (Zenith)'!M:M,Check!$G$1))</f>
        <v>0</v>
      </c>
      <c r="M28" s="193">
        <f t="shared" si="4"/>
        <v>12800</v>
      </c>
      <c r="O28" t="s">
        <v>1050</v>
      </c>
      <c r="P28" s="173">
        <f>IF(O28="","",IF(OR(LEFT(O28,4)="Cash",LEFT(O28,4)="Prov"),0,SUMIFS(Input_APM!N:N,Input_APM!L:L,Check!O28)))</f>
        <v>-940</v>
      </c>
      <c r="Q28" s="21">
        <f>IF(O28="","",IF(LEN(O28)&gt;9,SUMIFS(Options!$H$3:$H$28,Options!$B$3:$B$28,Check!O28),SUMIFS('Master P&amp;L'!$H$11:$H$101,'Master P&amp;L'!$B$11:$B$101,Check!O28)))</f>
        <v>-1000</v>
      </c>
      <c r="R28" s="173">
        <f t="shared" si="1"/>
        <v>60</v>
      </c>
      <c r="S28" s="288">
        <f t="shared" si="2"/>
        <v>0.94</v>
      </c>
      <c r="V28" s="13"/>
    </row>
    <row r="29" spans="2:22">
      <c r="B29" t="s">
        <v>892</v>
      </c>
      <c r="C29" s="187">
        <f>IF(B29="","",IF(LEN(B29)&gt;9,SUMIFS(Options!$H$3:$H$28,Options!$B$3:$B$28,Check!B29),SUMIFS('Master P&amp;L'!$H$11:$H$101,'Master P&amp;L'!$B$11:$B$101,Check!B29)))</f>
        <v>35110</v>
      </c>
      <c r="D29" s="187">
        <f>IF(B29="","",SUMIFS(Input_APM!N:N,Input_APM!L:L,Check!B29,Input_APM!M:M,Check!$F$1))</f>
        <v>28668</v>
      </c>
      <c r="E29" s="175">
        <f t="shared" si="5"/>
        <v>4550</v>
      </c>
      <c r="F29" s="187">
        <f>IF(B29="","",SUMIFS(Input_APM!N:N,Input_APM!M:M,Check!$F$1,Input_APM!L:L,Check!B29))</f>
        <v>28668</v>
      </c>
      <c r="G29" s="187">
        <f>IF(B29="","",SUMIFS(Input_APM!N:N,Input_APM!M:M,Check!$G$1,Input_APM!L:L,Check!B29))</f>
        <v>0</v>
      </c>
      <c r="H29" s="173">
        <f t="shared" si="0"/>
        <v>28668</v>
      </c>
      <c r="I29" s="173">
        <f>SUMIFS(Input_APM!N:N,Input_APM!L:L,Check!B29)</f>
        <v>28668</v>
      </c>
      <c r="J29" s="175">
        <f t="shared" si="3"/>
        <v>0</v>
      </c>
      <c r="K29" s="21">
        <f>IF(B29="","",SUMIFS('Input_APM (Zenith)'!N:N,'Input_APM (Zenith)'!L:L,Check!B29,'Input_APM (Zenith)'!M:M,Check!$F$1))</f>
        <v>1892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30560</v>
      </c>
      <c r="O29" t="s">
        <v>1051</v>
      </c>
      <c r="P29" s="173">
        <f>IF(O29="","",IF(OR(LEFT(O29,4)="Cash",LEFT(O29,4)="Prov"),0,SUMIFS(Input_APM!N:N,Input_APM!L:L,Check!O29)))</f>
        <v>940</v>
      </c>
      <c r="Q29" s="21">
        <f>IF(O29="","",IF(LEN(O29)&gt;9,SUMIFS(Options!$H$3:$H$28,Options!$B$3:$B$28,Check!O29),SUMIFS('Master P&amp;L'!$H$11:$H$101,'Master P&amp;L'!$B$11:$B$101,Check!O29)))</f>
        <v>1000</v>
      </c>
      <c r="R29" s="173">
        <f t="shared" si="1"/>
        <v>-60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IF(B30="","",IF(LEN(B30)&gt;9,SUMIFS(Options!$H$3:$H$28,Options!$B$3:$B$28,Check!B30),SUMIFS('Master P&amp;L'!$H$11:$H$101,'Master P&amp;L'!$B$11:$B$101,Check!B30)))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1078</v>
      </c>
      <c r="P30" s="173">
        <f>IF(O30="","",IF(OR(LEFT(O30,4)="Cash",LEFT(O30,4)="Prov"),0,SUMIFS(Input_APM!N:N,Input_APM!L:L,Check!O30)))</f>
        <v>-470</v>
      </c>
      <c r="Q30" s="21">
        <f>IF(O30="","",IF(LEN(O30)&gt;9,SUMIFS(Options!$H$3:$H$28,Options!$B$3:$B$28,Check!O30),SUMIFS('Master P&amp;L'!$H$11:$H$101,'Master P&amp;L'!$B$11:$B$101,Check!O30)))</f>
        <v>-500</v>
      </c>
      <c r="R30" s="173">
        <f t="shared" si="1"/>
        <v>30</v>
      </c>
      <c r="S30" s="288">
        <f t="shared" si="2"/>
        <v>0.94</v>
      </c>
      <c r="V30" s="13"/>
    </row>
    <row r="31" spans="2:22">
      <c r="B31" t="s">
        <v>1036</v>
      </c>
      <c r="C31" s="187">
        <f>IF(B31="","",IF(LEN(B31)&gt;9,SUMIFS(Options!$H$3:$H$28,Options!$B$3:$B$28,Check!B31),SUMIFS('Master P&amp;L'!$H$11:$H$101,'Master P&amp;L'!$B$11:$B$101,Check!B31)))</f>
        <v>3313</v>
      </c>
      <c r="D31" s="187">
        <f>IF(B31="","",SUMIFS(Input_APM!N:N,Input_APM!L:L,Check!B31,Input_APM!M:M,Check!$F$1))</f>
        <v>2537</v>
      </c>
      <c r="E31" s="175">
        <f>IF(B31="","",C31-M31)</f>
        <v>613</v>
      </c>
      <c r="F31" s="187">
        <f>IF(B31="","",SUMIFS(Input_APM!N:N,Input_APM!M:M,Check!$F$1,Input_APM!L:L,Check!B31))</f>
        <v>2537</v>
      </c>
      <c r="G31" s="187">
        <f>IF(B31="","",SUMIFS(Input_APM!N:N,Input_APM!M:M,Check!$G$1,Input_APM!L:L,Check!B31))</f>
        <v>0</v>
      </c>
      <c r="H31" s="173">
        <f t="shared" si="0"/>
        <v>2537</v>
      </c>
      <c r="I31" s="173">
        <f>SUMIFS(Input_APM!N:N,Input_APM!L:L,Check!B31)</f>
        <v>2537</v>
      </c>
      <c r="J31" s="175">
        <f t="shared" si="3"/>
        <v>0</v>
      </c>
      <c r="K31" s="21">
        <f>IF(B31="","",SUMIFS('Input_APM (Zenith)'!N:N,'Input_APM (Zenith)'!L:L,Check!B31,'Input_APM (Zenith)'!M:M,Check!$F$1))</f>
        <v>163</v>
      </c>
      <c r="L31" s="21">
        <f>IF(B31="","",SUMIFS('Input_APM (Zenith)'!N:N,'Input_APM (Zenith)'!L:L,Check!B31,'Input_APM (Zenith)'!M:M,Check!$G$1))</f>
        <v>0</v>
      </c>
      <c r="M31" s="193">
        <f t="shared" si="4"/>
        <v>2700</v>
      </c>
      <c r="O31" t="s">
        <v>1077</v>
      </c>
      <c r="P31" s="173">
        <f>IF(O31="","",IF(OR(LEFT(O31,4)="Cash",LEFT(O31,4)="Prov"),0,SUMIFS(Input_APM!N:N,Input_APM!L:L,Check!O31)))</f>
        <v>0</v>
      </c>
      <c r="Q31" s="21">
        <f>IF(O31="","",IF(LEN(O31)&gt;9,SUMIFS(Options!$H$3:$H$28,Options!$B$3:$B$28,Check!O31),SUMIFS('Master P&amp;L'!$H$11:$H$101,'Master P&amp;L'!$B$11:$B$101,Check!O31)))</f>
        <v>0</v>
      </c>
      <c r="R31" s="173">
        <f t="shared" si="1"/>
        <v>0</v>
      </c>
      <c r="S31" s="288" t="str">
        <f t="shared" si="2"/>
        <v>Ok</v>
      </c>
      <c r="V31" s="13"/>
    </row>
    <row r="32" spans="2:22">
      <c r="B32" t="s">
        <v>1037</v>
      </c>
      <c r="C32" s="187">
        <f>IF(B32="","",IF(LEN(B32)&gt;9,SUMIFS(Options!$H$3:$H$28,Options!$B$3:$B$28,Check!B32),SUMIFS('Master P&amp;L'!$H$11:$H$101,'Master P&amp;L'!$B$11:$B$101,Check!B32)))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1047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IF(O32="","",IF(LEN(O32)&gt;9,SUMIFS(Options!$H$3:$H$28,Options!$B$3:$B$28,Check!O32),SUMIFS('Master P&amp;L'!$H$11:$H$101,'Master P&amp;L'!$B$11:$B$101,Check!O32)))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1047</v>
      </c>
      <c r="C33" s="187">
        <f>IF(B33="","",IF(LEN(B33)&gt;9,SUMIFS(Options!$H$3:$H$28,Options!$B$3:$B$28,Check!B33),SUMIFS('Master P&amp;L'!$H$11:$H$101,'Master P&amp;L'!$B$11:$B$101,Check!B33)))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36016</v>
      </c>
      <c r="Q33" s="21">
        <f>IF(O33="","",IF(LEN(O33)&gt;9,SUMIFS(Options!$H$3:$H$28,Options!$B$3:$B$28,Check!O33),SUMIFS('Master P&amp;L'!$H$11:$H$101,'Master P&amp;L'!$B$11:$B$101,Check!O33)))</f>
        <v>38496</v>
      </c>
      <c r="R33" s="173">
        <f t="shared" si="1"/>
        <v>-2480</v>
      </c>
      <c r="S33" s="288">
        <f t="shared" si="2"/>
        <v>0.93557772236076475</v>
      </c>
      <c r="V33" s="13"/>
    </row>
    <row r="34" spans="1:22">
      <c r="B34" t="s">
        <v>974</v>
      </c>
      <c r="C34" s="187">
        <f>IF(B34="","",IF(LEN(B34)&gt;9,SUMIFS(Options!$H$3:$H$28,Options!$B$3:$B$28,Check!B34),SUMIFS('Master P&amp;L'!$H$11:$H$101,'Master P&amp;L'!$B$11:$B$101,Check!B34)))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798</v>
      </c>
      <c r="P34" s="173">
        <f>IF(O34="","",IF(OR(LEFT(O34,4)="Cash",LEFT(O34,4)="Prov"),0,SUMIFS(Input_APM!N:N,Input_APM!L:L,Check!O34)))</f>
        <v>31688</v>
      </c>
      <c r="Q34" s="21">
        <f>IF(O34="","",IF(LEN(O34)&gt;9,SUMIFS(Options!$H$3:$H$28,Options!$B$3:$B$28,Check!O34),SUMIFS('Master P&amp;L'!$H$11:$H$101,'Master P&amp;L'!$B$11:$B$101,Check!O34)))</f>
        <v>0</v>
      </c>
      <c r="R34" s="173">
        <f t="shared" si="1"/>
        <v>31688</v>
      </c>
      <c r="S34" s="288" t="str">
        <f t="shared" si="2"/>
        <v>Erro</v>
      </c>
      <c r="V34" s="13"/>
    </row>
    <row r="35" spans="1:22">
      <c r="B35" t="s">
        <v>78</v>
      </c>
      <c r="C35" s="187">
        <f>IF(B35="","",IF(LEN(B35)&gt;9,SUMIFS(Options!$H$3:$H$28,Options!$B$3:$B$28,Check!B35),SUMIFS('Master P&amp;L'!$H$11:$H$101,'Master P&amp;L'!$B$11:$B$101,Check!B35)))</f>
        <v>14909</v>
      </c>
      <c r="D35" s="187">
        <f>IF(B35="","",SUMIFS(Input_APM!N:N,Input_APM!L:L,Check!B35,Input_APM!M:M,Check!$F$1))</f>
        <v>0</v>
      </c>
      <c r="E35" s="175">
        <f t="shared" si="5"/>
        <v>14909</v>
      </c>
      <c r="F35" s="187">
        <f>IF(B35="","",SUMIFS(Input_APM!N:N,Input_APM!M:M,Check!$F$1,Input_APM!L:L,Check!B35))</f>
        <v>0</v>
      </c>
      <c r="G35" s="187">
        <f>IF(B35="","",SUMIFS(Input_APM!N:N,Input_APM!M:M,Check!$G$1,Input_APM!L:L,Check!B35))</f>
        <v>0</v>
      </c>
      <c r="H35" s="173">
        <f t="shared" si="0"/>
        <v>0</v>
      </c>
      <c r="I35" s="173">
        <f>SUMIFS(Input_APM!N:N,Input_APM!L:L,Check!B35)</f>
        <v>0</v>
      </c>
      <c r="J35" s="175">
        <f t="shared" si="3"/>
        <v>0</v>
      </c>
      <c r="K35" s="21">
        <f>IF(B35="","",SUMIFS('Input_APM (Zenith)'!N:N,'Input_APM (Zenith)'!L:L,Check!B35,'Input_APM (Zenith)'!M:M,Check!$F$1))</f>
        <v>0</v>
      </c>
      <c r="L35" s="21">
        <f>IF(B35="","",SUMIFS('Input_APM (Zenith)'!N:N,'Input_APM (Zenith)'!L:L,Check!B35,'Input_APM (Zenith)'!M:M,Check!$G$1))</f>
        <v>0</v>
      </c>
      <c r="M35" s="193">
        <f t="shared" si="4"/>
        <v>0</v>
      </c>
      <c r="O35" t="s">
        <v>837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IF(O35="","",IF(LEN(O35)&gt;9,SUMIFS(Options!$H$3:$H$28,Options!$B$3:$B$28,Check!O35),SUMIFS('Master P&amp;L'!$H$11:$H$101,'Master P&amp;L'!$B$11:$B$101,Check!O35)))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36</v>
      </c>
      <c r="C36" s="187">
        <f>IF(B36="","",IF(LEN(B36)&gt;9,SUMIFS(Options!$H$3:$H$28,Options!$B$3:$B$28,Check!B36),SUMIFS('Master P&amp;L'!$H$11:$H$101,'Master P&amp;L'!$B$11:$B$101,Check!B36)))</f>
        <v>0</v>
      </c>
      <c r="D36" s="187">
        <f>IF(B36="","",SUMIFS(Input_APM!N:N,Input_APM!L:L,Check!B36,Input_APM!M:M,Check!$F$1))</f>
        <v>21977</v>
      </c>
      <c r="E36" s="175">
        <f>IF(B36="","",C36-M36)</f>
        <v>-23500</v>
      </c>
      <c r="F36" s="187">
        <f>IF(B36="","",SUMIFS(Input_APM!N:N,Input_APM!M:M,Check!$F$1,Input_APM!L:L,Check!B36))</f>
        <v>21977</v>
      </c>
      <c r="G36" s="187">
        <f>IF(B36="","",SUMIFS(Input_APM!N:N,Input_APM!M:M,Check!$G$1,Input_APM!L:L,Check!B36))</f>
        <v>0</v>
      </c>
      <c r="H36" s="173">
        <f t="shared" si="0"/>
        <v>21977</v>
      </c>
      <c r="I36" s="173">
        <f>SUMIFS(Input_APM!N:N,Input_APM!L:L,Check!B36)</f>
        <v>21977</v>
      </c>
      <c r="J36" s="175">
        <f t="shared" si="3"/>
        <v>0</v>
      </c>
      <c r="K36" s="21">
        <f>IF(B36="","",SUMIFS('Input_APM (Zenith)'!N:N,'Input_APM (Zenith)'!L:L,Check!B36,'Input_APM (Zenith)'!M:M,Check!$F$1))</f>
        <v>1523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23500</v>
      </c>
      <c r="O36" t="s">
        <v>838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IF(O36="","",IF(LEN(O36)&gt;9,SUMIFS(Options!$H$3:$H$28,Options!$B$3:$B$28,Check!O36),SUMIFS('Master P&amp;L'!$H$11:$H$101,'Master P&amp;L'!$B$11:$B$101,Check!O36)))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6</v>
      </c>
      <c r="C37" s="187">
        <f>IF(B37="","",IF(LEN(B37)&gt;9,SUMIFS(Options!$H$3:$H$28,Options!$B$3:$B$28,Check!B37),SUMIFS('Master P&amp;L'!$H$11:$H$101,'Master P&amp;L'!$B$11:$B$101,Check!B37)))</f>
        <v>15000</v>
      </c>
      <c r="D37" s="187">
        <f>IF(B37="","",SUMIFS(Input_APM!N:N,Input_APM!L:L,Check!B37,Input_APM!M:M,Check!$F$1))</f>
        <v>14082</v>
      </c>
      <c r="E37" s="175">
        <f>IF(B37="","",C37-M37)</f>
        <v>0</v>
      </c>
      <c r="F37" s="187">
        <f>IF(B37="","",SUMIFS(Input_APM!N:N,Input_APM!M:M,Check!$F$1,Input_APM!L:L,Check!B37))</f>
        <v>14082</v>
      </c>
      <c r="G37" s="187">
        <f>IF(B37="","",SUMIFS(Input_APM!N:N,Input_APM!M:M,Check!$G$1,Input_APM!L:L,Check!B37))</f>
        <v>0</v>
      </c>
      <c r="H37" s="173">
        <f t="shared" si="0"/>
        <v>14082</v>
      </c>
      <c r="I37" s="173">
        <f>SUMIFS(Input_APM!N:N,Input_APM!L:L,Check!B37)</f>
        <v>14082</v>
      </c>
      <c r="J37" s="175">
        <f t="shared" si="3"/>
        <v>0</v>
      </c>
      <c r="K37" s="21">
        <f>IF(B37="","",SUMIFS('Input_APM (Zenith)'!N:N,'Input_APM (Zenith)'!L:L,Check!B37,'Input_APM (Zenith)'!M:M,Check!$F$1))</f>
        <v>918</v>
      </c>
      <c r="L37" s="21">
        <f>IF(B37="","",SUMIFS('Input_APM (Zenith)'!N:N,'Input_APM (Zenith)'!L:L,Check!B37,'Input_APM (Zenith)'!M:M,Check!$G$1))</f>
        <v>0</v>
      </c>
      <c r="M37" s="193">
        <f t="shared" si="4"/>
        <v>15000</v>
      </c>
      <c r="O37" t="s">
        <v>1037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IF(O37="","",IF(LEN(O37)&gt;9,SUMIFS(Options!$H$3:$H$28,Options!$B$3:$B$28,Check!O37),SUMIFS('Master P&amp;L'!$H$11:$H$101,'Master P&amp;L'!$B$11:$B$101,Check!O37)))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839</v>
      </c>
      <c r="C38" s="187">
        <f>IF(B38="","",IF(LEN(B38)&gt;9,SUMIFS(Options!$H$3:$H$28,Options!$B$3:$B$28,Check!B38),SUMIFS('Master P&amp;L'!$H$11:$H$101,'Master P&amp;L'!$B$11:$B$101,Check!B38)))</f>
        <v>0</v>
      </c>
      <c r="D38" s="187">
        <f>IF(B38="","",SUMIFS(Input_APM!N:N,Input_APM!L:L,Check!B38,Input_APM!M:M,Check!$F$1))</f>
        <v>-9842</v>
      </c>
      <c r="E38" s="173">
        <f t="shared" si="5"/>
        <v>10500</v>
      </c>
      <c r="F38" s="187">
        <f>IF(B38="","",SUMIFS(Input_APM!N:N,Input_APM!M:M,Check!$F$1,Input_APM!L:L,Check!B38))</f>
        <v>-9842</v>
      </c>
      <c r="G38" s="187">
        <f>IF(B38="","",SUMIFS(Input_APM!N:N,Input_APM!M:M,Check!$G$1,Input_APM!L:L,Check!B38))</f>
        <v>0</v>
      </c>
      <c r="H38" s="173">
        <f t="shared" si="0"/>
        <v>-9842</v>
      </c>
      <c r="I38" s="173">
        <f>SUMIFS(Input_APM!N:N,Input_APM!L:L,Check!B38)</f>
        <v>-9842</v>
      </c>
      <c r="J38" s="175">
        <f t="shared" si="3"/>
        <v>0</v>
      </c>
      <c r="K38" s="21">
        <f>IF(B38="","",SUMIFS('Input_APM (Zenith)'!N:N,'Input_APM (Zenith)'!L:L,Check!B38,'Input_APM (Zenith)'!M:M,Check!$F$1))</f>
        <v>-658</v>
      </c>
      <c r="L38" s="21">
        <f>IF(B38="","",SUMIFS('Input_APM (Zenith)'!N:N,'Input_APM (Zenith)'!L:L,Check!B38,'Input_APM (Zenith)'!M:M,Check!$G$1))</f>
        <v>0</v>
      </c>
      <c r="M38" s="193">
        <f t="shared" si="4"/>
        <v>-10500</v>
      </c>
      <c r="O38" t="s">
        <v>807</v>
      </c>
      <c r="P38" s="173">
        <f>IF(O38="","",IF(OR(LEFT(O38,4)="Cash",LEFT(O38,4)="Prov"),0,SUMIFS(Input_APM!N:N,Input_APM!L:L,Check!O38)))</f>
        <v>1852</v>
      </c>
      <c r="Q38" s="21">
        <f>IF(O38="","",IF(LEN(O38)&gt;9,SUMIFS(Options!$H$3:$H$28,Options!$B$3:$B$28,Check!O38),SUMIFS('Master P&amp;L'!$H$11:$H$101,'Master P&amp;L'!$B$11:$B$101,Check!O38)))</f>
        <v>2000</v>
      </c>
      <c r="R38" s="173">
        <f t="shared" si="1"/>
        <v>-148</v>
      </c>
      <c r="S38" s="288">
        <f t="shared" si="2"/>
        <v>0.92600000000000005</v>
      </c>
      <c r="V38" s="13"/>
    </row>
    <row r="39" spans="1:22">
      <c r="B39" t="s">
        <v>4</v>
      </c>
      <c r="C39" s="187">
        <f>IF(B39="","",IF(LEN(B39)&gt;9,SUMIFS(Options!$H$3:$H$28,Options!$B$3:$B$28,Check!B39),SUMIFS('Master P&amp;L'!$H$11:$H$101,'Master P&amp;L'!$B$11:$B$101,Check!B39)))</f>
        <v>0</v>
      </c>
      <c r="D39" s="187">
        <f>IF(B39="","",SUMIFS(Input_APM!N:N,Input_APM!L:L,Check!B39,Input_APM!M:M,Check!$F$1))</f>
        <v>-25765</v>
      </c>
      <c r="E39" s="173">
        <f t="shared" si="5"/>
        <v>27500</v>
      </c>
      <c r="F39" s="187">
        <f>IF(B39="","",SUMIFS(Input_APM!N:N,Input_APM!M:M,Check!$F$1,Input_APM!L:L,Check!B39))</f>
        <v>-25765</v>
      </c>
      <c r="G39" s="187">
        <f>IF(B39="","",SUMIFS(Input_APM!N:N,Input_APM!M:M,Check!$G$1,Input_APM!L:L,Check!B39))</f>
        <v>0</v>
      </c>
      <c r="H39" s="173">
        <f t="shared" si="0"/>
        <v>-25765</v>
      </c>
      <c r="I39" s="173">
        <f>SUMIFS(Input_APM!N:N,Input_APM!L:L,Check!B39)</f>
        <v>-25765</v>
      </c>
      <c r="J39" s="175">
        <f t="shared" si="3"/>
        <v>0</v>
      </c>
      <c r="K39" s="21">
        <f>IF(B39="","",SUMIFS('Input_APM (Zenith)'!N:N,'Input_APM (Zenith)'!L:L,Check!B39,'Input_APM (Zenith)'!M:M,Check!$F$1))</f>
        <v>-1735</v>
      </c>
      <c r="L39" s="21">
        <f>IF(B39="","",SUMIFS('Input_APM (Zenith)'!N:N,'Input_APM (Zenith)'!L:L,Check!B39,'Input_APM (Zenith)'!M:M,Check!$G$1))</f>
        <v>0</v>
      </c>
      <c r="M39" s="193">
        <f t="shared" si="4"/>
        <v>-27500</v>
      </c>
      <c r="O39" t="s">
        <v>561</v>
      </c>
      <c r="P39" s="173">
        <f>IF(O39="","",IF(OR(LEFT(O39,4)="Cash",LEFT(O39,4)="Prov"),0,SUMIFS(Input_APM!N:N,Input_APM!L:L,Check!O39)))</f>
        <v>276451</v>
      </c>
      <c r="Q39" s="21">
        <f>IF(O39="","",IF(LEN(O39)&gt;9,SUMIFS(Options!$H$3:$H$28,Options!$B$3:$B$28,Check!O39),SUMIFS('Master P&amp;L'!$H$11:$H$101,'Master P&amp;L'!$B$11:$B$101,Check!O39)))</f>
        <v>0</v>
      </c>
      <c r="R39" s="173">
        <f t="shared" si="1"/>
        <v>276451</v>
      </c>
      <c r="S39" s="288" t="str">
        <f t="shared" si="2"/>
        <v>Erro</v>
      </c>
      <c r="V39" s="13"/>
    </row>
    <row r="40" spans="1:22">
      <c r="B40" t="s">
        <v>1076</v>
      </c>
      <c r="C40" s="187">
        <f>IF(B40="","",IF(LEN(B40)&gt;9,SUMIFS(Options!$H$3:$H$28,Options!$B$3:$B$28,Check!B40),SUMIFS('Master P&amp;L'!$H$11:$H$101,'Master P&amp;L'!$B$11:$B$101,Check!B40)))</f>
        <v>-300</v>
      </c>
      <c r="D40" s="187">
        <f>IF(B40="","",SUMIFS(Input_APM!N:N,Input_APM!L:L,Check!B40,Input_APM!M:M,Check!$F$1))</f>
        <v>-281</v>
      </c>
      <c r="E40" s="175">
        <f t="shared" si="5"/>
        <v>0</v>
      </c>
      <c r="F40" s="187">
        <f>IF(B40="","",SUMIFS(Input_APM!N:N,Input_APM!M:M,Check!$F$1,Input_APM!L:L,Check!B40))</f>
        <v>-281</v>
      </c>
      <c r="G40" s="187">
        <f>IF(B40="","",SUMIFS(Input_APM!N:N,Input_APM!M:M,Check!$G$1,Input_APM!L:L,Check!B40))</f>
        <v>0</v>
      </c>
      <c r="H40" s="173">
        <f t="shared" si="0"/>
        <v>-281</v>
      </c>
      <c r="I40" s="173">
        <f>SUMIFS(Input_APM!N:N,Input_APM!L:L,Check!B40)</f>
        <v>-281</v>
      </c>
      <c r="J40" s="175">
        <f t="shared" si="3"/>
        <v>0</v>
      </c>
      <c r="K40" s="21">
        <f>IF(B40="","",SUMIFS('Input_APM (Zenith)'!N:N,'Input_APM (Zenith)'!L:L,Check!B40,'Input_APM (Zenith)'!M:M,Check!$F$1))</f>
        <v>-19</v>
      </c>
      <c r="L40" s="21">
        <f>IF(B40="","",SUMIFS('Input_APM (Zenith)'!N:N,'Input_APM (Zenith)'!L:L,Check!B40,'Input_APM (Zenith)'!M:M,Check!$G$1))</f>
        <v>0</v>
      </c>
      <c r="M40" s="193">
        <f t="shared" si="4"/>
        <v>-300</v>
      </c>
      <c r="O40" t="s">
        <v>562</v>
      </c>
      <c r="P40" s="173">
        <f>IF(O40="","",IF(OR(LEFT(O40,4)="Cash",LEFT(O40,4)="Prov"),0,SUMIFS(Input_APM!N:N,Input_APM!L:L,Check!O40)))</f>
        <v>-276451</v>
      </c>
      <c r="Q40" s="21">
        <f>IF(O40="","",IF(LEN(O40)&gt;9,SUMIFS(Options!$H$3:$H$28,Options!$B$3:$B$28,Check!O40),SUMIFS('Master P&amp;L'!$H$11:$H$101,'Master P&amp;L'!$B$11:$B$101,Check!O40)))</f>
        <v>0</v>
      </c>
      <c r="R40" s="173">
        <f t="shared" si="1"/>
        <v>-276451</v>
      </c>
      <c r="S40" s="288" t="str">
        <f t="shared" si="2"/>
        <v>Erro</v>
      </c>
      <c r="V40" s="13"/>
    </row>
    <row r="41" spans="1:22">
      <c r="B41" t="s">
        <v>1074</v>
      </c>
      <c r="C41" s="187">
        <f>IF(B41="","",IF(LEN(B41)&gt;9,SUMIFS(Options!$H$3:$H$28,Options!$B$3:$B$28,Check!B41),SUMIFS('Master P&amp;L'!$H$11:$H$101,'Master P&amp;L'!$B$11:$B$101,Check!B41)))</f>
        <v>-300</v>
      </c>
      <c r="D41" s="187">
        <f>IF(B41="","",SUMIFS(Input_APM!N:N,Input_APM!L:L,Check!B41,Input_APM!M:M,Check!$F$1))</f>
        <v>-282</v>
      </c>
      <c r="E41" s="173">
        <f t="shared" si="5"/>
        <v>0</v>
      </c>
      <c r="F41" s="187">
        <f>IF(B41="","",SUMIFS(Input_APM!N:N,Input_APM!M:M,Check!$F$1,Input_APM!L:L,Check!B41))</f>
        <v>-282</v>
      </c>
      <c r="G41" s="187">
        <f>IF(B41="","",SUMIFS(Input_APM!N:N,Input_APM!M:M,Check!$G$1,Input_APM!L:L,Check!B41))</f>
        <v>0</v>
      </c>
      <c r="H41" s="173">
        <f t="shared" si="0"/>
        <v>-282</v>
      </c>
      <c r="I41" s="173">
        <f>SUMIFS(Input_APM!N:N,Input_APM!L:L,Check!B41)</f>
        <v>-282</v>
      </c>
      <c r="J41" s="175">
        <f t="shared" si="3"/>
        <v>0</v>
      </c>
      <c r="K41" s="21">
        <f>IF(B41="","",SUMIFS('Input_APM (Zenith)'!N:N,'Input_APM (Zenith)'!L:L,Check!B41,'Input_APM (Zenith)'!M:M,Check!$F$1))</f>
        <v>-18</v>
      </c>
      <c r="L41" s="21">
        <f>IF(B41="","",SUMIFS('Input_APM (Zenith)'!N:N,'Input_APM (Zenith)'!L:L,Check!B41,'Input_APM (Zenith)'!M:M,Check!$G$1))</f>
        <v>0</v>
      </c>
      <c r="M41" s="193">
        <f t="shared" si="4"/>
        <v>-300</v>
      </c>
      <c r="O41" t="s">
        <v>342</v>
      </c>
      <c r="P41" s="173">
        <f>IF(O41="","",IF(OR(LEFT(O41,4)="Cash",LEFT(O41,4)="Prov"),0,SUMIFS(Input_APM!N:N,Input_APM!L:L,Check!O41)))</f>
        <v>-939</v>
      </c>
      <c r="Q41" s="21">
        <f>IF(O41="","",IF(LEN(O41)&gt;9,SUMIFS(Options!$H$3:$H$28,Options!$B$3:$B$28,Check!O41),SUMIFS('Master P&amp;L'!$H$11:$H$101,'Master P&amp;L'!$B$11:$B$101,Check!O41)))</f>
        <v>-1000</v>
      </c>
      <c r="R41" s="173">
        <f t="shared" si="1"/>
        <v>61</v>
      </c>
      <c r="S41" s="288">
        <f t="shared" si="2"/>
        <v>0.93899999999999995</v>
      </c>
      <c r="V41" s="13"/>
    </row>
    <row r="42" spans="1:22">
      <c r="B42" t="s">
        <v>819</v>
      </c>
      <c r="C42" s="187">
        <f>IF(B42="","",IF(LEN(B42)&gt;9,SUMIFS(Options!$H$3:$H$28,Options!$B$3:$B$28,Check!B42),SUMIFS('Master P&amp;L'!$H$11:$H$101,'Master P&amp;L'!$B$11:$B$101,Check!B42)))</f>
        <v>2000</v>
      </c>
      <c r="D42" s="187">
        <f>IF(B42="","",SUMIFS(Input_APM!N:N,Input_APM!L:L,Check!B42,Input_APM!M:M,Check!$F$1))</f>
        <v>1874</v>
      </c>
      <c r="E42" s="175">
        <f t="shared" si="5"/>
        <v>0</v>
      </c>
      <c r="F42" s="187">
        <f>IF(B42="","",SUMIFS(Input_APM!N:N,Input_APM!M:M,Check!$F$1,Input_APM!L:L,Check!B42))</f>
        <v>1874</v>
      </c>
      <c r="G42" s="187">
        <f>IF(B42="","",SUMIFS(Input_APM!N:N,Input_APM!M:M,Check!$G$1,Input_APM!L:L,Check!B42))</f>
        <v>0</v>
      </c>
      <c r="H42" s="173">
        <f t="shared" si="0"/>
        <v>1874</v>
      </c>
      <c r="I42" s="173">
        <f>SUMIFS(Input_APM!N:N,Input_APM!L:L,Check!B42)</f>
        <v>1874</v>
      </c>
      <c r="J42" s="175">
        <f t="shared" si="3"/>
        <v>0</v>
      </c>
      <c r="K42" s="21">
        <f>IF(B42="","",SUMIFS('Input_APM (Zenith)'!N:N,'Input_APM (Zenith)'!L:L,Check!B42,'Input_APM (Zenith)'!M:M,Check!$F$1))</f>
        <v>126</v>
      </c>
      <c r="L42" s="21">
        <f>IF(B42="","",SUMIFS('Input_APM (Zenith)'!N:N,'Input_APM (Zenith)'!L:L,Check!B42,'Input_APM (Zenith)'!M:M,Check!$G$1))</f>
        <v>0</v>
      </c>
      <c r="M42" s="193">
        <f t="shared" si="4"/>
        <v>2000</v>
      </c>
      <c r="O42" t="s">
        <v>879</v>
      </c>
      <c r="P42" s="173">
        <f>IF(O42="","",IF(OR(LEFT(O42,4)="Cash",LEFT(O42,4)="Prov"),0,SUMIFS(Input_APM!N:N,Input_APM!L:L,Check!O42)))</f>
        <v>284</v>
      </c>
      <c r="Q42" s="21">
        <f>IF(O42="","",IF(LEN(O42)&gt;9,SUMIFS(Options!$H$3:$H$28,Options!$B$3:$B$28,Check!O42),SUMIFS('Master P&amp;L'!$H$11:$H$101,'Master P&amp;L'!$B$11:$B$101,Check!O42)))</f>
        <v>300</v>
      </c>
      <c r="R42" s="173">
        <f t="shared" si="1"/>
        <v>-16</v>
      </c>
      <c r="S42" s="288">
        <f t="shared" si="2"/>
        <v>0.94666666666666666</v>
      </c>
      <c r="V42" s="13"/>
    </row>
    <row r="43" spans="1:22">
      <c r="A43" t="s">
        <v>441</v>
      </c>
      <c r="B43" t="s">
        <v>1049</v>
      </c>
      <c r="C43" s="187">
        <f>IF(B43="","",IF(LEN(B43)&gt;9,SUMIFS(Options!$H$3:$H$28,Options!$B$3:$B$28,Check!B43),SUMIFS('Master P&amp;L'!$H$11:$H$101,'Master P&amp;L'!$B$11:$B$101,Check!B43)))</f>
        <v>500</v>
      </c>
      <c r="D43" s="187">
        <f>IF(B43="","",SUMIFS(Input_APM!N:N,Input_APM!L:L,Check!B43,Input_APM!M:M,Check!$F$1))</f>
        <v>469</v>
      </c>
      <c r="E43" s="173">
        <f t="shared" si="5"/>
        <v>0</v>
      </c>
      <c r="F43" s="187">
        <f>IF(B43="","",SUMIFS(Input_APM!N:N,Input_APM!M:M,Check!$F$1,Input_APM!L:L,Check!B43))</f>
        <v>469</v>
      </c>
      <c r="G43" s="187">
        <f>IF(B43="","",SUMIFS(Input_APM!N:N,Input_APM!M:M,Check!$G$1,Input_APM!L:L,Check!B43))</f>
        <v>0</v>
      </c>
      <c r="H43" s="173">
        <f t="shared" si="0"/>
        <v>469</v>
      </c>
      <c r="I43" s="173">
        <f>SUMIFS(Input_APM!N:N,Input_APM!L:L,Check!B43)</f>
        <v>469</v>
      </c>
      <c r="J43" s="175">
        <f t="shared" si="3"/>
        <v>0</v>
      </c>
      <c r="K43" s="21">
        <f>IF(B43="","",SUMIFS('Input_APM (Zenith)'!N:N,'Input_APM (Zenith)'!L:L,Check!B43,'Input_APM (Zenith)'!M:M,Check!$F$1))</f>
        <v>31</v>
      </c>
      <c r="L43" s="21">
        <f>IF(B43="","",SUMIFS('Input_APM (Zenith)'!N:N,'Input_APM (Zenith)'!L:L,Check!B43,'Input_APM (Zenith)'!M:M,Check!$G$1))</f>
        <v>0</v>
      </c>
      <c r="M43" s="173">
        <f t="shared" si="4"/>
        <v>500</v>
      </c>
      <c r="O43" t="s">
        <v>6</v>
      </c>
      <c r="P43" s="173">
        <f>IF(O43="","",IF(OR(LEFT(O43,4)="Cash",LEFT(O43,4)="Prov"),0,SUMIFS(Input_APM!N:N,Input_APM!L:L,Check!O43)))</f>
        <v>14082</v>
      </c>
      <c r="Q43" s="21">
        <f>IF(O43="","",IF(LEN(O43)&gt;9,SUMIFS(Options!$H$3:$H$28,Options!$B$3:$B$28,Check!O43),SUMIFS('Master P&amp;L'!$H$11:$H$101,'Master P&amp;L'!$B$11:$B$101,Check!O43)))</f>
        <v>15000</v>
      </c>
      <c r="R43" s="173">
        <f t="shared" si="1"/>
        <v>-918</v>
      </c>
      <c r="S43" s="288">
        <f t="shared" si="2"/>
        <v>0.93879999999999997</v>
      </c>
      <c r="V43" s="13"/>
    </row>
    <row r="44" spans="1:22">
      <c r="B44" t="s">
        <v>765</v>
      </c>
      <c r="C44" s="187">
        <f>IF(B44="","",IF(LEN(B44)&gt;9,SUMIFS(Options!$H$3:$H$28,Options!$B$3:$B$28,Check!B44),SUMIFS('Master P&amp;L'!$H$11:$H$101,'Master P&amp;L'!$B$11:$B$101,Check!B44)))</f>
        <v>120</v>
      </c>
      <c r="D44" s="187">
        <f>IF(B44="","",SUMIFS(Input_APM!N:N,Input_APM!L:L,Check!B44,Input_APM!M:M,Check!$F$1))</f>
        <v>114</v>
      </c>
      <c r="E44" s="173">
        <f>IF(B44="","",C44-M44)</f>
        <v>0</v>
      </c>
      <c r="F44" s="187">
        <f>IF(B44="","",SUMIFS(Input_APM!N:N,Input_APM!M:M,Check!$F$1,Input_APM!L:L,Check!B44))</f>
        <v>114</v>
      </c>
      <c r="G44" s="187">
        <f>IF(B44="","",SUMIFS(Input_APM!N:N,Input_APM!M:M,Check!$G$1,Input_APM!L:L,Check!B44))</f>
        <v>0</v>
      </c>
      <c r="H44" s="173">
        <f t="shared" si="0"/>
        <v>114</v>
      </c>
      <c r="I44" s="173">
        <f>SUMIFS(Input_APM!N:N,Input_APM!L:L,Check!B44)</f>
        <v>114</v>
      </c>
      <c r="J44" s="175">
        <f t="shared" si="3"/>
        <v>0</v>
      </c>
      <c r="K44" s="21">
        <f>IF(B44="","",SUMIFS('Input_APM (Zenith)'!N:N,'Input_APM (Zenith)'!L:L,Check!B44,'Input_APM (Zenith)'!M:M,Check!$F$1))</f>
        <v>6</v>
      </c>
      <c r="L44" s="21">
        <f>IF(B44="","",SUMIFS('Input_APM (Zenith)'!N:N,'Input_APM (Zenith)'!L:L,Check!B44,'Input_APM (Zenith)'!M:M,Check!$G$1))</f>
        <v>0</v>
      </c>
      <c r="M44" s="173">
        <f t="shared" si="4"/>
        <v>120</v>
      </c>
      <c r="O44" t="s">
        <v>839</v>
      </c>
      <c r="P44" s="173">
        <f>IF(O44="","",IF(OR(LEFT(O44,4)="Cash",LEFT(O44,4)="Prov"),0,SUMIFS(Input_APM!N:N,Input_APM!L:L,Check!O44)))</f>
        <v>-9842</v>
      </c>
      <c r="Q44" s="21">
        <f>IF(O44="","",IF(LEN(O44)&gt;9,SUMIFS(Options!$H$3:$H$28,Options!$B$3:$B$28,Check!O44),SUMIFS('Master P&amp;L'!$H$11:$H$101,'Master P&amp;L'!$B$11:$B$101,Check!O44)))</f>
        <v>0</v>
      </c>
      <c r="R44" s="173">
        <f t="shared" si="1"/>
        <v>-9842</v>
      </c>
      <c r="S44" s="288" t="str">
        <f t="shared" si="2"/>
        <v>Erro</v>
      </c>
      <c r="V44" s="13"/>
    </row>
    <row r="45" spans="1:22">
      <c r="B45" t="s">
        <v>1051</v>
      </c>
      <c r="C45" s="187">
        <f>IF(B45="","",IF(LEN(B45)&gt;9,SUMIFS(Options!$H$3:$H$28,Options!$B$3:$B$28,Check!B45),SUMIFS('Master P&amp;L'!$H$11:$H$101,'Master P&amp;L'!$B$11:$B$101,Check!B45)))</f>
        <v>1000</v>
      </c>
      <c r="D45" s="187">
        <f>IF(B45="","",SUMIFS(Input_APM!N:N,Input_APM!L:L,Check!B45,Input_APM!M:M,Check!$F$1))</f>
        <v>940</v>
      </c>
      <c r="E45" s="173">
        <f t="shared" si="5"/>
        <v>0</v>
      </c>
      <c r="F45" s="187">
        <f>IF(B45="","",SUMIFS(Input_APM!N:N,Input_APM!M:M,Check!$F$1,Input_APM!L:L,Check!B45))</f>
        <v>940</v>
      </c>
      <c r="G45" s="187">
        <f>IF(B45="","",SUMIFS(Input_APM!N:N,Input_APM!M:M,Check!$G$1,Input_APM!L:L,Check!B45))</f>
        <v>0</v>
      </c>
      <c r="H45" s="173">
        <f t="shared" si="0"/>
        <v>940</v>
      </c>
      <c r="I45" s="173">
        <f>SUMIFS(Input_APM!N:N,Input_APM!L:L,Check!B45)</f>
        <v>940</v>
      </c>
      <c r="J45" s="175">
        <f t="shared" si="3"/>
        <v>0</v>
      </c>
      <c r="K45" s="21">
        <f>IF(B45="","",SUMIFS('Input_APM (Zenith)'!N:N,'Input_APM (Zenith)'!L:L,Check!B45,'Input_APM (Zenith)'!M:M,Check!$F$1))</f>
        <v>60</v>
      </c>
      <c r="L45" s="21">
        <f>IF(B45="","",SUMIFS('Input_APM (Zenith)'!N:N,'Input_APM (Zenith)'!L:L,Check!B45,'Input_APM (Zenith)'!M:M,Check!$G$1))</f>
        <v>0</v>
      </c>
      <c r="M45" s="173">
        <f t="shared" si="4"/>
        <v>1000</v>
      </c>
      <c r="O45" t="s">
        <v>862</v>
      </c>
      <c r="P45" s="173">
        <f>IF(O45="","",IF(OR(LEFT(O45,4)="Cash",LEFT(O45,4)="Prov"),0,SUMIFS(Input_APM!N:N,Input_APM!L:L,Check!O45)))</f>
        <v>10349446</v>
      </c>
      <c r="Q45" s="21">
        <f>IF(O45="","",IF(LEN(O45)&gt;9,SUMIFS(Options!$H$3:$H$28,Options!$B$3:$B$28,Check!O45),SUMIFS('Master P&amp;L'!$H$11:$H$101,'Master P&amp;L'!$B$11:$B$101,Check!O45)))</f>
        <v>0</v>
      </c>
      <c r="R45" s="173">
        <f t="shared" si="1"/>
        <v>10349446</v>
      </c>
      <c r="S45" s="288" t="str">
        <f t="shared" si="2"/>
        <v>Erro</v>
      </c>
      <c r="V45" s="13"/>
    </row>
    <row r="46" spans="1:22">
      <c r="B46" t="s">
        <v>1050</v>
      </c>
      <c r="C46" s="187">
        <f>IF(B46="","",IF(LEN(B46)&gt;9,SUMIFS(Options!$H$3:$H$28,Options!$B$3:$B$28,Check!B46),SUMIFS('Master P&amp;L'!$H$11:$H$101,'Master P&amp;L'!$B$11:$B$101,Check!B46)))</f>
        <v>-1000</v>
      </c>
      <c r="D46" s="187">
        <f>IF(B46="","",SUMIFS(Input_APM!N:N,Input_APM!L:L,Check!B46,Input_APM!M:M,Check!$F$1))</f>
        <v>-940</v>
      </c>
      <c r="E46" s="175">
        <f t="shared" si="5"/>
        <v>0</v>
      </c>
      <c r="F46" s="187">
        <f>IF(B46="","",SUMIFS(Input_APM!N:N,Input_APM!M:M,Check!$F$1,Input_APM!L:L,Check!B46))</f>
        <v>-940</v>
      </c>
      <c r="G46" s="187">
        <f>IF(B46="","",SUMIFS(Input_APM!N:N,Input_APM!M:M,Check!$G$1,Input_APM!L:L,Check!B46))</f>
        <v>0</v>
      </c>
      <c r="H46" s="173">
        <f t="shared" si="0"/>
        <v>-940</v>
      </c>
      <c r="I46" s="173">
        <f>SUMIFS(Input_APM!N:N,Input_APM!L:L,Check!B46)</f>
        <v>-940</v>
      </c>
      <c r="J46" s="175">
        <f t="shared" si="3"/>
        <v>0</v>
      </c>
      <c r="K46" s="21">
        <f>IF(B46="","",SUMIFS('Input_APM (Zenith)'!N:N,'Input_APM (Zenith)'!L:L,Check!B46,'Input_APM (Zenith)'!M:M,Check!$F$1))</f>
        <v>-60</v>
      </c>
      <c r="L46" s="21">
        <f>IF(B46="","",SUMIFS('Input_APM (Zenith)'!N:N,'Input_APM (Zenith)'!L:L,Check!B46,'Input_APM (Zenith)'!M:M,Check!$G$1))</f>
        <v>0</v>
      </c>
      <c r="M46" s="173">
        <f t="shared" si="4"/>
        <v>-1000</v>
      </c>
      <c r="O46" t="s">
        <v>728</v>
      </c>
      <c r="P46" s="173">
        <f>IF(O46="","",IF(OR(LEFT(O46,4)="Cash",LEFT(O46,4)="Prov"),0,SUMIFS(Input_APM!N:N,Input_APM!L:L,Check!O46)))</f>
        <v>3756</v>
      </c>
      <c r="Q46" s="21">
        <f>IF(O46="","",IF(LEN(O46)&gt;9,SUMIFS(Options!$H$3:$H$28,Options!$B$3:$B$28,Check!O46),SUMIFS('Master P&amp;L'!$H$11:$H$101,'Master P&amp;L'!$B$11:$B$101,Check!O46)))</f>
        <v>4445</v>
      </c>
      <c r="R46" s="173">
        <f t="shared" si="1"/>
        <v>-689</v>
      </c>
      <c r="S46" s="288">
        <f t="shared" si="2"/>
        <v>0.84499437570303715</v>
      </c>
      <c r="V46" s="13"/>
    </row>
    <row r="47" spans="1:22">
      <c r="B47" t="s">
        <v>1078</v>
      </c>
      <c r="C47" s="187">
        <f>IF(B47="","",IF(LEN(B47)&gt;9,SUMIFS(Options!$H$3:$H$28,Options!$B$3:$B$28,Check!B47),SUMIFS('Master P&amp;L'!$H$11:$H$101,'Master P&amp;L'!$B$11:$B$101,Check!B47)))</f>
        <v>-500</v>
      </c>
      <c r="D47" s="187">
        <f>IF(B47="","",SUMIFS(Input_APM!N:N,Input_APM!L:L,Check!B47,Input_APM!M:M,Check!$F$1))</f>
        <v>-470</v>
      </c>
      <c r="E47" s="175">
        <f t="shared" si="5"/>
        <v>0</v>
      </c>
      <c r="F47" s="187">
        <f>IF(B47="","",SUMIFS(Input_APM!N:N,Input_APM!M:M,Check!$F$1,Input_APM!L:L,Check!B47))</f>
        <v>-470</v>
      </c>
      <c r="G47" s="187">
        <f>IF(B47="","",SUMIFS(Input_APM!N:N,Input_APM!M:M,Check!$G$1,Input_APM!L:L,Check!B47))</f>
        <v>0</v>
      </c>
      <c r="H47" s="173">
        <f t="shared" si="0"/>
        <v>-470</v>
      </c>
      <c r="I47" s="173">
        <f>SUMIFS(Input_APM!N:N,Input_APM!L:L,Check!B47)</f>
        <v>-470</v>
      </c>
      <c r="J47" s="175">
        <f t="shared" si="3"/>
        <v>0</v>
      </c>
      <c r="K47" s="21">
        <f>IF(B47="","",SUMIFS('Input_APM (Zenith)'!N:N,'Input_APM (Zenith)'!L:L,Check!B47,'Input_APM (Zenith)'!M:M,Check!$F$1))</f>
        <v>-30</v>
      </c>
      <c r="L47" s="21">
        <f>IF(B47="","",SUMIFS('Input_APM (Zenith)'!N:N,'Input_APM (Zenith)'!L:L,Check!B47,'Input_APM (Zenith)'!M:M,Check!$G$1))</f>
        <v>0</v>
      </c>
      <c r="M47" s="173">
        <f t="shared" si="4"/>
        <v>-500</v>
      </c>
      <c r="O47" t="s">
        <v>1045</v>
      </c>
      <c r="P47" s="173">
        <f>IF(O47="","",IF(OR(LEFT(O47,4)="Cash",LEFT(O47,4)="Prov"),0,SUMIFS(Input_APM!N:N,Input_APM!L:L,Check!O47)))</f>
        <v>142</v>
      </c>
      <c r="Q47" s="21">
        <f>IF(O47="","",IF(LEN(O47)&gt;9,SUMIFS(Options!$H$3:$H$28,Options!$B$3:$B$28,Check!O47),SUMIFS('Master P&amp;L'!$H$11:$H$101,'Master P&amp;L'!$B$11:$B$101,Check!O47)))</f>
        <v>150</v>
      </c>
      <c r="R47" s="173">
        <f t="shared" si="1"/>
        <v>-8</v>
      </c>
      <c r="S47" s="288">
        <f t="shared" si="2"/>
        <v>0.94666666666666666</v>
      </c>
    </row>
    <row r="48" spans="1:22">
      <c r="B48" t="s">
        <v>879</v>
      </c>
      <c r="C48" s="187">
        <f>IF(B48="","",IF(LEN(B48)&gt;9,SUMIFS(Options!$H$3:$H$28,Options!$B$3:$B$28,Check!B48),SUMIFS('Master P&amp;L'!$H$11:$H$101,'Master P&amp;L'!$B$11:$B$101,Check!B48)))</f>
        <v>300</v>
      </c>
      <c r="D48" s="187">
        <f>IF(B48="","",SUMIFS(Input_APM!N:N,Input_APM!L:L,Check!B48,Input_APM!M:M,Check!$F$1))</f>
        <v>284</v>
      </c>
      <c r="E48" s="175">
        <f t="shared" si="5"/>
        <v>0</v>
      </c>
      <c r="F48" s="187">
        <f>IF(B48="","",SUMIFS(Input_APM!N:N,Input_APM!M:M,Check!$F$1,Input_APM!L:L,Check!B48))</f>
        <v>284</v>
      </c>
      <c r="G48" s="187">
        <f>IF(B48="","",SUMIFS(Input_APM!N:N,Input_APM!M:M,Check!$G$1,Input_APM!L:L,Check!B48))</f>
        <v>0</v>
      </c>
      <c r="H48" s="173">
        <f t="shared" si="0"/>
        <v>284</v>
      </c>
      <c r="I48" s="173">
        <f>SUMIFS(Input_APM!N:N,Input_APM!L:L,Check!B48)</f>
        <v>284</v>
      </c>
      <c r="J48" s="175">
        <f t="shared" si="3"/>
        <v>0</v>
      </c>
      <c r="K48" s="21">
        <f>IF(B48="","",SUMIFS('Input_APM (Zenith)'!N:N,'Input_APM (Zenith)'!L:L,Check!B48,'Input_APM (Zenith)'!M:M,Check!$F$1))</f>
        <v>16</v>
      </c>
      <c r="L48" s="21">
        <f>IF(B48="","",SUMIFS('Input_APM (Zenith)'!N:N,'Input_APM (Zenith)'!L:L,Check!B48,'Input_APM (Zenith)'!M:M,Check!$G$1))</f>
        <v>0</v>
      </c>
      <c r="M48" s="173">
        <f t="shared" si="4"/>
        <v>300</v>
      </c>
      <c r="O48" t="s">
        <v>1046</v>
      </c>
      <c r="P48" s="173">
        <f>IF(O48="","",IF(OR(LEFT(O48,4)="Cash",LEFT(O48,4)="Prov"),0,SUMIFS(Input_APM!N:N,Input_APM!L:L,Check!O48)))</f>
        <v>-143</v>
      </c>
      <c r="Q48" s="21">
        <f>IF(O48="","",IF(LEN(O48)&gt;9,SUMIFS(Options!$H$3:$H$28,Options!$B$3:$B$28,Check!O48),SUMIFS('Master P&amp;L'!$H$11:$H$101,'Master P&amp;L'!$B$11:$B$101,Check!O48)))</f>
        <v>-150</v>
      </c>
      <c r="R48" s="173">
        <f t="shared" si="1"/>
        <v>7</v>
      </c>
      <c r="S48" s="288">
        <f t="shared" si="2"/>
        <v>0.95333333333333337</v>
      </c>
    </row>
    <row r="49" spans="1:19">
      <c r="B49" t="s">
        <v>1045</v>
      </c>
      <c r="C49" s="187">
        <f>IF(B49="","",IF(LEN(B49)&gt;9,SUMIFS(Options!$H$3:$H$28,Options!$B$3:$B$28,Check!B49),SUMIFS('Master P&amp;L'!$H$11:$H$101,'Master P&amp;L'!$B$11:$B$101,Check!B49)))</f>
        <v>150</v>
      </c>
      <c r="D49" s="187">
        <f>IF(B49="","",SUMIFS(Input_APM!N:N,Input_APM!L:L,Check!B49,Input_APM!M:M,Check!$F$1))</f>
        <v>142</v>
      </c>
      <c r="E49" s="175">
        <f t="shared" si="5"/>
        <v>0</v>
      </c>
      <c r="F49" s="187">
        <f>IF(B49="","",SUMIFS(Input_APM!N:N,Input_APM!M:M,Check!$F$1,Input_APM!L:L,Check!B49))</f>
        <v>142</v>
      </c>
      <c r="G49" s="187">
        <f>IF(B49="","",SUMIFS(Input_APM!N:N,Input_APM!M:M,Check!$G$1,Input_APM!L:L,Check!B49))</f>
        <v>0</v>
      </c>
      <c r="H49" s="173">
        <f t="shared" si="0"/>
        <v>142</v>
      </c>
      <c r="I49" s="173">
        <f>SUMIFS(Input_APM!N:N,Input_APM!L:L,Check!B49)</f>
        <v>142</v>
      </c>
      <c r="J49" s="175">
        <f t="shared" si="3"/>
        <v>0</v>
      </c>
      <c r="K49" s="21">
        <f>IF(B49="","",SUMIFS('Input_APM (Zenith)'!N:N,'Input_APM (Zenith)'!L:L,Check!B49,'Input_APM (Zenith)'!M:M,Check!$F$1))</f>
        <v>8</v>
      </c>
      <c r="L49" s="21">
        <f>IF(B49="","",SUMIFS('Input_APM (Zenith)'!N:N,'Input_APM (Zenith)'!L:L,Check!B49,'Input_APM (Zenith)'!M:M,Check!$G$1))</f>
        <v>0</v>
      </c>
      <c r="M49" s="173">
        <f t="shared" si="4"/>
        <v>150</v>
      </c>
      <c r="O49" t="s">
        <v>937</v>
      </c>
      <c r="P49" s="173">
        <f>IF(O49="","",IF(OR(LEFT(O49,4)="Cash",LEFT(O49,4)="Prov"),0,SUMIFS(Input_APM!N:N,Input_APM!L:L,Check!O49)))</f>
        <v>-9372000</v>
      </c>
      <c r="Q49" s="21">
        <f>IF(O49="","",IF(LEN(O49)&gt;9,SUMIFS(Options!$H$3:$H$28,Options!$B$3:$B$28,Check!O49),SUMIFS('Master P&amp;L'!$H$11:$H$101,'Master P&amp;L'!$B$11:$B$101,Check!O49)))</f>
        <v>0</v>
      </c>
      <c r="R49" s="173">
        <f t="shared" si="1"/>
        <v>-9372000</v>
      </c>
      <c r="S49" s="288" t="str">
        <f t="shared" si="2"/>
        <v>Erro</v>
      </c>
    </row>
    <row r="50" spans="1:19">
      <c r="A50" t="s">
        <v>441</v>
      </c>
      <c r="B50" t="s">
        <v>1046</v>
      </c>
      <c r="C50" s="187">
        <f>IF(B50="","",IF(LEN(B50)&gt;9,SUMIFS(Options!$H$3:$H$28,Options!$B$3:$B$28,Check!B50),SUMIFS('Master P&amp;L'!$H$11:$H$101,'Master P&amp;L'!$B$11:$B$101,Check!B50)))</f>
        <v>-150</v>
      </c>
      <c r="D50" s="187">
        <f>IF(B50="","",SUMIFS(Input_APM!N:N,Input_APM!L:L,Check!B50,Input_APM!M:M,Check!$F$1))</f>
        <v>-143</v>
      </c>
      <c r="E50" s="175">
        <f t="shared" si="5"/>
        <v>0</v>
      </c>
      <c r="F50" s="187">
        <f>IF(B50="","",SUMIFS(Input_APM!N:N,Input_APM!M:M,Check!$F$1,Input_APM!L:L,Check!B50))</f>
        <v>-143</v>
      </c>
      <c r="G50" s="187">
        <f>IF(B50="","",SUMIFS(Input_APM!N:N,Input_APM!M:M,Check!$G$1,Input_APM!L:L,Check!B50))</f>
        <v>0</v>
      </c>
      <c r="H50" s="173">
        <f t="shared" si="0"/>
        <v>-143</v>
      </c>
      <c r="I50" s="173">
        <f>SUMIFS(Input_APM!N:N,Input_APM!L:L,Check!B50)</f>
        <v>-143</v>
      </c>
      <c r="J50" s="175">
        <f t="shared" si="3"/>
        <v>0</v>
      </c>
      <c r="K50" s="21">
        <f>IF(B50="","",SUMIFS('Input_APM (Zenith)'!N:N,'Input_APM (Zenith)'!L:L,Check!B50,'Input_APM (Zenith)'!M:M,Check!$F$1))</f>
        <v>-7</v>
      </c>
      <c r="L50" s="21">
        <f>IF(B50="","",SUMIFS('Input_APM (Zenith)'!N:N,'Input_APM (Zenith)'!L:L,Check!B50,'Input_APM (Zenith)'!M:M,Check!$G$1))</f>
        <v>0</v>
      </c>
      <c r="M50" s="173">
        <f t="shared" si="4"/>
        <v>-150</v>
      </c>
      <c r="O50" t="s">
        <v>29</v>
      </c>
      <c r="P50" s="173">
        <f>IF(O50="","",IF(OR(LEFT(O50,4)="Cash",LEFT(O50,4)="Prov"),0,SUMIFS(Input_APM!N:N,Input_APM!L:L,Check!O50)))</f>
        <v>7610</v>
      </c>
      <c r="Q50" s="21">
        <f>IF(O50="","",IF(LEN(O50)&gt;9,SUMIFS(Options!$H$3:$H$28,Options!$B$3:$B$28,Check!O50),SUMIFS('Master P&amp;L'!$H$11:$H$101,'Master P&amp;L'!$B$11:$B$101,Check!O50)))</f>
        <v>8100</v>
      </c>
      <c r="R50" s="173">
        <f t="shared" si="1"/>
        <v>-490</v>
      </c>
      <c r="S50" s="288">
        <f t="shared" si="2"/>
        <v>0.93950617283950622</v>
      </c>
    </row>
    <row r="51" spans="1:19">
      <c r="B51" t="s">
        <v>957</v>
      </c>
      <c r="C51" s="187">
        <f>IF(B51="","",IF(LEN(B51)&gt;9,SUMIFS(Options!$H$3:$H$28,Options!$B$3:$B$28,Check!B51),SUMIFS('Master P&amp;L'!$H$11:$H$101,'Master P&amp;L'!$B$11:$B$101,Check!B51)))</f>
        <v>170</v>
      </c>
      <c r="D51" s="187">
        <f>IF(B51="","",SUMIFS(Input_APM!N:N,Input_APM!L:L,Check!B51,Input_APM!M:M,Check!$F$1))</f>
        <v>161</v>
      </c>
      <c r="E51" s="175">
        <f t="shared" si="5"/>
        <v>0</v>
      </c>
      <c r="F51" s="187">
        <f>IF(B51="","",SUMIFS(Input_APM!N:N,Input_APM!M:M,Check!$F$1,Input_APM!L:L,Check!B51))</f>
        <v>161</v>
      </c>
      <c r="G51" s="187">
        <f>IF(B51="","",SUMIFS(Input_APM!N:N,Input_APM!M:M,Check!$G$1,Input_APM!L:L,Check!B51))</f>
        <v>0</v>
      </c>
      <c r="H51" s="173">
        <f t="shared" si="0"/>
        <v>161</v>
      </c>
      <c r="I51" s="173">
        <f>SUMIFS(Input_APM!N:N,Input_APM!L:L,Check!B51)</f>
        <v>161</v>
      </c>
      <c r="J51" s="175">
        <f t="shared" si="3"/>
        <v>0</v>
      </c>
      <c r="K51" s="21">
        <f>IF(B51="","",SUMIFS('Input_APM (Zenith)'!N:N,'Input_APM (Zenith)'!L:L,Check!B51,'Input_APM (Zenith)'!M:M,Check!$F$1))</f>
        <v>9</v>
      </c>
      <c r="L51" s="21">
        <f>IF(B51="","",SUMIFS('Input_APM (Zenith)'!N:N,'Input_APM (Zenith)'!L:L,Check!B51,'Input_APM (Zenith)'!M:M,Check!$G$1))</f>
        <v>0</v>
      </c>
      <c r="M51" s="173">
        <f t="shared" si="4"/>
        <v>170</v>
      </c>
      <c r="O51" t="s">
        <v>957</v>
      </c>
      <c r="P51" s="173">
        <f>IF(O51="","",IF(OR(LEFT(O51,4)="Cash",LEFT(O51,4)="Prov"),0,SUMIFS(Input_APM!N:N,Input_APM!L:L,Check!O51)))</f>
        <v>161</v>
      </c>
      <c r="Q51" s="21">
        <f>IF(O51="","",IF(LEN(O51)&gt;9,SUMIFS(Options!$H$3:$H$28,Options!$B$3:$B$28,Check!O51),SUMIFS('Master P&amp;L'!$H$11:$H$101,'Master P&amp;L'!$B$11:$B$101,Check!O51)))</f>
        <v>170</v>
      </c>
      <c r="R51" s="173">
        <f t="shared" si="1"/>
        <v>-9</v>
      </c>
      <c r="S51" s="288">
        <f t="shared" si="2"/>
        <v>0.94705882352941173</v>
      </c>
    </row>
    <row r="52" spans="1:19">
      <c r="B52" t="s">
        <v>845</v>
      </c>
      <c r="C52" s="187">
        <f>IF(B52="","",IF(LEN(B52)&gt;9,SUMIFS(Options!$H$3:$H$28,Options!$B$3:$B$28,Check!B52),SUMIFS('Master P&amp;L'!$H$11:$H$101,'Master P&amp;L'!$B$11:$B$101,Check!B52)))</f>
        <v>450</v>
      </c>
      <c r="D52" s="187">
        <f>IF(B52="","",SUMIFS(Input_APM!N:N,Input_APM!L:L,Check!B52,Input_APM!M:M,Check!$F$1))</f>
        <v>422</v>
      </c>
      <c r="E52" s="173">
        <f>IF(B52="","",C52-M52)</f>
        <v>0</v>
      </c>
      <c r="F52" s="187">
        <f>IF(B52="","",SUMIFS(Input_APM!N:N,Input_APM!M:M,Check!$F$1,Input_APM!L:L,Check!B52))</f>
        <v>422</v>
      </c>
      <c r="G52" s="187">
        <f>IF(B52="","",SUMIFS(Input_APM!N:N,Input_APM!M:M,Check!$G$1,Input_APM!L:L,Check!B52))</f>
        <v>0</v>
      </c>
      <c r="H52" s="173">
        <f t="shared" si="0"/>
        <v>422</v>
      </c>
      <c r="I52" s="173">
        <f>SUMIFS(Input_APM!N:N,Input_APM!L:L,Check!B52)</f>
        <v>422</v>
      </c>
      <c r="J52" s="175">
        <f t="shared" si="3"/>
        <v>0</v>
      </c>
      <c r="K52" s="21">
        <f>IF(B52="","",SUMIFS('Input_APM (Zenith)'!N:N,'Input_APM (Zenith)'!L:L,Check!B52,'Input_APM (Zenith)'!M:M,Check!$F$1))</f>
        <v>28</v>
      </c>
      <c r="L52" s="21">
        <f>IF(B52="","",SUMIFS('Input_APM (Zenith)'!N:N,'Input_APM (Zenith)'!L:L,Check!B52,'Input_APM (Zenith)'!M:M,Check!$G$1))</f>
        <v>0</v>
      </c>
      <c r="M52" s="173">
        <f t="shared" si="4"/>
        <v>450</v>
      </c>
      <c r="O52" t="s">
        <v>85</v>
      </c>
      <c r="P52" s="173">
        <f>IF(O52="","",IF(OR(LEFT(O52,4)="Cash",LEFT(O52,4)="Prov"),0,SUMIFS(Input_APM!N:N,Input_APM!L:L,Check!O52)))</f>
        <v>-5262</v>
      </c>
      <c r="Q52" s="21">
        <f>IF(O52="","",IF(LEN(O52)&gt;9,SUMIFS(Options!$H$3:$H$28,Options!$B$3:$B$28,Check!O52),SUMIFS('Master P&amp;L'!$H$11:$H$101,'Master P&amp;L'!$B$11:$B$101,Check!O52)))</f>
        <v>-5600</v>
      </c>
      <c r="R52" s="173">
        <f t="shared" si="1"/>
        <v>338</v>
      </c>
      <c r="S52" s="288">
        <f t="shared" si="2"/>
        <v>0.93964285714285711</v>
      </c>
    </row>
    <row r="53" spans="1:19">
      <c r="B53" t="s">
        <v>979</v>
      </c>
      <c r="C53" s="187">
        <f>IF(B53="","",IF(LEN(B53)&gt;9,SUMIFS(Options!$H$3:$H$28,Options!$B$3:$B$28,Check!B53),SUMIFS('Master P&amp;L'!$H$11:$H$101,'Master P&amp;L'!$B$11:$B$101,Check!B53)))</f>
        <v>-450</v>
      </c>
      <c r="D53" s="187">
        <f>IF(B53="","",SUMIFS(Input_APM!N:N,Input_APM!L:L,Check!B53,Input_APM!M:M,Check!$F$1))</f>
        <v>-422</v>
      </c>
      <c r="E53" s="173">
        <f>IF(B53="","",C53-M53)</f>
        <v>0</v>
      </c>
      <c r="F53" s="187">
        <f>IF(B53="","",SUMIFS(Input_APM!N:N,Input_APM!M:M,Check!$F$1,Input_APM!L:L,Check!B53))</f>
        <v>-422</v>
      </c>
      <c r="G53" s="187">
        <f>IF(B53="","",SUMIFS(Input_APM!N:N,Input_APM!M:M,Check!$G$1,Input_APM!L:L,Check!B53))</f>
        <v>0</v>
      </c>
      <c r="H53" s="173">
        <f t="shared" si="0"/>
        <v>-422</v>
      </c>
      <c r="I53" s="173">
        <f>SUMIFS(Input_APM!N:N,Input_APM!L:L,Check!B53)</f>
        <v>-422</v>
      </c>
      <c r="J53" s="175">
        <f t="shared" si="3"/>
        <v>0</v>
      </c>
      <c r="K53" s="21">
        <f>IF(B53="","",SUMIFS('Input_APM (Zenith)'!N:N,'Input_APM (Zenith)'!L:L,Check!B53,'Input_APM (Zenith)'!M:M,Check!$F$1))</f>
        <v>-28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-450</v>
      </c>
      <c r="O53" t="s">
        <v>979</v>
      </c>
      <c r="P53" s="173">
        <f>IF(O53="","",IF(OR(LEFT(O53,4)="Cash",LEFT(O53,4)="Prov"),0,SUMIFS(Input_APM!N:N,Input_APM!L:L,Check!O53)))</f>
        <v>-422</v>
      </c>
      <c r="Q53" s="21">
        <f>IF(O53="","",IF(LEN(O53)&gt;9,SUMIFS(Options!$H$3:$H$28,Options!$B$3:$B$28,Check!O53),SUMIFS('Master P&amp;L'!$H$11:$H$101,'Master P&amp;L'!$B$11:$B$101,Check!O53)))</f>
        <v>-450</v>
      </c>
      <c r="R53" s="173">
        <f t="shared" si="1"/>
        <v>28</v>
      </c>
      <c r="S53" s="288">
        <f t="shared" si="2"/>
        <v>0.93777777777777782</v>
      </c>
    </row>
    <row r="54" spans="1:19">
      <c r="B54" t="s">
        <v>980</v>
      </c>
      <c r="C54" s="187">
        <f>IF(B54="","",IF(LEN(B54)&gt;9,SUMIFS(Options!$H$3:$H$28,Options!$B$3:$B$28,Check!B54),SUMIFS('Master P&amp;L'!$H$11:$H$101,'Master P&amp;L'!$B$11:$B$101,Check!B54)))</f>
        <v>-300</v>
      </c>
      <c r="D54" s="187">
        <f>IF(B54="","",SUMIFS(Input_APM!N:N,Input_APM!L:L,Check!B54,Input_APM!M:M,Check!$F$1))</f>
        <v>-282</v>
      </c>
      <c r="E54" s="175">
        <f t="shared" si="5"/>
        <v>0</v>
      </c>
      <c r="F54" s="187">
        <f>IF(B54="","",SUMIFS(Input_APM!N:N,Input_APM!M:M,Check!$F$1,Input_APM!L:L,Check!B54))</f>
        <v>-282</v>
      </c>
      <c r="G54" s="187">
        <f>IF(B54="","",SUMIFS(Input_APM!N:N,Input_APM!M:M,Check!$G$1,Input_APM!L:L,Check!B54))</f>
        <v>0</v>
      </c>
      <c r="H54" s="173">
        <f t="shared" si="0"/>
        <v>-282</v>
      </c>
      <c r="I54" s="173">
        <f>SUMIFS(Input_APM!N:N,Input_APM!L:L,Check!B54)</f>
        <v>-282</v>
      </c>
      <c r="J54" s="175">
        <f t="shared" si="3"/>
        <v>0</v>
      </c>
      <c r="K54" s="21">
        <f>IF(B54="","",SUMIFS('Input_APM (Zenith)'!N:N,'Input_APM (Zenith)'!L:L,Check!B54,'Input_APM (Zenith)'!M:M,Check!$F$1))</f>
        <v>-18</v>
      </c>
      <c r="L54" s="21">
        <f>IF(B54="","",SUMIFS('Input_APM (Zenith)'!N:N,'Input_APM (Zenith)'!L:L,Check!B54,'Input_APM (Zenith)'!M:M,Check!$G$1))</f>
        <v>0</v>
      </c>
      <c r="M54" s="173">
        <f t="shared" si="4"/>
        <v>-300</v>
      </c>
      <c r="O54" t="s">
        <v>845</v>
      </c>
      <c r="P54" s="173">
        <f>IF(O54="","",IF(OR(LEFT(O54,4)="Cash",LEFT(O54,4)="Prov"),0,SUMIFS(Input_APM!N:N,Input_APM!L:L,Check!O54)))</f>
        <v>422</v>
      </c>
      <c r="Q54" s="21">
        <f>IF(O54="","",IF(LEN(O54)&gt;9,SUMIFS(Options!$H$3:$H$28,Options!$B$3:$B$28,Check!O54),SUMIFS('Master P&amp;L'!$H$11:$H$101,'Master P&amp;L'!$B$11:$B$101,Check!O54)))</f>
        <v>450</v>
      </c>
      <c r="R54" s="173">
        <f t="shared" si="1"/>
        <v>-28</v>
      </c>
      <c r="S54" s="288">
        <f t="shared" si="2"/>
        <v>0.93777777777777782</v>
      </c>
    </row>
    <row r="55" spans="1:19">
      <c r="B55" t="s">
        <v>981</v>
      </c>
      <c r="C55" s="187">
        <f>IF(B55="","",IF(LEN(B55)&gt;9,SUMIFS(Options!$H$3:$H$28,Options!$B$3:$B$28,Check!B55),SUMIFS('Master P&amp;L'!$H$11:$H$101,'Master P&amp;L'!$B$11:$B$101,Check!B55)))</f>
        <v>-100</v>
      </c>
      <c r="D55" s="187">
        <f>IF(B55="","",SUMIFS(Input_APM!N:N,Input_APM!L:L,Check!B55,Input_APM!M:M,Check!$F$1))</f>
        <v>-94</v>
      </c>
      <c r="E55" s="175">
        <f t="shared" si="5"/>
        <v>0</v>
      </c>
      <c r="F55" s="187">
        <f>IF(B55="","",SUMIFS(Input_APM!N:N,Input_APM!M:M,Check!$F$1,Input_APM!L:L,Check!B55))</f>
        <v>-94</v>
      </c>
      <c r="G55" s="187">
        <f>IF(B55="","",SUMIFS(Input_APM!N:N,Input_APM!M:M,Check!$G$1,Input_APM!L:L,Check!B55))</f>
        <v>0</v>
      </c>
      <c r="H55" s="173">
        <f t="shared" si="0"/>
        <v>-94</v>
      </c>
      <c r="I55" s="173">
        <f>SUMIFS(Input_APM!N:N,Input_APM!L:L,Check!B55)</f>
        <v>-94</v>
      </c>
      <c r="J55" s="175">
        <f t="shared" si="3"/>
        <v>0</v>
      </c>
      <c r="K55" s="21">
        <f>IF(B55="","",SUMIFS('Input_APM (Zenith)'!N:N,'Input_APM (Zenith)'!L:L,Check!B55,'Input_APM (Zenith)'!M:M,Check!$F$1))</f>
        <v>-6</v>
      </c>
      <c r="L55" s="21">
        <f>IF(B55="","",SUMIFS('Input_APM (Zenith)'!N:N,'Input_APM (Zenith)'!L:L,Check!B55,'Input_APM (Zenith)'!M:M,Check!$G$1))</f>
        <v>0</v>
      </c>
      <c r="M55" s="173">
        <f t="shared" si="4"/>
        <v>-100</v>
      </c>
      <c r="O55" t="s">
        <v>1123</v>
      </c>
      <c r="P55" s="173">
        <f>IF(O55="","",IF(OR(LEFT(O55,4)="Cash",LEFT(O55,4)="Prov"),0,SUMIFS(Input_APM!N:N,Input_APM!L:L,Check!O55)))</f>
        <v>-4694500</v>
      </c>
      <c r="Q55" s="21">
        <f>IF(O55="","",IF(LEN(O55)&gt;9,SUMIFS(Options!$H$3:$H$28,Options!$B$3:$B$28,Check!O55),SUMIFS('Master P&amp;L'!$H$11:$H$101,'Master P&amp;L'!$B$11:$B$101,Check!O55)))</f>
        <v>0</v>
      </c>
      <c r="R55" s="173">
        <f t="shared" si="1"/>
        <v>-4694500</v>
      </c>
      <c r="S55" s="288" t="str">
        <f t="shared" si="2"/>
        <v>Erro</v>
      </c>
    </row>
    <row r="56" spans="1:19">
      <c r="B56" t="s">
        <v>923</v>
      </c>
      <c r="C56" s="187">
        <f>IF(B56="","",IF(LEN(B56)&gt;9,SUMIFS(Options!$H$3:$H$28,Options!$B$3:$B$28,Check!B56),SUMIFS('Master P&amp;L'!$H$11:$H$101,'Master P&amp;L'!$B$11:$B$101,Check!B56)))</f>
        <v>150</v>
      </c>
      <c r="D56" s="187">
        <f>IF(B56="","",SUMIFS(Input_APM!N:N,Input_APM!L:L,Check!B56,Input_APM!M:M,Check!$F$1))</f>
        <v>142</v>
      </c>
      <c r="E56" s="175">
        <f t="shared" si="5"/>
        <v>0</v>
      </c>
      <c r="F56" s="187">
        <f>IF(B56="","",SUMIFS(Input_APM!N:N,Input_APM!M:M,Check!$F$1,Input_APM!L:L,Check!B56))</f>
        <v>142</v>
      </c>
      <c r="G56" s="187">
        <f>IF(B56="","",SUMIFS(Input_APM!N:N,Input_APM!M:M,Check!$G$1,Input_APM!L:L,Check!B56))</f>
        <v>0</v>
      </c>
      <c r="H56" s="173">
        <f t="shared" si="0"/>
        <v>142</v>
      </c>
      <c r="I56" s="173">
        <f>SUMIFS(Input_APM!N:N,Input_APM!L:L,Check!B56)</f>
        <v>142</v>
      </c>
      <c r="J56" s="175">
        <f t="shared" si="3"/>
        <v>0</v>
      </c>
      <c r="K56" s="21">
        <f>IF(B56="","",SUMIFS('Input_APM (Zenith)'!N:N,'Input_APM (Zenith)'!L:L,Check!B56,'Input_APM (Zenith)'!M:M,Check!$F$1))</f>
        <v>8</v>
      </c>
      <c r="L56" s="21">
        <f>IF(B56="","",SUMIFS('Input_APM (Zenith)'!N:N,'Input_APM (Zenith)'!L:L,Check!B56,'Input_APM (Zenith)'!M:M,Check!$G$1))</f>
        <v>0</v>
      </c>
      <c r="M56" s="173">
        <f t="shared" si="4"/>
        <v>150</v>
      </c>
      <c r="O56" t="s">
        <v>980</v>
      </c>
      <c r="P56" s="173">
        <f>IF(O56="","",IF(OR(LEFT(O56,4)="Cash",LEFT(O56,4)="Prov"),0,SUMIFS(Input_APM!N:N,Input_APM!L:L,Check!O56)))</f>
        <v>-282</v>
      </c>
      <c r="Q56" s="21">
        <f>IF(O56="","",IF(LEN(O56)&gt;9,SUMIFS(Options!$H$3:$H$28,Options!$B$3:$B$28,Check!O56),SUMIFS('Master P&amp;L'!$H$11:$H$101,'Master P&amp;L'!$B$11:$B$101,Check!O56)))</f>
        <v>-300</v>
      </c>
      <c r="R56" s="173">
        <f t="shared" si="1"/>
        <v>18</v>
      </c>
      <c r="S56" s="288">
        <f t="shared" si="2"/>
        <v>0.94</v>
      </c>
    </row>
    <row r="57" spans="1:19">
      <c r="B57" t="s">
        <v>1069</v>
      </c>
      <c r="C57" s="187">
        <f>IF(B57="","",IF(LEN(B57)&gt;9,SUMIFS(Options!$H$3:$H$28,Options!$B$3:$B$28,Check!B57),SUMIFS('Master P&amp;L'!$H$11:$H$101,'Master P&amp;L'!$B$11:$B$101,Check!B57)))</f>
        <v>725</v>
      </c>
      <c r="D57" s="187">
        <f>IF(B57="","",SUMIFS(Input_APM!N:N,Input_APM!L:L,Check!B57,Input_APM!M:M,Check!$F$1))</f>
        <v>681</v>
      </c>
      <c r="E57" s="175">
        <f>IF(B57="","",C57-M57)</f>
        <v>0</v>
      </c>
      <c r="F57" s="187">
        <f>IF(B57="","",SUMIFS(Input_APM!N:N,Input_APM!M:M,Check!$F$1,Input_APM!L:L,Check!B57))</f>
        <v>681</v>
      </c>
      <c r="G57" s="187">
        <f>IF(B57="","",SUMIFS(Input_APM!N:N,Input_APM!M:M,Check!$G$1,Input_APM!L:L,Check!B57))</f>
        <v>0</v>
      </c>
      <c r="H57" s="173">
        <f t="shared" si="0"/>
        <v>681</v>
      </c>
      <c r="I57" s="173">
        <f>SUMIFS(Input_APM!N:N,Input_APM!L:L,Check!B57)</f>
        <v>681</v>
      </c>
      <c r="J57" s="175">
        <f t="shared" si="3"/>
        <v>0</v>
      </c>
      <c r="K57" s="21">
        <f>IF(B57="","",SUMIFS('Input_APM (Zenith)'!N:N,'Input_APM (Zenith)'!L:L,Check!B57,'Input_APM (Zenith)'!M:M,Check!$F$1))</f>
        <v>44</v>
      </c>
      <c r="L57" s="21">
        <f>IF(B57="","",SUMIFS('Input_APM (Zenith)'!N:N,'Input_APM (Zenith)'!L:L,Check!B57,'Input_APM (Zenith)'!M:M,Check!$G$1))</f>
        <v>0</v>
      </c>
      <c r="M57" s="173">
        <f t="shared" si="4"/>
        <v>725</v>
      </c>
      <c r="O57" t="s">
        <v>981</v>
      </c>
      <c r="P57" s="173">
        <f>IF(O57="","",IF(OR(LEFT(O57,4)="Cash",LEFT(O57,4)="Prov"),0,SUMIFS(Input_APM!N:N,Input_APM!L:L,Check!O57)))</f>
        <v>-94</v>
      </c>
      <c r="Q57" s="21">
        <f>IF(O57="","",IF(LEN(O57)&gt;9,SUMIFS(Options!$H$3:$H$28,Options!$B$3:$B$28,Check!O57),SUMIFS('Master P&amp;L'!$H$11:$H$101,'Master P&amp;L'!$B$11:$B$101,Check!O57)))</f>
        <v>-100</v>
      </c>
      <c r="R57" s="173">
        <f t="shared" si="1"/>
        <v>6</v>
      </c>
      <c r="S57" s="288">
        <f t="shared" si="2"/>
        <v>0.94</v>
      </c>
    </row>
    <row r="58" spans="1:19">
      <c r="B58" t="s">
        <v>1070</v>
      </c>
      <c r="C58" s="187">
        <f>IF(B58="","",IF(LEN(B58)&gt;9,SUMIFS(Options!$H$3:$H$28,Options!$B$3:$B$28,Check!B58),SUMIFS('Master P&amp;L'!$H$11:$H$101,'Master P&amp;L'!$B$11:$B$101,Check!B58)))</f>
        <v>-725</v>
      </c>
      <c r="D58" s="187">
        <f>IF(B58="","",SUMIFS(Input_APM!N:N,Input_APM!L:L,Check!B58,Input_APM!M:M,Check!$F$1))</f>
        <v>-680</v>
      </c>
      <c r="E58" s="173">
        <f t="shared" si="5"/>
        <v>0</v>
      </c>
      <c r="F58" s="187">
        <f>IF(B58="","",SUMIFS(Input_APM!N:N,Input_APM!M:M,Check!$F$1,Input_APM!L:L,Check!B58))</f>
        <v>-680</v>
      </c>
      <c r="G58" s="187">
        <f>IF(B58="","",SUMIFS(Input_APM!N:N,Input_APM!M:M,Check!$G$1,Input_APM!L:L,Check!B58))</f>
        <v>0</v>
      </c>
      <c r="H58" s="173">
        <f t="shared" si="0"/>
        <v>-680</v>
      </c>
      <c r="I58" s="173">
        <f>SUMIFS(Input_APM!N:N,Input_APM!L:L,Check!B58)</f>
        <v>-680</v>
      </c>
      <c r="J58" s="175">
        <f t="shared" si="3"/>
        <v>0</v>
      </c>
      <c r="K58" s="21">
        <f>IF(B58="","",SUMIFS('Input_APM (Zenith)'!N:N,'Input_APM (Zenith)'!L:L,Check!B58,'Input_APM (Zenith)'!M:M,Check!$F$1))</f>
        <v>-45</v>
      </c>
      <c r="L58" s="21">
        <f>IF(B58="","",SUMIFS('Input_APM (Zenith)'!N:N,'Input_APM (Zenith)'!L:L,Check!B58,'Input_APM (Zenith)'!M:M,Check!$G$1))</f>
        <v>0</v>
      </c>
      <c r="M58" s="173">
        <f t="shared" si="4"/>
        <v>-725</v>
      </c>
      <c r="O58" t="s">
        <v>963</v>
      </c>
      <c r="P58" s="173">
        <f>IF(O58="","",IF(OR(LEFT(O58,4)="Cash",LEFT(O58,4)="Prov"),0,SUMIFS(Input_APM!N:N,Input_APM!L:L,Check!O58)))</f>
        <v>-14</v>
      </c>
      <c r="Q58" s="21">
        <f>IF(O58="","",IF(LEN(O58)&gt;9,SUMIFS(Options!$H$3:$H$28,Options!$B$3:$B$28,Check!O58),SUMIFS('Master P&amp;L'!$H$11:$H$101,'Master P&amp;L'!$B$11:$B$101,Check!O58)))</f>
        <v>0</v>
      </c>
      <c r="R58" s="173">
        <f t="shared" si="1"/>
        <v>-14</v>
      </c>
      <c r="S58" s="288" t="str">
        <f t="shared" si="2"/>
        <v>Erro</v>
      </c>
    </row>
    <row r="59" spans="1:19">
      <c r="B59" t="s">
        <v>1096</v>
      </c>
      <c r="C59" s="187">
        <f>IF(B59="","",IF(LEN(B59)&gt;9,SUMIFS(Options!$H$3:$H$28,Options!$B$3:$B$28,Check!B59),SUMIFS('Master P&amp;L'!$H$11:$H$101,'Master P&amp;L'!$B$11:$B$101,Check!B59)))</f>
        <v>900</v>
      </c>
      <c r="D59" s="187">
        <f>IF(B59="","",SUMIFS(Input_APM!N:N,Input_APM!L:L,Check!B59,Input_APM!M:M,Check!$F$1))</f>
        <v>846</v>
      </c>
      <c r="E59" s="173">
        <f t="shared" si="5"/>
        <v>0</v>
      </c>
      <c r="F59" s="187">
        <f>IF(B59="","",SUMIFS(Input_APM!N:N,Input_APM!M:M,Check!$F$1,Input_APM!L:L,Check!B59))</f>
        <v>846</v>
      </c>
      <c r="G59" s="187">
        <f>IF(B59="","",SUMIFS(Input_APM!N:N,Input_APM!M:M,Check!$G$1,Input_APM!L:L,Check!B59))</f>
        <v>0</v>
      </c>
      <c r="H59" s="173">
        <f t="shared" si="0"/>
        <v>846</v>
      </c>
      <c r="I59" s="173">
        <f>SUMIFS(Input_APM!N:N,Input_APM!L:L,Check!B59)</f>
        <v>846</v>
      </c>
      <c r="J59" s="175">
        <f t="shared" si="3"/>
        <v>0</v>
      </c>
      <c r="K59" s="21">
        <f>IF(B59="","",SUMIFS('Input_APM (Zenith)'!N:N,'Input_APM (Zenith)'!L:L,Check!B59,'Input_APM (Zenith)'!M:M,Check!$F$1))</f>
        <v>54</v>
      </c>
      <c r="L59" s="21">
        <f>IF(B59="","",SUMIFS('Input_APM (Zenith)'!N:N,'Input_APM (Zenith)'!L:L,Check!B59,'Input_APM (Zenith)'!M:M,Check!$G$1))</f>
        <v>0</v>
      </c>
      <c r="M59" s="173">
        <f t="shared" si="4"/>
        <v>900</v>
      </c>
      <c r="O59" t="s">
        <v>42</v>
      </c>
      <c r="P59" s="173">
        <f>IF(O59="","",IF(OR(LEFT(O59,4)="Cash",LEFT(O59,4)="Prov"),0,SUMIFS(Input_APM!N:N,Input_APM!L:L,Check!O59)))</f>
        <v>49407</v>
      </c>
      <c r="Q59" s="21">
        <f>IF(O59="","",IF(LEN(O59)&gt;9,SUMIFS(Options!$H$3:$H$28,Options!$B$3:$B$28,Check!O59),SUMIFS('Master P&amp;L'!$H$11:$H$101,'Master P&amp;L'!$B$11:$B$101,Check!O59)))</f>
        <v>55970</v>
      </c>
      <c r="R59" s="173">
        <f t="shared" si="1"/>
        <v>-6563</v>
      </c>
      <c r="S59" s="288">
        <f t="shared" si="2"/>
        <v>0.88274075397534391</v>
      </c>
    </row>
    <row r="60" spans="1:19">
      <c r="B60" t="s">
        <v>1068</v>
      </c>
      <c r="C60" s="187">
        <f>IF(B60="","",IF(LEN(B60)&gt;9,SUMIFS(Options!$H$3:$H$28,Options!$B$3:$B$28,Check!B60),SUMIFS('Master P&amp;L'!$H$11:$H$101,'Master P&amp;L'!$B$11:$B$101,Check!B60)))</f>
        <v>-900</v>
      </c>
      <c r="D60" s="187">
        <f>IF(B60="","",SUMIFS(Input_APM!N:N,Input_APM!L:L,Check!B60,Input_APM!M:M,Check!$F$1))</f>
        <v>-846</v>
      </c>
      <c r="E60" s="175">
        <f t="shared" si="5"/>
        <v>0</v>
      </c>
      <c r="F60" s="187">
        <f>IF(B60="","",SUMIFS(Input_APM!N:N,Input_APM!M:M,Check!$F$1,Input_APM!L:L,Check!B60))</f>
        <v>-846</v>
      </c>
      <c r="G60" s="187">
        <f>IF(B60="","",SUMIFS(Input_APM!N:N,Input_APM!M:M,Check!$G$1,Input_APM!L:L,Check!B60))</f>
        <v>0</v>
      </c>
      <c r="H60" s="173">
        <f t="shared" si="0"/>
        <v>-846</v>
      </c>
      <c r="I60" s="173">
        <f>SUMIFS(Input_APM!N:N,Input_APM!L:L,Check!B60)</f>
        <v>-846</v>
      </c>
      <c r="J60" s="175">
        <f t="shared" si="3"/>
        <v>0</v>
      </c>
      <c r="K60" s="21">
        <f>IF(B60="","",SUMIFS('Input_APM (Zenith)'!N:N,'Input_APM (Zenith)'!L:L,Check!B60,'Input_APM (Zenith)'!M:M,Check!$F$1))</f>
        <v>-54</v>
      </c>
      <c r="L60" s="21">
        <f>IF(B60="","",SUMIFS('Input_APM (Zenith)'!N:N,'Input_APM (Zenith)'!L:L,Check!B60,'Input_APM (Zenith)'!M:M,Check!$G$1))</f>
        <v>0</v>
      </c>
      <c r="M60" s="173">
        <f t="shared" si="4"/>
        <v>-900</v>
      </c>
      <c r="O60" t="s">
        <v>1069</v>
      </c>
      <c r="P60" s="173">
        <f>IF(O60="","",IF(OR(LEFT(O60,4)="Cash",LEFT(O60,4)="Prov"),0,SUMIFS(Input_APM!N:N,Input_APM!L:L,Check!O60)))</f>
        <v>681</v>
      </c>
      <c r="Q60" s="21">
        <f>IF(O60="","",IF(LEN(O60)&gt;9,SUMIFS(Options!$H$3:$H$28,Options!$B$3:$B$28,Check!O60),SUMIFS('Master P&amp;L'!$H$11:$H$101,'Master P&amp;L'!$B$11:$B$101,Check!O60)))</f>
        <v>725</v>
      </c>
      <c r="R60" s="173">
        <f t="shared" si="1"/>
        <v>-44</v>
      </c>
      <c r="S60" s="288">
        <f t="shared" si="2"/>
        <v>0.93931034482758624</v>
      </c>
    </row>
    <row r="61" spans="1:19">
      <c r="B61" t="s">
        <v>1095</v>
      </c>
      <c r="C61" s="187">
        <f>IF(B61="","",IF(LEN(B61)&gt;9,SUMIFS(Options!$H$3:$H$28,Options!$B$3:$B$28,Check!B61),SUMIFS('Master P&amp;L'!$H$11:$H$101,'Master P&amp;L'!$B$11:$B$101,Check!B61)))</f>
        <v>200</v>
      </c>
      <c r="D61" s="187">
        <f>IF(B61="","",SUMIFS(Input_APM!N:N,Input_APM!L:L,Check!B61,Input_APM!M:M,Check!$F$1))</f>
        <v>188</v>
      </c>
      <c r="E61" s="173">
        <f t="shared" si="5"/>
        <v>0</v>
      </c>
      <c r="F61" s="187">
        <f>IF(B61="","",SUMIFS(Input_APM!N:N,Input_APM!M:M,Check!$F$1,Input_APM!L:L,Check!B61))</f>
        <v>188</v>
      </c>
      <c r="G61" s="187">
        <f>IF(B61="","",SUMIFS(Input_APM!N:N,Input_APM!M:M,Check!$G$1,Input_APM!L:L,Check!B61))</f>
        <v>0</v>
      </c>
      <c r="H61" s="173">
        <f t="shared" si="0"/>
        <v>188</v>
      </c>
      <c r="I61" s="173">
        <f>SUMIFS(Input_APM!N:N,Input_APM!L:L,Check!B61)</f>
        <v>188</v>
      </c>
      <c r="J61" s="175">
        <f t="shared" si="3"/>
        <v>0</v>
      </c>
      <c r="K61" s="21">
        <f>IF(B61="","",SUMIFS('Input_APM (Zenith)'!N:N,'Input_APM (Zenith)'!L:L,Check!B61,'Input_APM (Zenith)'!M:M,Check!$F$1))</f>
        <v>12</v>
      </c>
      <c r="L61" s="21">
        <f>IF(B61="","",SUMIFS('Input_APM (Zenith)'!N:N,'Input_APM (Zenith)'!L:L,Check!B61,'Input_APM (Zenith)'!M:M,Check!$G$1))</f>
        <v>0</v>
      </c>
      <c r="M61" s="173">
        <f t="shared" si="4"/>
        <v>200</v>
      </c>
      <c r="O61" t="s">
        <v>1070</v>
      </c>
      <c r="P61" s="173">
        <f>IF(O61="","",IF(OR(LEFT(O61,4)="Cash",LEFT(O61,4)="Prov"),0,SUMIFS(Input_APM!N:N,Input_APM!L:L,Check!O61)))</f>
        <v>-680</v>
      </c>
      <c r="Q61" s="21">
        <f>IF(O61="","",IF(LEN(O61)&gt;9,SUMIFS(Options!$H$3:$H$28,Options!$B$3:$B$28,Check!O61),SUMIFS('Master P&amp;L'!$H$11:$H$101,'Master P&amp;L'!$B$11:$B$101,Check!O61)))</f>
        <v>-725</v>
      </c>
      <c r="R61" s="173">
        <f t="shared" si="1"/>
        <v>45</v>
      </c>
      <c r="S61" s="288">
        <f t="shared" si="2"/>
        <v>0.93793103448275861</v>
      </c>
    </row>
    <row r="62" spans="1:19">
      <c r="B62" t="s">
        <v>1097</v>
      </c>
      <c r="C62" s="187">
        <f>IF(B62="","",IF(LEN(B62)&gt;9,SUMIFS(Options!$H$3:$H$28,Options!$B$3:$B$28,Check!B62),SUMIFS('Master P&amp;L'!$H$11:$H$101,'Master P&amp;L'!$B$11:$B$101,Check!B62)))</f>
        <v>-200</v>
      </c>
      <c r="D62" s="187">
        <f>IF(B62="","",SUMIFS(Input_APM!N:N,Input_APM!L:L,Check!B62,Input_APM!M:M,Check!$F$1))</f>
        <v>-188</v>
      </c>
      <c r="E62" s="175">
        <f t="shared" si="5"/>
        <v>0</v>
      </c>
      <c r="F62" s="187">
        <f>IF(B62="","",SUMIFS(Input_APM!N:N,Input_APM!M:M,Check!$F$1,Input_APM!L:L,Check!B62))</f>
        <v>-188</v>
      </c>
      <c r="G62" s="187">
        <f>IF(B62="","",SUMIFS(Input_APM!N:N,Input_APM!M:M,Check!$G$1,Input_APM!L:L,Check!B62))</f>
        <v>0</v>
      </c>
      <c r="H62" s="173">
        <f t="shared" si="0"/>
        <v>-188</v>
      </c>
      <c r="I62" s="173">
        <f>SUMIFS(Input_APM!N:N,Input_APM!L:L,Check!B62)</f>
        <v>-188</v>
      </c>
      <c r="J62" s="175">
        <f t="shared" si="3"/>
        <v>0</v>
      </c>
      <c r="K62" s="21">
        <f>IF(B62="","",SUMIFS('Input_APM (Zenith)'!N:N,'Input_APM (Zenith)'!L:L,Check!B62,'Input_APM (Zenith)'!M:M,Check!$F$1))</f>
        <v>-12</v>
      </c>
      <c r="L62" s="21">
        <f>IF(B62="","",SUMIFS('Input_APM (Zenith)'!N:N,'Input_APM (Zenith)'!L:L,Check!B62,'Input_APM (Zenith)'!M:M,Check!$G$1))</f>
        <v>0</v>
      </c>
      <c r="M62" s="173">
        <f t="shared" si="4"/>
        <v>-200</v>
      </c>
      <c r="O62" t="s">
        <v>923</v>
      </c>
      <c r="P62" s="173">
        <f>IF(O62="","",IF(OR(LEFT(O62,4)="Cash",LEFT(O62,4)="Prov"),0,SUMIFS(Input_APM!N:N,Input_APM!L:L,Check!O62)))</f>
        <v>142</v>
      </c>
      <c r="Q62" s="21">
        <f>IF(O62="","",IF(LEN(O62)&gt;9,SUMIFS(Options!$H$3:$H$28,Options!$B$3:$B$28,Check!O62),SUMIFS('Master P&amp;L'!$H$11:$H$101,'Master P&amp;L'!$B$11:$B$101,Check!O62)))</f>
        <v>150</v>
      </c>
      <c r="R62" s="173">
        <f t="shared" si="1"/>
        <v>-8</v>
      </c>
      <c r="S62" s="288">
        <f t="shared" si="2"/>
        <v>0.94666666666666666</v>
      </c>
    </row>
    <row r="63" spans="1:19">
      <c r="B63" t="s">
        <v>820</v>
      </c>
      <c r="C63" s="187">
        <f>IF(B63="","",IF(LEN(B63)&gt;9,SUMIFS(Options!$H$3:$H$28,Options!$B$3:$B$28,Check!B63),SUMIFS('Master P&amp;L'!$H$11:$H$101,'Master P&amp;L'!$B$11:$B$101,Check!B63)))</f>
        <v>1550</v>
      </c>
      <c r="D63" s="187">
        <f>IF(B63="","",SUMIFS(Input_APM!N:N,Input_APM!L:L,Check!B63,Input_APM!M:M,Check!$F$1))</f>
        <v>1453</v>
      </c>
      <c r="E63" s="175">
        <f t="shared" si="5"/>
        <v>0</v>
      </c>
      <c r="F63" s="187">
        <f>IF(B63="","",SUMIFS(Input_APM!N:N,Input_APM!M:M,Check!$F$1,Input_APM!L:L,Check!B63))</f>
        <v>1453</v>
      </c>
      <c r="G63" s="187">
        <f>IF(B63="","",SUMIFS(Input_APM!N:N,Input_APM!M:M,Check!$G$1,Input_APM!L:L,Check!B63))</f>
        <v>0</v>
      </c>
      <c r="H63" s="173">
        <f t="shared" si="0"/>
        <v>1453</v>
      </c>
      <c r="I63" s="173">
        <f>SUMIFS(Input_APM!N:N,Input_APM!L:L,Check!B63)</f>
        <v>1453</v>
      </c>
      <c r="J63" s="175">
        <f t="shared" si="3"/>
        <v>0</v>
      </c>
      <c r="K63" s="21">
        <f>IF(B63="","",SUMIFS('Input_APM (Zenith)'!N:N,'Input_APM (Zenith)'!L:L,Check!B63,'Input_APM (Zenith)'!M:M,Check!$F$1))</f>
        <v>97</v>
      </c>
      <c r="L63" s="21">
        <f>IF(B63="","",SUMIFS('Input_APM (Zenith)'!N:N,'Input_APM (Zenith)'!L:L,Check!B63,'Input_APM (Zenith)'!M:M,Check!$G$1))</f>
        <v>0</v>
      </c>
      <c r="M63" s="173">
        <f t="shared" si="4"/>
        <v>1550</v>
      </c>
      <c r="O63" t="s">
        <v>260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P&amp;L'!$H$11:$H$101,'Master P&amp;L'!$B$11:$B$101,Check!O63)))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 t="s">
        <v>821</v>
      </c>
      <c r="C64" s="187">
        <f>IF(B64="","",IF(LEN(B64)&gt;9,SUMIFS(Options!$H$3:$H$28,Options!$B$3:$B$28,Check!B64),SUMIFS('Master P&amp;L'!$H$11:$H$101,'Master P&amp;L'!$B$11:$B$101,Check!B64)))</f>
        <v>-1275</v>
      </c>
      <c r="D64" s="187">
        <f>IF(B64="","",SUMIFS(Input_APM!N:N,Input_APM!L:L,Check!B64,Input_APM!M:M,Check!$F$1))</f>
        <v>-1195</v>
      </c>
      <c r="E64" s="175">
        <f t="shared" si="5"/>
        <v>0</v>
      </c>
      <c r="F64" s="187">
        <f>IF(B64="","",SUMIFS(Input_APM!N:N,Input_APM!M:M,Check!$F$1,Input_APM!L:L,Check!B64))</f>
        <v>-1195</v>
      </c>
      <c r="G64" s="187">
        <f>IF(B64="","",SUMIFS(Input_APM!N:N,Input_APM!M:M,Check!$G$1,Input_APM!L:L,Check!B64))</f>
        <v>0</v>
      </c>
      <c r="H64" s="173">
        <f t="shared" si="0"/>
        <v>-1195</v>
      </c>
      <c r="I64" s="173">
        <f>SUMIFS(Input_APM!N:N,Input_APM!L:L,Check!B64)</f>
        <v>-1195</v>
      </c>
      <c r="J64" s="175">
        <f t="shared" si="3"/>
        <v>0</v>
      </c>
      <c r="K64" s="21">
        <f>IF(B64="","",SUMIFS('Input_APM (Zenith)'!N:N,'Input_APM (Zenith)'!L:L,Check!B64,'Input_APM (Zenith)'!M:M,Check!$F$1))</f>
        <v>-80</v>
      </c>
      <c r="L64" s="21">
        <f>IF(B64="","",SUMIFS('Input_APM (Zenith)'!N:N,'Input_APM (Zenith)'!L:L,Check!B64,'Input_APM (Zenith)'!M:M,Check!$G$1))</f>
        <v>0</v>
      </c>
      <c r="M64" s="173">
        <f t="shared" si="4"/>
        <v>-1275</v>
      </c>
      <c r="O64" t="s">
        <v>232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P&amp;L'!$H$11:$H$101,'Master P&amp;L'!$B$11:$B$101,Check!O64)))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P&amp;L'!$H$11:$H$101,'Master P&amp;L'!$B$11:$B$101,Check!B65)))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1054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P&amp;L'!$H$11:$H$101,'Master P&amp;L'!$B$11:$B$101,Check!O65)))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P&amp;L'!$H$11:$H$101,'Master P&amp;L'!$B$11:$B$101,Check!B66)))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1124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P&amp;L'!$H$11:$H$101,'Master P&amp;L'!$B$11:$B$101,Check!O66)))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P&amp;L'!$H$11:$H$101,'Master P&amp;L'!$B$11:$B$101,Check!B67)))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345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P&amp;L'!$H$11:$H$101,'Master P&amp;L'!$B$11:$B$101,Check!O67)))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P&amp;L'!$H$11:$H$101,'Master P&amp;L'!$B$11:$B$101,Check!B68)))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1125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IF(O68="","",IF(LEN(O68)&gt;9,SUMIFS(Options!$H$3:$H$28,Options!$B$3:$B$28,Check!O68),SUMIFS('Master P&amp;L'!$H$11:$H$101,'Master P&amp;L'!$B$11:$B$101,Check!O68)))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IF(B69="","",IF(LEN(B69)&gt;9,SUMIFS(Options!$H$3:$H$28,Options!$B$3:$B$28,Check!B69),SUMIFS('Master P&amp;L'!$H$11:$H$101,'Master P&amp;L'!$B$11:$B$101,Check!B69)))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261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IF(O69="","",IF(LEN(O69)&gt;9,SUMIFS(Options!$H$3:$H$28,Options!$B$3:$B$28,Check!O69),SUMIFS('Master P&amp;L'!$H$11:$H$101,'Master P&amp;L'!$B$11:$B$101,Check!O69)))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IF(B70="","",IF(LEN(B70)&gt;9,SUMIFS(Options!$H$3:$H$28,Options!$B$3:$B$28,Check!B70),SUMIFS('Master P&amp;L'!$H$11:$H$101,'Master P&amp;L'!$B$11:$B$101,Check!B70)))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233</v>
      </c>
      <c r="P70" s="173">
        <f>IF(O70="","",IF(OR(LEFT(O70,4)="Cash",LEFT(O70,4)="Prov"),0,SUMIFS(Input_APM!N:N,Input_APM!L:L,Check!O70)))</f>
        <v>0</v>
      </c>
      <c r="Q70" s="21">
        <f>IF(O70="","",IF(LEN(O70)&gt;9,SUMIFS(Options!$H$3:$H$28,Options!$B$3:$B$28,Check!O70),SUMIFS('Master P&amp;L'!$H$11:$H$101,'Master P&amp;L'!$B$11:$B$101,Check!O70)))</f>
        <v>0</v>
      </c>
      <c r="R70" s="173">
        <f t="shared" ref="R70:R99" si="10">IF(O70="","",P70-Q70)</f>
        <v>0</v>
      </c>
      <c r="S70" s="288" t="str">
        <f t="shared" ref="S70:S133" si="11">IF(O70="","",IF((P70+Q70)=0,"Ok",IF(OR(P70=0,Q70=0),"Erro",P70/Q70)))</f>
        <v>Ok</v>
      </c>
    </row>
    <row r="71" spans="2:19">
      <c r="B71"/>
      <c r="C71" s="187" t="str">
        <f>IF(B71="","",IF(LEN(B71)&gt;9,SUMIFS(Options!$H$3:$H$28,Options!$B$3:$B$28,Check!B71),SUMIFS('Master P&amp;L'!$H$11:$H$101,'Master P&amp;L'!$B$11:$B$101,Check!B71)))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1104</v>
      </c>
      <c r="P71" s="173">
        <f>IF(O71="","",IF(OR(LEFT(O71,4)="Cash",LEFT(O71,4)="Prov"),0,SUMIFS(Input_APM!N:N,Input_APM!L:L,Check!O71)))</f>
        <v>-940</v>
      </c>
      <c r="Q71" s="21">
        <f>IF(O71="","",IF(LEN(O71)&gt;9,SUMIFS(Options!$H$3:$H$28,Options!$B$3:$B$28,Check!O71),SUMIFS('Master P&amp;L'!$H$11:$H$101,'Master P&amp;L'!$B$11:$B$101,Check!O71)))</f>
        <v>0</v>
      </c>
      <c r="R71" s="173">
        <f t="shared" si="10"/>
        <v>-940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P&amp;L'!$H$11:$H$101,'Master P&amp;L'!$B$11:$B$101,Check!B72)))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1103</v>
      </c>
      <c r="P72" s="173">
        <f>IF(O72="","",IF(OR(LEFT(O72,4)="Cash",LEFT(O72,4)="Prov"),0,SUMIFS(Input_APM!N:N,Input_APM!L:L,Check!O72)))</f>
        <v>940</v>
      </c>
      <c r="Q72" s="21">
        <f>IF(O72="","",IF(LEN(O72)&gt;9,SUMIFS(Options!$H$3:$H$28,Options!$B$3:$B$28,Check!O72),SUMIFS('Master P&amp;L'!$H$11:$H$101,'Master P&amp;L'!$B$11:$B$101,Check!O72)))</f>
        <v>0</v>
      </c>
      <c r="R72" s="173">
        <f t="shared" si="10"/>
        <v>940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P&amp;L'!$H$11:$H$101,'Master P&amp;L'!$B$11:$B$101,Check!B73)))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1066</v>
      </c>
      <c r="P73" s="173">
        <f>IF(O73="","",IF(OR(LEFT(O73,4)="Cash",LEFT(O73,4)="Prov"),0,SUMIFS(Input_APM!N:N,Input_APM!L:L,Check!O73)))</f>
        <v>0</v>
      </c>
      <c r="Q73" s="21">
        <f>IF(O73="","",IF(LEN(O73)&gt;9,SUMIFS(Options!$H$3:$H$28,Options!$B$3:$B$28,Check!O73),SUMIFS('Master P&amp;L'!$H$11:$H$101,'Master P&amp;L'!$B$11:$B$101,Check!O73)))</f>
        <v>0</v>
      </c>
      <c r="R73" s="173">
        <f t="shared" si="10"/>
        <v>0</v>
      </c>
      <c r="S73" s="288" t="str">
        <f t="shared" si="11"/>
        <v>Ok</v>
      </c>
    </row>
    <row r="74" spans="2:19">
      <c r="B74"/>
      <c r="C74" s="187" t="str">
        <f>IF(B74="","",IF(LEN(B74)&gt;9,SUMIFS(Options!$H$3:$H$28,Options!$B$3:$B$28,Check!B74),SUMIFS('Master P&amp;L'!$H$11:$H$101,'Master P&amp;L'!$B$11:$B$101,Check!B74)))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1065</v>
      </c>
      <c r="P74" s="173">
        <f>IF(O74="","",IF(OR(LEFT(O74,4)="Cash",LEFT(O74,4)="Prov"),0,SUMIFS(Input_APM!N:N,Input_APM!L:L,Check!O74)))</f>
        <v>0</v>
      </c>
      <c r="Q74" s="21">
        <f>IF(O74="","",IF(LEN(O74)&gt;9,SUMIFS(Options!$H$3:$H$28,Options!$B$3:$B$28,Check!O74),SUMIFS('Master P&amp;L'!$H$11:$H$101,'Master P&amp;L'!$B$11:$B$101,Check!O74)))</f>
        <v>0</v>
      </c>
      <c r="R74" s="173">
        <f t="shared" si="10"/>
        <v>0</v>
      </c>
      <c r="S74" s="288" t="str">
        <f t="shared" si="11"/>
        <v>Ok</v>
      </c>
    </row>
    <row r="75" spans="2:19">
      <c r="B75"/>
      <c r="C75" s="187" t="str">
        <f>IF(B75="","",IF(LEN(B75)&gt;9,SUMIFS(Options!$H$3:$H$28,Options!$B$3:$B$28,Check!B75),SUMIFS('Master P&amp;L'!$H$11:$H$101,'Master P&amp;L'!$B$11:$B$101,Check!B75)))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1068</v>
      </c>
      <c r="P75" s="173">
        <f>IF(O75="","",IF(OR(LEFT(O75,4)="Cash",LEFT(O75,4)="Prov"),0,SUMIFS(Input_APM!N:N,Input_APM!L:L,Check!O75)))</f>
        <v>-846</v>
      </c>
      <c r="Q75" s="21">
        <f>IF(O75="","",IF(LEN(O75)&gt;9,SUMIFS(Options!$H$3:$H$28,Options!$B$3:$B$28,Check!O75),SUMIFS('Master P&amp;L'!$H$11:$H$101,'Master P&amp;L'!$B$11:$B$101,Check!O75)))</f>
        <v>-900</v>
      </c>
      <c r="R75" s="173">
        <f t="shared" si="10"/>
        <v>54</v>
      </c>
      <c r="S75" s="288">
        <f t="shared" si="11"/>
        <v>0.94</v>
      </c>
    </row>
    <row r="76" spans="2:19">
      <c r="B76"/>
      <c r="C76" s="187" t="str">
        <f>IF(B76="","",IF(LEN(B76)&gt;9,SUMIFS(Options!$H$3:$H$28,Options!$B$3:$B$28,Check!B76),SUMIFS('Master P&amp;L'!$H$11:$H$101,'Master P&amp;L'!$B$11:$B$101,Check!B76)))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1096</v>
      </c>
      <c r="P76" s="173">
        <f>IF(O76="","",IF(OR(LEFT(O76,4)="Cash",LEFT(O76,4)="Prov"),0,SUMIFS(Input_APM!N:N,Input_APM!L:L,Check!O76)))</f>
        <v>846</v>
      </c>
      <c r="Q76" s="21">
        <f>IF(O76="","",IF(LEN(O76)&gt;9,SUMIFS(Options!$H$3:$H$28,Options!$B$3:$B$28,Check!O76),SUMIFS('Master P&amp;L'!$H$11:$H$101,'Master P&amp;L'!$B$11:$B$101,Check!O76)))</f>
        <v>900</v>
      </c>
      <c r="R76" s="173">
        <f t="shared" si="10"/>
        <v>-54</v>
      </c>
      <c r="S76" s="288">
        <f t="shared" si="11"/>
        <v>0.94</v>
      </c>
    </row>
    <row r="77" spans="2:19">
      <c r="B77"/>
      <c r="C77" s="187" t="str">
        <f>IF(B77="","",IF(LEN(B77)&gt;9,SUMIFS(Options!$H$3:$H$28,Options!$B$3:$B$28,Check!B77),SUMIFS('Master P&amp;L'!$H$11:$H$101,'Master P&amp;L'!$B$11:$B$101,Check!B77)))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1067</v>
      </c>
      <c r="P77" s="173">
        <f>IF(O77="","",IF(OR(LEFT(O77,4)="Cash",LEFT(O77,4)="Prov"),0,SUMIFS(Input_APM!N:N,Input_APM!L:L,Check!O77)))</f>
        <v>0</v>
      </c>
      <c r="Q77" s="21">
        <f>IF(O77="","",IF(LEN(O77)&gt;9,SUMIFS(Options!$H$3:$H$28,Options!$B$3:$B$28,Check!O77),SUMIFS('Master P&amp;L'!$H$11:$H$101,'Master P&amp;L'!$B$11:$B$101,Check!O77)))</f>
        <v>0</v>
      </c>
      <c r="R77" s="173">
        <f t="shared" si="10"/>
        <v>0</v>
      </c>
      <c r="S77" s="288" t="str">
        <f t="shared" si="11"/>
        <v>Ok</v>
      </c>
    </row>
    <row r="78" spans="2:19">
      <c r="B78"/>
      <c r="C78" s="187" t="str">
        <f>IF(B78="","",IF(LEN(B78)&gt;9,SUMIFS(Options!$H$3:$H$28,Options!$B$3:$B$28,Check!B78),SUMIFS('Master P&amp;L'!$H$11:$H$101,'Master P&amp;L'!$B$11:$B$101,Check!B78)))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1097</v>
      </c>
      <c r="P78" s="173">
        <f>IF(O78="","",IF(OR(LEFT(O78,4)="Cash",LEFT(O78,4)="Prov"),0,SUMIFS(Input_APM!N:N,Input_APM!L:L,Check!O78)))</f>
        <v>-188</v>
      </c>
      <c r="Q78" s="21">
        <f>IF(O78="","",IF(LEN(O78)&gt;9,SUMIFS(Options!$H$3:$H$28,Options!$B$3:$B$28,Check!O78),SUMIFS('Master P&amp;L'!$H$11:$H$101,'Master P&amp;L'!$B$11:$B$101,Check!O78)))</f>
        <v>-200</v>
      </c>
      <c r="R78" s="173">
        <f t="shared" si="10"/>
        <v>12</v>
      </c>
      <c r="S78" s="288">
        <f t="shared" si="11"/>
        <v>0.94</v>
      </c>
    </row>
    <row r="79" spans="2:19">
      <c r="B79"/>
      <c r="C79" s="187" t="str">
        <f>IF(B79="","",IF(LEN(B79)&gt;9,SUMIFS(Options!$H$3:$H$28,Options!$B$3:$B$28,Check!B79),SUMIFS('Master P&amp;L'!$H$11:$H$101,'Master P&amp;L'!$B$11:$B$101,Check!B79)))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1095</v>
      </c>
      <c r="P79" s="173">
        <f>IF(O79="","",IF(OR(LEFT(O79,4)="Cash",LEFT(O79,4)="Prov"),0,SUMIFS(Input_APM!N:N,Input_APM!L:L,Check!O79)))</f>
        <v>188</v>
      </c>
      <c r="Q79" s="21">
        <f>IF(O79="","",IF(LEN(O79)&gt;9,SUMIFS(Options!$H$3:$H$28,Options!$B$3:$B$28,Check!O79),SUMIFS('Master P&amp;L'!$H$11:$H$101,'Master P&amp;L'!$B$11:$B$101,Check!O79)))</f>
        <v>200</v>
      </c>
      <c r="R79" s="173">
        <f t="shared" si="10"/>
        <v>-12</v>
      </c>
      <c r="S79" s="288">
        <f t="shared" si="11"/>
        <v>0.94</v>
      </c>
    </row>
    <row r="80" spans="2:19">
      <c r="B80"/>
      <c r="C80" s="187" t="str">
        <f>IF(B80="","",IF(LEN(B80)&gt;9,SUMIFS(Options!$H$3:$H$28,Options!$B$3:$B$28,Check!B80),SUMIFS('Master P&amp;L'!$H$11:$H$101,'Master P&amp;L'!$B$11:$B$101,Check!B80)))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790</v>
      </c>
      <c r="P80" s="173">
        <f>IF(O80="","",IF(OR(LEFT(O80,4)="Cash",LEFT(O80,4)="Prov"),0,SUMIFS(Input_APM!N:N,Input_APM!L:L,Check!O80)))</f>
        <v>28071</v>
      </c>
      <c r="Q80" s="21">
        <f>IF(O80="","",IF(LEN(O80)&gt;9,SUMIFS(Options!$H$3:$H$28,Options!$B$3:$B$28,Check!O80),SUMIFS('Master P&amp;L'!$H$11:$H$101,'Master P&amp;L'!$B$11:$B$101,Check!O80)))</f>
        <v>30000</v>
      </c>
      <c r="R80" s="173">
        <f t="shared" si="10"/>
        <v>-1929</v>
      </c>
      <c r="S80" s="288">
        <f t="shared" si="11"/>
        <v>0.93569999999999998</v>
      </c>
    </row>
    <row r="81" spans="2:19">
      <c r="B81"/>
      <c r="C81" s="187" t="str">
        <f>IF(B81="","",IF(LEN(B81)&gt;9,SUMIFS(Options!$H$3:$H$28,Options!$B$3:$B$28,Check!B81),SUMIFS('Master P&amp;L'!$H$11:$H$101,'Master P&amp;L'!$B$11:$B$101,Check!B81)))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432</v>
      </c>
      <c r="P81" s="173">
        <f>IF(O81="","",IF(OR(LEFT(O81,4)="Cash",LEFT(O81,4)="Prov"),0,SUMIFS(Input_APM!N:N,Input_APM!L:L,Check!O81)))</f>
        <v>655</v>
      </c>
      <c r="Q81" s="21">
        <f>IF(O81="","",IF(LEN(O81)&gt;9,SUMIFS(Options!$H$3:$H$28,Options!$B$3:$B$28,Check!O81),SUMIFS('Master P&amp;L'!$H$11:$H$101,'Master P&amp;L'!$B$11:$B$101,Check!O81)))</f>
        <v>1563</v>
      </c>
      <c r="R81" s="173">
        <f t="shared" si="10"/>
        <v>-908</v>
      </c>
      <c r="S81" s="288">
        <f t="shared" si="11"/>
        <v>0.41906589891234802</v>
      </c>
    </row>
    <row r="82" spans="2:19">
      <c r="B82"/>
      <c r="C82" s="187" t="str">
        <f>IF(B82="","",IF(LEN(B82)&gt;9,SUMIFS(Options!$H$3:$H$28,Options!$B$3:$B$28,Check!B82),SUMIFS('Master P&amp;L'!$H$11:$H$101,'Master P&amp;L'!$B$11:$B$101,Check!B82)))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1029</v>
      </c>
      <c r="P82" s="173">
        <f>IF(O82="","",IF(OR(LEFT(O82,4)="Cash",LEFT(O82,4)="Prov"),0,SUMIFS(Input_APM!N:N,Input_APM!L:L,Check!O82)))</f>
        <v>160</v>
      </c>
      <c r="Q82" s="21">
        <f>IF(O82="","",IF(LEN(O82)&gt;9,SUMIFS(Options!$H$3:$H$28,Options!$B$3:$B$28,Check!O82),SUMIFS('Master P&amp;L'!$H$11:$H$101,'Master P&amp;L'!$B$11:$B$101,Check!O82)))</f>
        <v>0</v>
      </c>
      <c r="R82" s="173">
        <f t="shared" si="10"/>
        <v>160</v>
      </c>
      <c r="S82" s="288" t="str">
        <f t="shared" si="11"/>
        <v>Erro</v>
      </c>
    </row>
    <row r="83" spans="2:19">
      <c r="B83"/>
      <c r="C83" s="187" t="str">
        <f>IF(B83="","",IF(LEN(B83)&gt;9,SUMIFS(Options!$H$3:$H$28,Options!$B$3:$B$28,Check!B83),SUMIFS('Master P&amp;L'!$H$11:$H$101,'Master P&amp;L'!$B$11:$B$101,Check!B83)))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877</v>
      </c>
      <c r="P83" s="173">
        <f>IF(O83="","",IF(OR(LEFT(O83,4)="Cash",LEFT(O83,4)="Prov"),0,SUMIFS(Input_APM!N:N,Input_APM!L:L,Check!O83)))</f>
        <v>643</v>
      </c>
      <c r="Q83" s="21">
        <f>IF(O83="","",IF(LEN(O83)&gt;9,SUMIFS(Options!$H$3:$H$28,Options!$B$3:$B$28,Check!O83),SUMIFS('Master P&amp;L'!$H$11:$H$101,'Master P&amp;L'!$B$11:$B$101,Check!O83)))</f>
        <v>0</v>
      </c>
      <c r="R83" s="173">
        <f t="shared" si="10"/>
        <v>643</v>
      </c>
      <c r="S83" s="288" t="str">
        <f t="shared" si="11"/>
        <v>Erro</v>
      </c>
    </row>
    <row r="84" spans="2:19">
      <c r="B84"/>
      <c r="C84" s="187" t="str">
        <f>IF(B84="","",IF(LEN(B84)&gt;9,SUMIFS(Options!$H$3:$H$28,Options!$B$3:$B$28,Check!B84),SUMIFS('Master P&amp;L'!$H$11:$H$101,'Master P&amp;L'!$B$11:$B$101,Check!B84)))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1030</v>
      </c>
      <c r="P84" s="173">
        <f>IF(O84="","",IF(OR(LEFT(O84,4)="Cash",LEFT(O84,4)="Prov"),0,SUMIFS(Input_APM!N:N,Input_APM!L:L,Check!O84)))</f>
        <v>2901</v>
      </c>
      <c r="Q84" s="21">
        <f>IF(O84="","",IF(LEN(O84)&gt;9,SUMIFS(Options!$H$3:$H$28,Options!$B$3:$B$28,Check!O84),SUMIFS('Master P&amp;L'!$H$11:$H$101,'Master P&amp;L'!$B$11:$B$101,Check!O84)))</f>
        <v>0</v>
      </c>
      <c r="R84" s="173">
        <f t="shared" si="10"/>
        <v>2901</v>
      </c>
      <c r="S84" s="288" t="str">
        <f t="shared" si="11"/>
        <v>Erro</v>
      </c>
    </row>
    <row r="85" spans="2:19">
      <c r="B85"/>
      <c r="C85" s="187" t="str">
        <f>IF(B85="","",IF(LEN(B85)&gt;9,SUMIFS(Options!$H$3:$H$28,Options!$B$3:$B$28,Check!B85),SUMIFS('Master P&amp;L'!$H$11:$H$101,'Master P&amp;L'!$B$11:$B$101,Check!B85)))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1031</v>
      </c>
      <c r="P85" s="173">
        <f>IF(O85="","",IF(OR(LEFT(O85,4)="Cash",LEFT(O85,4)="Prov"),0,SUMIFS(Input_APM!N:N,Input_APM!L:L,Check!O85)))</f>
        <v>2901</v>
      </c>
      <c r="Q85" s="21">
        <f>IF(O85="","",IF(LEN(O85)&gt;9,SUMIFS(Options!$H$3:$H$28,Options!$B$3:$B$28,Check!O85),SUMIFS('Master P&amp;L'!$H$11:$H$101,'Master P&amp;L'!$B$11:$B$101,Check!O85)))</f>
        <v>0</v>
      </c>
      <c r="R85" s="173">
        <f t="shared" si="10"/>
        <v>2901</v>
      </c>
      <c r="S85" s="288" t="str">
        <f t="shared" si="11"/>
        <v>Erro</v>
      </c>
    </row>
    <row r="86" spans="2:19">
      <c r="B86"/>
      <c r="C86" s="187" t="str">
        <f>IF(B86="","",IF(LEN(B86)&gt;9,SUMIFS(Options!$H$3:$H$28,Options!$B$3:$B$28,Check!B86),SUMIFS('Master P&amp;L'!$H$11:$H$101,'Master P&amp;L'!$B$11:$B$101,Check!B86)))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1032</v>
      </c>
      <c r="P86" s="173">
        <f>IF(O86="","",IF(OR(LEFT(O86,4)="Cash",LEFT(O86,4)="Prov"),0,SUMIFS(Input_APM!N:N,Input_APM!L:L,Check!O86)))</f>
        <v>845</v>
      </c>
      <c r="Q86" s="21">
        <f>IF(O86="","",IF(LEN(O86)&gt;9,SUMIFS(Options!$H$3:$H$28,Options!$B$3:$B$28,Check!O86),SUMIFS('Master P&amp;L'!$H$11:$H$101,'Master P&amp;L'!$B$11:$B$101,Check!O86)))</f>
        <v>0</v>
      </c>
      <c r="R86" s="173">
        <f t="shared" si="10"/>
        <v>845</v>
      </c>
      <c r="S86" s="288" t="str">
        <f t="shared" si="11"/>
        <v>Erro</v>
      </c>
    </row>
    <row r="87" spans="2:19">
      <c r="B87"/>
      <c r="C87" s="187" t="str">
        <f>IF(B87="","",IF(LEN(B87)&gt;9,SUMIFS(Options!$H$3:$H$28,Options!$B$3:$B$28,Check!B87),SUMIFS('Master P&amp;L'!$H$11:$H$101,'Master P&amp;L'!$B$11:$B$101,Check!B87)))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1055</v>
      </c>
      <c r="P87" s="173">
        <f>IF(O87="","",IF(OR(LEFT(O87,4)="Cash",LEFT(O87,4)="Prov"),0,SUMIFS(Input_APM!N:N,Input_APM!L:L,Check!O87)))</f>
        <v>16860</v>
      </c>
      <c r="Q87" s="21">
        <f>IF(O87="","",IF(LEN(O87)&gt;9,SUMIFS(Options!$H$3:$H$28,Options!$B$3:$B$28,Check!O87),SUMIFS('Master P&amp;L'!$H$11:$H$101,'Master P&amp;L'!$B$11:$B$101,Check!O87)))</f>
        <v>0</v>
      </c>
      <c r="R87" s="173">
        <f t="shared" si="10"/>
        <v>16860</v>
      </c>
      <c r="S87" s="288" t="str">
        <f t="shared" si="11"/>
        <v>Erro</v>
      </c>
    </row>
    <row r="88" spans="2:19">
      <c r="B88"/>
      <c r="C88" s="187" t="str">
        <f>IF(B88="","",IF(LEN(B88)&gt;9,SUMIFS(Options!$H$3:$H$28,Options!$B$3:$B$28,Check!B88),SUMIFS('Master P&amp;L'!$H$11:$H$101,'Master P&amp;L'!$B$11:$B$101,Check!B88)))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1033</v>
      </c>
      <c r="P88" s="173">
        <f>IF(O88="","",IF(OR(LEFT(O88,4)="Cash",LEFT(O88,4)="Prov"),0,SUMIFS(Input_APM!N:N,Input_APM!L:L,Check!O88)))</f>
        <v>268</v>
      </c>
      <c r="Q88" s="21">
        <f>IF(O88="","",IF(LEN(O88)&gt;9,SUMIFS(Options!$H$3:$H$28,Options!$B$3:$B$28,Check!O88),SUMIFS('Master P&amp;L'!$H$11:$H$101,'Master P&amp;L'!$B$11:$B$101,Check!O88)))</f>
        <v>0</v>
      </c>
      <c r="R88" s="173">
        <f t="shared" si="10"/>
        <v>268</v>
      </c>
      <c r="S88" s="288" t="str">
        <f t="shared" si="11"/>
        <v>Erro</v>
      </c>
    </row>
    <row r="89" spans="2:19">
      <c r="B89"/>
      <c r="C89" s="187" t="str">
        <f>IF(B89="","",IF(LEN(B89)&gt;9,SUMIFS(Options!$H$3:$H$28,Options!$B$3:$B$28,Check!B89),SUMIFS('Master P&amp;L'!$H$11:$H$101,'Master P&amp;L'!$B$11:$B$101,Check!B89)))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1034</v>
      </c>
      <c r="P89" s="173">
        <f>IF(O89="","",IF(OR(LEFT(O89,4)="Cash",LEFT(O89,4)="Prov"),0,SUMIFS(Input_APM!N:N,Input_APM!L:L,Check!O89)))</f>
        <v>587</v>
      </c>
      <c r="Q89" s="21">
        <f>IF(O89="","",IF(LEN(O89)&gt;9,SUMIFS(Options!$H$3:$H$28,Options!$B$3:$B$28,Check!O89),SUMIFS('Master P&amp;L'!$H$11:$H$101,'Master P&amp;L'!$B$11:$B$101,Check!O89)))</f>
        <v>0</v>
      </c>
      <c r="R89" s="173">
        <f t="shared" si="10"/>
        <v>587</v>
      </c>
      <c r="S89" s="288" t="str">
        <f t="shared" si="11"/>
        <v>Erro</v>
      </c>
    </row>
    <row r="90" spans="2:19">
      <c r="B90"/>
      <c r="C90" s="187" t="str">
        <f>IF(B90="","",IF(LEN(B90)&gt;9,SUMIFS(Options!$H$3:$H$28,Options!$B$3:$B$28,Check!B90),SUMIFS('Master P&amp;L'!$H$11:$H$101,'Master P&amp;L'!$B$11:$B$101,Check!B90)))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1035</v>
      </c>
      <c r="P90" s="173">
        <f>IF(O90="","",IF(OR(LEFT(O90,4)="Cash",LEFT(O90,4)="Prov"),0,SUMIFS(Input_APM!N:N,Input_APM!L:L,Check!O90)))</f>
        <v>254</v>
      </c>
      <c r="Q90" s="21">
        <f>IF(O90="","",IF(LEN(O90)&gt;9,SUMIFS(Options!$H$3:$H$28,Options!$B$3:$B$28,Check!O90),SUMIFS('Master P&amp;L'!$H$11:$H$101,'Master P&amp;L'!$B$11:$B$101,Check!O90)))</f>
        <v>0</v>
      </c>
      <c r="R90" s="173">
        <f t="shared" si="10"/>
        <v>254</v>
      </c>
      <c r="S90" s="288" t="str">
        <f t="shared" si="11"/>
        <v>Erro</v>
      </c>
    </row>
    <row r="91" spans="2:19">
      <c r="B91"/>
      <c r="C91" s="187" t="str">
        <f>IF(B91="","",IF(LEN(B91)&gt;9,SUMIFS(Options!$H$3:$H$28,Options!$B$3:$B$28,Check!B91),SUMIFS('Master P&amp;L'!$H$11:$H$101,'Master P&amp;L'!$B$11:$B$101,Check!B91)))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 t="s">
        <v>1056</v>
      </c>
      <c r="P91" s="173">
        <f>IF(O91="","",IF(OR(LEFT(O91,4)="Cash",LEFT(O91,4)="Prov"),0,SUMIFS(Input_APM!N:N,Input_APM!L:L,Check!O91)))</f>
        <v>271</v>
      </c>
      <c r="Q91" s="21">
        <f>IF(O91="","",IF(LEN(O91)&gt;9,SUMIFS(Options!$H$3:$H$28,Options!$B$3:$B$28,Check!O91),SUMIFS('Master P&amp;L'!$H$11:$H$101,'Master P&amp;L'!$B$11:$B$101,Check!O91)))</f>
        <v>0</v>
      </c>
      <c r="R91" s="173">
        <f t="shared" si="10"/>
        <v>271</v>
      </c>
      <c r="S91" s="288" t="str">
        <f t="shared" si="11"/>
        <v>Erro</v>
      </c>
    </row>
    <row r="92" spans="2:19">
      <c r="B92"/>
      <c r="C92" s="187" t="str">
        <f>IF(B92="","",IF(LEN(B92)&gt;9,SUMIFS(Options!$H$3:$H$28,Options!$B$3:$B$28,Check!B92),SUMIFS('Master P&amp;L'!$H$11:$H$101,'Master P&amp;L'!$B$11:$B$101,Check!B92)))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 t="s">
        <v>939</v>
      </c>
      <c r="P92" s="173">
        <f>IF(O92="","",IF(OR(LEFT(O92,4)="Cash",LEFT(O92,4)="Prov"),0,SUMIFS(Input_APM!N:N,Input_APM!L:L,Check!O92)))</f>
        <v>22373928</v>
      </c>
      <c r="Q92" s="21">
        <f>IF(O92="","",IF(LEN(O92)&gt;9,SUMIFS(Options!$H$3:$H$28,Options!$B$3:$B$28,Check!O92),SUMIFS('Master P&amp;L'!$H$11:$H$101,'Master P&amp;L'!$B$11:$B$101,Check!O92)))</f>
        <v>0</v>
      </c>
      <c r="R92" s="173">
        <f t="shared" si="10"/>
        <v>22373928</v>
      </c>
      <c r="S92" s="288" t="str">
        <f t="shared" si="11"/>
        <v>Erro</v>
      </c>
    </row>
    <row r="93" spans="2:19">
      <c r="B93"/>
      <c r="C93" s="187" t="str">
        <f>IF(B93="","",IF(LEN(B93)&gt;9,SUMIFS(Options!$H$3:$H$28,Options!$B$3:$B$28,Check!B93),SUMIFS('Master P&amp;L'!$H$11:$H$101,'Master P&amp;L'!$B$11:$B$101,Check!B93)))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 t="s">
        <v>44</v>
      </c>
      <c r="P93" s="173">
        <f>IF(O93="","",IF(OR(LEFT(O93,4)="Cash",LEFT(O93,4)="Prov"),0,SUMIFS(Input_APM!N:N,Input_APM!L:L,Check!O93)))</f>
        <v>-4697</v>
      </c>
      <c r="Q93" s="21">
        <f>IF(O93="","",IF(LEN(O93)&gt;9,SUMIFS(Options!$H$3:$H$28,Options!$B$3:$B$28,Check!O93),SUMIFS('Master P&amp;L'!$H$11:$H$101,'Master P&amp;L'!$B$11:$B$101,Check!O93)))</f>
        <v>-3360</v>
      </c>
      <c r="R93" s="173">
        <f t="shared" si="10"/>
        <v>-1337</v>
      </c>
      <c r="S93" s="288">
        <f t="shared" si="11"/>
        <v>1.3979166666666667</v>
      </c>
    </row>
    <row r="94" spans="2:19">
      <c r="B94"/>
      <c r="C94" s="187" t="str">
        <f>IF(B94="","",IF(LEN(B94)&gt;9,SUMIFS(Options!$H$3:$H$28,Options!$B$3:$B$28,Check!B94),SUMIFS('Master P&amp;L'!$H$11:$H$101,'Master P&amp;L'!$B$11:$B$101,Check!B94)))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 t="s">
        <v>820</v>
      </c>
      <c r="P94" s="173">
        <f>IF(O94="","",IF(OR(LEFT(O94,4)="Cash",LEFT(O94,4)="Prov"),0,SUMIFS(Input_APM!N:N,Input_APM!L:L,Check!O94)))</f>
        <v>1453</v>
      </c>
      <c r="Q94" s="21">
        <f>IF(O94="","",IF(LEN(O94)&gt;9,SUMIFS(Options!$H$3:$H$28,Options!$B$3:$B$28,Check!O94),SUMIFS('Master P&amp;L'!$H$11:$H$101,'Master P&amp;L'!$B$11:$B$101,Check!O94)))</f>
        <v>1550</v>
      </c>
      <c r="R94" s="173">
        <f t="shared" si="10"/>
        <v>-97</v>
      </c>
      <c r="S94" s="288">
        <f t="shared" si="11"/>
        <v>0.93741935483870964</v>
      </c>
    </row>
    <row r="95" spans="2:19">
      <c r="C95" s="187" t="str">
        <f>IF(B95="","",IF(LEN(B95)&gt;9,SUMIFS(Options!$H$3:$H$28,Options!$B$3:$B$28,Check!B95),SUMIFS('Master P&amp;L'!$H$11:$H$101,'Master P&amp;L'!$B$11:$B$101,Check!B95)))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 t="s">
        <v>821</v>
      </c>
      <c r="P95" s="173">
        <f>IF(O95="","",IF(OR(LEFT(O95,4)="Cash",LEFT(O95,4)="Prov"),0,SUMIFS(Input_APM!N:N,Input_APM!L:L,Check!O95)))</f>
        <v>-1195</v>
      </c>
      <c r="Q95" s="21">
        <f>IF(O95="","",IF(LEN(O95)&gt;9,SUMIFS(Options!$H$3:$H$28,Options!$B$3:$B$28,Check!O95),SUMIFS('Master P&amp;L'!$H$11:$H$101,'Master P&amp;L'!$B$11:$B$101,Check!O95)))</f>
        <v>-1275</v>
      </c>
      <c r="R95" s="173">
        <f t="shared" si="10"/>
        <v>80</v>
      </c>
      <c r="S95" s="288">
        <f t="shared" si="11"/>
        <v>0.93725490196078431</v>
      </c>
    </row>
    <row r="96" spans="2:19">
      <c r="C96" s="187" t="str">
        <f>IF(B96="","",IF(LEN(B96)&gt;9,SUMIFS(Options!$H$3:$H$28,Options!$B$3:$B$28,Check!B96),SUMIFS('Master P&amp;L'!$H$11:$H$101,'Master P&amp;L'!$B$11:$B$101,Check!B96)))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 t="s">
        <v>974</v>
      </c>
      <c r="P96" s="173">
        <f>IF(O96="","",IF(OR(LEFT(O96,4)="Cash",LEFT(O96,4)="Prov"),0,SUMIFS(Input_APM!N:N,Input_APM!L:L,Check!O96)))</f>
        <v>50069</v>
      </c>
      <c r="Q96" s="21">
        <f>IF(O96="","",IF(LEN(O96)&gt;9,SUMIFS(Options!$H$3:$H$28,Options!$B$3:$B$28,Check!O96),SUMIFS('Master P&amp;L'!$H$11:$H$101,'Master P&amp;L'!$B$11:$B$101,Check!O96)))</f>
        <v>53300</v>
      </c>
      <c r="R96" s="173">
        <f t="shared" si="10"/>
        <v>-3231</v>
      </c>
      <c r="S96" s="288">
        <f t="shared" si="11"/>
        <v>0.93938086303939961</v>
      </c>
    </row>
    <row r="97" spans="1:19">
      <c r="C97" s="187" t="str">
        <f>IF(B97="","",IF(LEN(B97)&gt;9,SUMIFS(Options!$H$3:$H$28,Options!$B$3:$B$28,Check!B97),SUMIFS('Master P&amp;L'!$H$11:$H$101,'Master P&amp;L'!$B$11:$B$101,Check!B97)))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 t="s">
        <v>36</v>
      </c>
      <c r="P97" s="173">
        <f>IF(O97="","",IF(OR(LEFT(O97,4)="Cash",LEFT(O97,4)="Prov"),0,SUMIFS(Input_APM!N:N,Input_APM!L:L,Check!O97)))</f>
        <v>21977</v>
      </c>
      <c r="Q97" s="21">
        <f>IF(O97="","",IF(LEN(O97)&gt;9,SUMIFS(Options!$H$3:$H$28,Options!$B$3:$B$28,Check!O97),SUMIFS('Master P&amp;L'!$H$11:$H$101,'Master P&amp;L'!$B$11:$B$101,Check!O97)))</f>
        <v>0</v>
      </c>
      <c r="R97" s="173">
        <f t="shared" si="10"/>
        <v>21977</v>
      </c>
      <c r="S97" s="288" t="str">
        <f t="shared" si="11"/>
        <v>Erro</v>
      </c>
    </row>
    <row r="98" spans="1:19">
      <c r="C98" s="187" t="str">
        <f>IF(B98="","",IF(LEN(B98)&gt;9,SUMIFS(Options!$H$3:$H$28,Options!$B$3:$B$28,Check!B98),SUMIFS('Master P&amp;L'!$H$11:$H$101,'Master P&amp;L'!$B$11:$B$101,Check!B98)))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 t="s">
        <v>4</v>
      </c>
      <c r="P98" s="173">
        <f>IF(O98="","",IF(OR(LEFT(O98,4)="Cash",LEFT(O98,4)="Prov"),0,SUMIFS(Input_APM!N:N,Input_APM!L:L,Check!O98)))</f>
        <v>-25765</v>
      </c>
      <c r="Q98" s="21">
        <f>IF(O98="","",IF(LEN(O98)&gt;9,SUMIFS(Options!$H$3:$H$28,Options!$B$3:$B$28,Check!O98),SUMIFS('Master P&amp;L'!$H$11:$H$101,'Master P&amp;L'!$B$11:$B$101,Check!O98)))</f>
        <v>0</v>
      </c>
      <c r="R98" s="173">
        <f t="shared" si="10"/>
        <v>-25765</v>
      </c>
      <c r="S98" s="288" t="str">
        <f t="shared" si="11"/>
        <v>Erro</v>
      </c>
    </row>
    <row r="99" spans="1:19">
      <c r="C99" s="187" t="str">
        <f>IF(B99="","",IF(LEN(B99)&gt;9,SUMIFS(Options!$H$3:$H$28,Options!$B$3:$B$28,Check!B99),SUMIFS('Master P&amp;L'!$H$11:$H$101,'Master P&amp;L'!$B$11:$B$101,Check!B99)))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 t="s">
        <v>237</v>
      </c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P&amp;L'!$H$11:$H$101,'Master P&amp;L'!$B$11:$B$101,Check!O99)))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P&amp;L'!$H$11:$H$101,'Master P&amp;L'!$B$11:$B$101,Check!B100)))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P&amp;L'!$H$11:$H$101,'Master P&amp;L'!$B$11:$B$101,Check!O100)))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P&amp;L'!$H$11:$H$101,'Master P&amp;L'!$B$11:$B$101,Check!B101)))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P&amp;L'!$H$11:$H$101,'Master P&amp;L'!$B$11:$B$101,Check!O101)))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P&amp;L'!$H$11:$H$101,'Master P&amp;L'!$B$11:$B$101,Check!B102)))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P&amp;L'!$H$11:$H$101,'Master P&amp;L'!$B$11:$B$101,Check!O102)))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P&amp;L'!$H$11:$H$101,'Master P&amp;L'!$B$11:$B$101,Check!B103)))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P&amp;L'!$H$11:$H$101,'Master P&amp;L'!$B$11:$B$101,Check!O103)))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P&amp;L'!$H$11:$H$101,'Master P&amp;L'!$B$11:$B$101,Check!B104)))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P&amp;L'!$H$11:$H$101,'Master P&amp;L'!$B$11:$B$101,Check!O104)))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IF(B105="","",IF(LEN(B105)&gt;9,SUMIFS(Options!$H$3:$H$28,Options!$B$3:$B$28,Check!B105),SUMIFS('Master P&amp;L'!$H$11:$H$101,'Master P&amp;L'!$B$11:$B$101,Check!B105)))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P&amp;L'!$H$11:$H$101,'Master P&amp;L'!$B$11:$B$101,Check!O105)))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P&amp;L'!$H$11:$H$101,'Master P&amp;L'!$B$11:$B$101,Check!B106)))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P&amp;L'!$H$11:$H$101,'Master P&amp;L'!$B$11:$B$101,Check!O106)))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P&amp;L'!$H$11:$H$101,'Master P&amp;L'!$B$11:$B$101,Check!B107)))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P&amp;L'!$H$11:$H$101,'Master P&amp;L'!$B$11:$B$101,Check!O107)))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P&amp;L'!$H$11:$H$101,'Master P&amp;L'!$B$11:$B$101,Check!B108)))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P&amp;L'!$H$11:$H$101,'Master P&amp;L'!$B$11:$B$101,Check!O108)))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P&amp;L'!$H$11:$H$101,'Master P&amp;L'!$B$11:$B$101,Check!B109)))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P&amp;L'!$H$11:$H$101,'Master P&amp;L'!$B$11:$B$101,Check!O109)))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IF(B110="","",IF(LEN(B110)&gt;9,SUMIFS(Options!$H$3:$H$28,Options!$B$3:$B$28,Check!B110),SUMIFS('Master P&amp;L'!$H$11:$H$101,'Master P&amp;L'!$B$11:$B$101,Check!B110)))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P&amp;L'!$H$11:$H$101,'Master P&amp;L'!$B$11:$B$101,Check!O110)))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P&amp;L'!$H$11:$H$101,'Master P&amp;L'!$B$11:$B$101,Check!B111)))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P&amp;L'!$H$11:$H$101,'Master P&amp;L'!$B$11:$B$101,Check!O111)))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P&amp;L'!$H$11:$H$101,'Master P&amp;L'!$B$11:$B$101,Check!B112)))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P&amp;L'!$H$11:$H$101,'Master P&amp;L'!$B$11:$B$101,Check!O112)))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P&amp;L'!$H$11:$H$101,'Master P&amp;L'!$B$11:$B$101,Check!B113)))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P&amp;L'!$H$11:$H$101,'Master P&amp;L'!$B$11:$B$101,Check!O113)))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P&amp;L'!$H$11:$H$101,'Master P&amp;L'!$B$11:$B$101,Check!B114)))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P&amp;L'!$H$11:$H$101,'Master P&amp;L'!$B$11:$B$101,Check!O114)))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P&amp;L'!$H$11:$H$101,'Master P&amp;L'!$B$11:$B$101,Check!B115)))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P&amp;L'!$H$11:$H$101,'Master P&amp;L'!$B$11:$B$101,Check!O115)))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P&amp;L'!$H$11:$H$101,'Master P&amp;L'!$B$11:$B$101,Check!B116)))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P&amp;L'!$H$11:$H$101,'Master P&amp;L'!$B$11:$B$101,Check!O116)))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P&amp;L'!$H$11:$H$101,'Master P&amp;L'!$B$11:$B$101,Check!B117)))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P&amp;L'!$H$11:$H$101,'Master P&amp;L'!$B$11:$B$101,Check!O117)))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P&amp;L'!$H$11:$H$101,'Master P&amp;L'!$B$11:$B$101,Check!B118)))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P&amp;L'!$H$11:$H$101,'Master P&amp;L'!$B$11:$B$101,Check!O118)))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P&amp;L'!$H$11:$H$101,'Master P&amp;L'!$B$11:$B$101,Check!B119)))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P&amp;L'!$H$11:$H$101,'Master P&amp;L'!$B$11:$B$101,Check!O119)))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P&amp;L'!$H$11:$H$101,'Master P&amp;L'!$B$11:$B$101,Check!B120)))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P&amp;L'!$H$11:$H$101,'Master P&amp;L'!$B$11:$B$101,Check!O120)))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P&amp;L'!$H$11:$H$101,'Master P&amp;L'!$B$11:$B$101,Check!B121)))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P&amp;L'!$H$11:$H$101,'Master P&amp;L'!$B$11:$B$101,Check!O121)))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P&amp;L'!$H$11:$H$101,'Master P&amp;L'!$B$11:$B$101,Check!B122)))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P&amp;L'!$H$11:$H$101,'Master P&amp;L'!$B$11:$B$101,Check!O122)))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P&amp;L'!$H$11:$H$101,'Master P&amp;L'!$B$11:$B$101,Check!B123)))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P&amp;L'!$H$11:$H$101,'Master P&amp;L'!$B$11:$B$101,Check!O123)))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P&amp;L'!$H$11:$H$101,'Master P&amp;L'!$B$11:$B$101,Check!B124)))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P&amp;L'!$H$11:$H$101,'Master P&amp;L'!$B$11:$B$101,Check!O124)))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P&amp;L'!$H$11:$H$101,'Master P&amp;L'!$B$11:$B$101,Check!B125)))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P&amp;L'!$H$11:$H$101,'Master P&amp;L'!$B$11:$B$101,Check!O125)))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P&amp;L'!$H$11:$H$101,'Master P&amp;L'!$B$11:$B$101,Check!B126)))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P&amp;L'!$H$11:$H$101,'Master P&amp;L'!$B$11:$B$101,Check!O126)))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P&amp;L'!$H$11:$H$101,'Master P&amp;L'!$B$11:$B$101,Check!B127)))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P&amp;L'!$H$11:$H$101,'Master P&amp;L'!$B$11:$B$101,Check!O127)))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P&amp;L'!$H$11:$H$101,'Master P&amp;L'!$B$11:$B$101,Check!B128)))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P&amp;L'!$H$11:$H$101,'Master P&amp;L'!$B$11:$B$101,Check!O128)))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P&amp;L'!$H$11:$H$101,'Master P&amp;L'!$B$11:$B$101,Check!B129)))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P&amp;L'!$H$11:$H$101,'Master P&amp;L'!$B$11:$B$101,Check!O129)))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P&amp;L'!$H$11:$H$101,'Master P&amp;L'!$B$11:$B$101,Check!B130)))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P&amp;L'!$H$11:$H$101,'Master P&amp;L'!$B$11:$B$101,Check!O130)))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P&amp;L'!$H$11:$H$101,'Master P&amp;L'!$B$11:$B$101,Check!B131)))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P&amp;L'!$H$11:$H$101,'Master P&amp;L'!$B$11:$B$101,Check!O131)))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P&amp;L'!$H$11:$H$101,'Master P&amp;L'!$B$11:$B$101,Check!B132)))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P&amp;L'!$H$11:$H$101,'Master P&amp;L'!$B$11:$B$101,Check!O132)))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P&amp;L'!$H$11:$H$101,'Master P&amp;L'!$B$11:$B$101,Check!B133)))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P&amp;L'!$H$11:$H$101,'Master P&amp;L'!$B$11:$B$101,Check!O133)))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P&amp;L'!$H$11:$H$101,'Master P&amp;L'!$B$11:$B$101,Check!B134)))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P&amp;L'!$H$11:$H$101,'Master P&amp;L'!$B$11:$B$101,Check!O134)))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P&amp;L'!$H$11:$H$101,'Master P&amp;L'!$B$11:$B$101,Check!B135)))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P&amp;L'!$H$11:$H$101,'Master P&amp;L'!$B$11:$B$101,Check!O135)))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P&amp;L'!$H$11:$H$101,'Master P&amp;L'!$B$11:$B$101,Check!B136)))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P&amp;L'!$H$11:$H$101,'Master P&amp;L'!$B$11:$B$101,Check!O136)))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P&amp;L'!$H$11:$H$101,'Master P&amp;L'!$B$11:$B$101,Check!B137)))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P&amp;L'!$H$11:$H$101,'Master P&amp;L'!$B$11:$B$101,Check!O137)))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P&amp;L'!$H$11:$H$101,'Master P&amp;L'!$B$11:$B$101,Check!B138)))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P&amp;L'!$H$11:$H$101,'Master P&amp;L'!$B$11:$B$101,Check!O138)))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P&amp;L'!$H$11:$H$101,'Master P&amp;L'!$B$11:$B$101,Check!B139)))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P&amp;L'!$H$11:$H$101,'Master P&amp;L'!$B$11:$B$101,Check!O139)))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P&amp;L'!$H$11:$H$101,'Master P&amp;L'!$B$11:$B$101,Check!B140)))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P&amp;L'!$H$11:$H$101,'Master P&amp;L'!$B$11:$B$101,Check!O140)))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P&amp;L'!$H$11:$H$101,'Master P&amp;L'!$B$11:$B$101,Check!B141)))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P&amp;L'!$H$11:$H$101,'Master P&amp;L'!$B$11:$B$101,Check!O141)))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IF(B142="","",IF(LEN(B142)&gt;9,SUMIFS(Options!$H$3:$H$28,Options!$B$3:$B$28,Check!B142),SUMIFS('Master P&amp;L'!$H$11:$H$101,'Master P&amp;L'!$B$11:$B$101,Check!B142)))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P&amp;L'!$H$11:$H$101,'Master P&amp;L'!$B$11:$B$101,Check!O142)))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IF(B143="","",IF(LEN(B143)&gt;9,SUMIFS(Options!$H$3:$H$28,Options!$B$3:$B$28,Check!B143),SUMIFS('Master P&amp;L'!$H$11:$H$101,'Master P&amp;L'!$B$11:$B$101,Check!B143)))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P&amp;L'!$H$11:$H$101,'Master P&amp;L'!$B$11:$B$101,Check!O143)))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P&amp;L'!$H$11:$H$101,'Master P&amp;L'!$B$11:$B$101,Check!B144)))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P&amp;L'!$H$11:$H$101,'Master P&amp;L'!$B$11:$B$101,Check!O144)))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P&amp;L'!$H$11:$H$101,'Master P&amp;L'!$B$11:$B$101,Check!B145)))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P&amp;L'!$H$11:$H$101,'Master P&amp;L'!$B$11:$B$101,Check!O145)))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IF(B146="","",IF(LEN(B146)&gt;9,SUMIFS(Options!$H$3:$H$28,Options!$B$3:$B$28,Check!B146),SUMIFS('Master P&amp;L'!$H$11:$H$101,'Master P&amp;L'!$B$11:$B$101,Check!B146)))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P&amp;L'!$H$11:$H$101,'Master P&amp;L'!$B$11:$B$101,Check!O146)))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IF(B147="","",IF(LEN(B147)&gt;9,SUMIFS(Options!$H$3:$H$28,Options!$B$3:$B$28,Check!B147),SUMIFS('Master P&amp;L'!$H$11:$H$101,'Master P&amp;L'!$B$11:$B$101,Check!B147)))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P&amp;L'!$H$11:$H$101,'Master P&amp;L'!$B$11:$B$101,Check!O147)))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P&amp;L'!$H$11:$H$101,'Master P&amp;L'!$B$11:$B$101,Check!B148)))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P&amp;L'!$H$11:$H$101,'Master P&amp;L'!$B$11:$B$101,Check!O148)))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P&amp;L'!$H$11:$H$101,'Master P&amp;L'!$B$11:$B$101,Check!B149)))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P&amp;L'!$H$11:$H$101,'Master P&amp;L'!$B$11:$B$101,Check!O149)))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P&amp;L'!$H$11:$H$101,'Master P&amp;L'!$B$11:$B$101,Check!B150)))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P&amp;L'!$H$11:$H$101,'Master P&amp;L'!$B$11:$B$101,Check!O150)))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P&amp;L'!$H$11:$H$101,'Master P&amp;L'!$B$11:$B$101,Check!B151)))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P&amp;L'!$H$11:$H$101,'Master P&amp;L'!$B$11:$B$101,Check!O151)))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P&amp;L'!$H$11:$H$101,'Master P&amp;L'!$B$11:$B$101,Check!B152)))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P&amp;L'!$H$11:$H$101,'Master P&amp;L'!$B$11:$B$101,Check!O152)))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P&amp;L'!$H$11:$H$101,'Master P&amp;L'!$B$11:$B$101,Check!B153)))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P&amp;L'!$H$11:$H$101,'Master P&amp;L'!$B$11:$B$101,Check!O153)))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P&amp;L'!$H$11:$H$101,'Master P&amp;L'!$B$11:$B$101,Check!B154)))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P&amp;L'!$H$11:$H$101,'Master P&amp;L'!$B$11:$B$101,Check!O154)))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P&amp;L'!$H$11:$H$101,'Master P&amp;L'!$B$11:$B$101,Check!B155)))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P&amp;L'!$H$11:$H$101,'Master P&amp;L'!$B$11:$B$101,Check!O155)))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P&amp;L'!$H$11:$H$101,'Master P&amp;L'!$B$11:$B$101,Check!B156)))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P&amp;L'!$H$11:$H$101,'Master P&amp;L'!$B$11:$B$101,Check!O156)))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P&amp;L'!$H$11:$H$101,'Master P&amp;L'!$B$11:$B$101,Check!B157)))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P&amp;L'!$H$11:$H$101,'Master P&amp;L'!$B$11:$B$101,Check!O157)))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P&amp;L'!$H$11:$H$101,'Master P&amp;L'!$B$11:$B$101,Check!B158)))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P&amp;L'!$H$11:$H$101,'Master P&amp;L'!$B$11:$B$101,Check!O158)))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P&amp;L'!$H$11:$H$101,'Master P&amp;L'!$B$11:$B$101,Check!B159)))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P&amp;L'!$H$11:$H$101,'Master P&amp;L'!$B$11:$B$101,Check!O159)))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P&amp;L'!$H$11:$H$101,'Master P&amp;L'!$B$11:$B$101,Check!B160)))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P&amp;L'!$H$11:$H$101,'Master P&amp;L'!$B$11:$B$101,Check!O160)))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P&amp;L'!$H$11:$H$101,'Master P&amp;L'!$B$11:$B$101,Check!B161)))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P&amp;L'!$H$11:$H$101,'Master P&amp;L'!$B$11:$B$101,Check!O161)))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P&amp;L'!$H$11:$H$101,'Master P&amp;L'!$B$11:$B$101,Check!B162)))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P&amp;L'!$H$11:$H$101,'Master P&amp;L'!$B$11:$B$101,Check!O162)))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P&amp;L'!$H$11:$H$101,'Master P&amp;L'!$B$11:$B$101,Check!B163)))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P&amp;L'!$H$11:$H$101,'Master P&amp;L'!$B$11:$B$101,Check!O163)))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P&amp;L'!$H$11:$H$101,'Master P&amp;L'!$B$11:$B$101,Check!B164)))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P&amp;L'!$H$11:$H$101,'Master P&amp;L'!$B$11:$B$101,Check!O164)))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P&amp;L'!$H$11:$H$101,'Master P&amp;L'!$B$11:$B$101,Check!B165)))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P&amp;L'!$H$11:$H$101,'Master P&amp;L'!$B$11:$B$101,Check!O165)))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P&amp;L'!$H$11:$H$101,'Master P&amp;L'!$B$11:$B$101,Check!B166)))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P&amp;L'!$H$11:$H$101,'Master P&amp;L'!$B$11:$B$101,Check!O166)))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P&amp;L'!$H$11:$H$101,'Master P&amp;L'!$B$11:$B$101,Check!B167)))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P&amp;L'!$H$11:$H$101,'Master P&amp;L'!$B$11:$B$101,Check!O167)))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P&amp;L'!$H$11:$H$101,'Master P&amp;L'!$B$11:$B$101,Check!B168)))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P&amp;L'!$H$11:$H$101,'Master P&amp;L'!$B$11:$B$101,Check!O168)))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P&amp;L'!$H$11:$H$101,'Master P&amp;L'!$B$11:$B$101,Check!B169)))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P&amp;L'!$H$11:$H$101,'Master P&amp;L'!$B$11:$B$101,Check!O169)))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P&amp;L'!$H$11:$H$101,'Master P&amp;L'!$B$11:$B$101,Check!B170)))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P&amp;L'!$H$11:$H$101,'Master P&amp;L'!$B$11:$B$101,Check!O170)))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P&amp;L'!$H$11:$H$101,'Master P&amp;L'!$B$11:$B$101,Check!B171)))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P&amp;L'!$H$11:$H$101,'Master P&amp;L'!$B$11:$B$101,Check!O171)))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P&amp;L'!$H$11:$H$101,'Master P&amp;L'!$B$11:$B$101,Check!B172)))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P&amp;L'!$H$11:$H$101,'Master P&amp;L'!$B$11:$B$101,Check!O172)))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P&amp;L'!$H$11:$H$101,'Master P&amp;L'!$B$11:$B$101,Check!B173)))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P&amp;L'!$H$11:$H$101,'Master P&amp;L'!$B$11:$B$101,Check!O173)))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P&amp;L'!$H$11:$H$101,'Master P&amp;L'!$B$11:$B$101,Check!B174)))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P&amp;L'!$H$11:$H$101,'Master P&amp;L'!$B$11:$B$101,Check!O174)))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P&amp;L'!$H$11:$H$101,'Master P&amp;L'!$B$11:$B$101,Check!B175)))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P&amp;L'!$H$11:$H$101,'Master P&amp;L'!$B$11:$B$101,Check!O175)))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P&amp;L'!$H$11:$H$101,'Master P&amp;L'!$B$11:$B$101,Check!B176)))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P&amp;L'!$H$11:$H$101,'Master P&amp;L'!$B$11:$B$101,Check!O176)))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P&amp;L'!$H$11:$H$101,'Master P&amp;L'!$B$11:$B$101,Check!B177)))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P&amp;L'!$H$11:$H$101,'Master P&amp;L'!$B$11:$B$101,Check!O177)))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P&amp;L'!$H$11:$H$101,'Master P&amp;L'!$B$11:$B$101,Check!B178)))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P&amp;L'!$H$11:$H$101,'Master P&amp;L'!$B$11:$B$101,Check!O178)))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P&amp;L'!$H$11:$H$101,'Master P&amp;L'!$B$11:$B$101,Check!B179)))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P&amp;L'!$H$11:$H$101,'Master P&amp;L'!$B$11:$B$101,Check!O179)))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P&amp;L'!$H$11:$H$101,'Master P&amp;L'!$B$11:$B$101,Check!B180)))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P&amp;L'!$H$11:$H$101,'Master P&amp;L'!$B$11:$B$101,Check!O180)))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P&amp;L'!$H$11:$H$101,'Master P&amp;L'!$B$11:$B$101,Check!B181)))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P&amp;L'!$H$11:$H$101,'Master P&amp;L'!$B$11:$B$101,Check!O181)))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P&amp;L'!$H$11:$H$101,'Master P&amp;L'!$B$11:$B$101,Check!B182)))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P&amp;L'!$H$11:$H$101,'Master P&amp;L'!$B$11:$B$101,Check!O182)))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P&amp;L'!$H$11:$H$101,'Master P&amp;L'!$B$11:$B$101,Check!B183)))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P&amp;L'!$H$11:$H$101,'Master P&amp;L'!$B$11:$B$101,Check!O183)))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P&amp;L'!$H$11:$H$101,'Master P&amp;L'!$B$11:$B$101,Check!B184)))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P&amp;L'!$H$11:$H$101,'Master P&amp;L'!$B$11:$B$101,Check!O184)))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P&amp;L'!$H$11:$H$101,'Master P&amp;L'!$B$11:$B$101,Check!B185)))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P&amp;L'!$H$11:$H$101,'Master P&amp;L'!$B$11:$B$101,Check!O185)))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P&amp;L'!$H$11:$H$101,'Master P&amp;L'!$B$11:$B$101,Check!B186)))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P&amp;L'!$H$11:$H$101,'Master P&amp;L'!$B$11:$B$101,Check!O186)))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P&amp;L'!$H$11:$H$101,'Master P&amp;L'!$B$11:$B$101,Check!B187)))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P&amp;L'!$H$11:$H$101,'Master P&amp;L'!$B$11:$B$101,Check!O187)))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P&amp;L'!$H$11:$H$101,'Master P&amp;L'!$B$11:$B$101,Check!B188)))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P&amp;L'!$H$11:$H$101,'Master P&amp;L'!$B$11:$B$101,Check!O188)))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P&amp;L'!$H$11:$H$101,'Master P&amp;L'!$B$11:$B$101,Check!B189)))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P&amp;L'!$H$11:$H$101,'Master P&amp;L'!$B$11:$B$101,Check!O189)))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P&amp;L'!$H$11:$H$101,'Master P&amp;L'!$B$11:$B$101,Check!B190)))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P&amp;L'!$H$11:$H$101,'Master P&amp;L'!$B$11:$B$101,Check!O190)))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P&amp;L'!$H$11:$H$101,'Master P&amp;L'!$B$11:$B$101,Check!B191)))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P&amp;L'!$H$11:$H$101,'Master P&amp;L'!$B$11:$B$101,Check!O191)))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P&amp;L'!$H$11:$H$101,'Master P&amp;L'!$B$11:$B$101,Check!O192)))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P&amp;L'!$H$11:$H$101,'Master P&amp;L'!$B$11:$B$101,Check!O193)))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P&amp;L'!$H$11:$H$101,'Master P&amp;L'!$B$11:$B$101,Check!O194)))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P&amp;L'!$H$11:$H$101,'Master P&amp;L'!$B$11:$B$101,Check!O195)))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P&amp;L'!$H$11:$H$101,'Master P&amp;L'!$B$11:$B$101,Check!O196)))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P&amp;L'!$H$11:$H$101,'Master P&amp;L'!$B$11:$B$101,Check!O197)))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P&amp;L'!$H$11:$H$101,'Master P&amp;L'!$B$11:$B$101,Check!O198)))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P&amp;L'!$H$11:$H$101,'Master P&amp;L'!$B$11:$B$101,Check!O199)))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P&amp;L'!$H$11:$H$101,'Master P&amp;L'!$B$11:$B$101,Check!O200)))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P&amp;L'!$H$11:$H$101,'Master P&amp;L'!$B$11:$B$101,Check!O201)))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P&amp;L'!$H$11:$H$101,'Master P&amp;L'!$B$11:$B$101,Check!O202)))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P&amp;L'!$H$11:$H$101,'Master P&amp;L'!$B$11:$B$101,Check!O203)))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P&amp;L'!$H$11:$H$101,'Master P&amp;L'!$B$11:$B$101,Check!O204)))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P&amp;L'!$H$11:$H$101,'Master P&amp;L'!$B$11:$B$101,Check!O205)))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P&amp;L'!$H$11:$H$101,'Master P&amp;L'!$B$11:$B$101,Check!O206)))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1" priority="4">
      <formula>J5&lt;&gt;0</formula>
    </cfRule>
  </conditionalFormatting>
  <conditionalFormatting sqref="E5:E191">
    <cfRule type="expression" dxfId="10" priority="3">
      <formula>E5&lt;&gt;0</formula>
    </cfRule>
  </conditionalFormatting>
  <conditionalFormatting sqref="S5:S206">
    <cfRule type="cellIs" dxfId="9" priority="2" operator="lessThan">
      <formula>0.9</formula>
    </cfRule>
  </conditionalFormatting>
  <conditionalFormatting sqref="S5:S198">
    <cfRule type="expression" dxfId="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1036</v>
      </c>
      <c r="G2" s="169" t="s">
        <v>208</v>
      </c>
      <c r="H2" s="169">
        <v>2537</v>
      </c>
      <c r="I2" s="169">
        <v>1973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2537</v>
      </c>
      <c r="O2" s="171">
        <f>IF(E2="","",I2)</f>
        <v>1973</v>
      </c>
    </row>
    <row r="3" spans="5:15">
      <c r="E3" s="169" t="s">
        <v>242</v>
      </c>
      <c r="F3" s="169" t="s">
        <v>1079</v>
      </c>
      <c r="G3" s="169" t="s">
        <v>208</v>
      </c>
      <c r="H3" s="169">
        <v>12024</v>
      </c>
      <c r="I3" s="169">
        <v>6106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12024</v>
      </c>
      <c r="O3" s="171">
        <f t="shared" ref="O3:O66" si="3">IF(E3="","",I3)</f>
        <v>6106</v>
      </c>
    </row>
    <row r="4" spans="5:15">
      <c r="E4" s="169" t="s">
        <v>335</v>
      </c>
      <c r="F4" s="169" t="s">
        <v>1028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1076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1074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1049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15399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15399</v>
      </c>
      <c r="O10" s="171">
        <f t="shared" si="3"/>
        <v>15399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800</v>
      </c>
      <c r="G13" s="169" t="s">
        <v>208</v>
      </c>
      <c r="H13" s="169">
        <v>4215</v>
      </c>
      <c r="I13" s="169">
        <v>3943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3943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-103743.93</v>
      </c>
      <c r="I21" s="169">
        <v>40729.67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-103743.93</v>
      </c>
      <c r="O21" s="171">
        <f t="shared" si="3"/>
        <v>40729.67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-752416.03564685001</v>
      </c>
      <c r="I26" s="169">
        <v>-145879.99564685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-752416.03564685001</v>
      </c>
      <c r="O26" s="171">
        <f t="shared" si="3"/>
        <v>-145879.99564685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892</v>
      </c>
      <c r="G28" s="169" t="s">
        <v>208</v>
      </c>
      <c r="H28" s="169">
        <v>28668</v>
      </c>
      <c r="I28" s="169">
        <v>24822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CSCO</v>
      </c>
      <c r="M28" s="170" t="str">
        <f t="shared" si="1"/>
        <v>EQTY.IntlUS.off</v>
      </c>
      <c r="N28" s="171">
        <f t="shared" si="2"/>
        <v>28668</v>
      </c>
      <c r="O28" s="171">
        <f t="shared" si="3"/>
        <v>24822</v>
      </c>
    </row>
    <row r="29" spans="5:15">
      <c r="E29" s="169" t="s">
        <v>244</v>
      </c>
      <c r="F29" s="169" t="s">
        <v>1050</v>
      </c>
      <c r="G29" s="169" t="s">
        <v>208</v>
      </c>
      <c r="H29" s="169">
        <v>-940</v>
      </c>
      <c r="I29" s="169">
        <v>-940</v>
      </c>
      <c r="K29" s="170" t="str">
        <f t="shared" si="0"/>
        <v>US Equity Options</v>
      </c>
      <c r="L29" s="170" t="str">
        <f>IF(E29="","",IF(COUNTIFS(Table2[[#All],[De (Lote)]],Input_APM!F29)&gt;0,INDEX(Table2[[#All],[Para (Ticker Daniel)]],MATCH(Input_APM!F29,Table2[[#All],[De (Lote)]],0)),Input_APM!F29))</f>
        <v>CSCO US 04/17/26 C100</v>
      </c>
      <c r="M29" s="170" t="str">
        <f t="shared" si="1"/>
        <v>EQTY.IntlUS.off</v>
      </c>
      <c r="N29" s="171">
        <f t="shared" si="2"/>
        <v>-940</v>
      </c>
      <c r="O29" s="171">
        <f t="shared" si="3"/>
        <v>-940</v>
      </c>
    </row>
    <row r="30" spans="5:15">
      <c r="E30" s="169" t="s">
        <v>244</v>
      </c>
      <c r="F30" s="169" t="s">
        <v>1051</v>
      </c>
      <c r="G30" s="169" t="s">
        <v>208</v>
      </c>
      <c r="H30" s="169">
        <v>940</v>
      </c>
      <c r="I30" s="169">
        <v>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C95</v>
      </c>
      <c r="M30" s="170" t="str">
        <f t="shared" si="1"/>
        <v>EQTY.IntlUS.off</v>
      </c>
      <c r="N30" s="171">
        <f t="shared" si="2"/>
        <v>940</v>
      </c>
      <c r="O30" s="171">
        <f t="shared" si="3"/>
        <v>940</v>
      </c>
    </row>
    <row r="31" spans="5:15">
      <c r="E31" s="169" t="s">
        <v>244</v>
      </c>
      <c r="F31" s="169" t="s">
        <v>1078</v>
      </c>
      <c r="G31" s="169" t="s">
        <v>208</v>
      </c>
      <c r="H31" s="169">
        <v>-470</v>
      </c>
      <c r="I31" s="169">
        <v>-470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07/17/26 C100</v>
      </c>
      <c r="M31" s="170" t="str">
        <f t="shared" si="1"/>
        <v>EQTY.IntlUS.off</v>
      </c>
      <c r="N31" s="171">
        <f t="shared" si="2"/>
        <v>-470</v>
      </c>
      <c r="O31" s="171">
        <f t="shared" si="3"/>
        <v>-470</v>
      </c>
    </row>
    <row r="32" spans="5:15">
      <c r="E32" s="169" t="s">
        <v>244</v>
      </c>
      <c r="F32" s="169" t="s">
        <v>1077</v>
      </c>
      <c r="G32" s="169" t="s">
        <v>208</v>
      </c>
      <c r="H32" s="169">
        <v>0</v>
      </c>
      <c r="I32" s="169">
        <v>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470</v>
      </c>
    </row>
    <row r="33" spans="5:15">
      <c r="E33" s="169" t="s">
        <v>1053</v>
      </c>
      <c r="F33" s="169" t="s">
        <v>1047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36016</v>
      </c>
      <c r="I34" s="169">
        <v>28499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28499</v>
      </c>
    </row>
    <row r="35" spans="5:15">
      <c r="E35" s="169" t="s">
        <v>245</v>
      </c>
      <c r="F35" s="169" t="s">
        <v>78</v>
      </c>
      <c r="G35" s="169" t="s">
        <v>208</v>
      </c>
      <c r="H35" s="169">
        <v>31688</v>
      </c>
      <c r="I35" s="169">
        <v>28646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 xml:space="preserve">GDX </v>
      </c>
      <c r="M35" s="170" t="str">
        <f t="shared" si="1"/>
        <v>EQTY.IntlUS.off</v>
      </c>
      <c r="N35" s="171">
        <f t="shared" si="2"/>
        <v>31688</v>
      </c>
      <c r="O35" s="171">
        <f t="shared" si="3"/>
        <v>28646</v>
      </c>
    </row>
    <row r="36" spans="5:15">
      <c r="E36" s="169" t="s">
        <v>248</v>
      </c>
      <c r="F36" s="169" t="s">
        <v>837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838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1037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1852</v>
      </c>
      <c r="I39" s="169">
        <v>1852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1852</v>
      </c>
      <c r="O39" s="171">
        <f t="shared" si="3"/>
        <v>1852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242</v>
      </c>
      <c r="F42" s="169" t="s">
        <v>342</v>
      </c>
      <c r="G42" s="169" t="s">
        <v>208</v>
      </c>
      <c r="H42" s="169">
        <v>-939</v>
      </c>
      <c r="I42" s="169">
        <v>-1879</v>
      </c>
      <c r="K42" s="170" t="str">
        <f t="shared" si="0"/>
        <v>US Equity</v>
      </c>
      <c r="L42" s="170" t="str">
        <f>IF(E42="","",IF(COUNTIFS(Table2[[#All],[De (Lote)]],Input_APM!F42)&gt;0,INDEX(Table2[[#All],[Para (Ticker Daniel)]],MATCH(Input_APM!F42,Table2[[#All],[De (Lote)]],0)),Input_APM!F42))</f>
        <v>INTC</v>
      </c>
      <c r="M42" s="170" t="str">
        <f t="shared" si="1"/>
        <v>EQTY.IntlUS.off</v>
      </c>
      <c r="N42" s="171">
        <f t="shared" si="2"/>
        <v>-939</v>
      </c>
      <c r="O42" s="171">
        <f t="shared" si="3"/>
        <v>-1879</v>
      </c>
    </row>
    <row r="43" spans="5:15">
      <c r="E43" s="169" t="s">
        <v>244</v>
      </c>
      <c r="F43" s="169" t="s">
        <v>879</v>
      </c>
      <c r="G43" s="169" t="s">
        <v>208</v>
      </c>
      <c r="H43" s="169">
        <v>284</v>
      </c>
      <c r="I43" s="169">
        <v>284</v>
      </c>
      <c r="K43" s="170" t="str">
        <f t="shared" si="0"/>
        <v>US Equity Options</v>
      </c>
      <c r="L43" s="170" t="str">
        <f>IF(E43="","",IF(COUNTIFS(Table2[[#All],[De (Lote)]],Input_APM!F43)&gt;0,INDEX(Table2[[#All],[Para (Ticker Daniel)]],MATCH(Input_APM!F43,Table2[[#All],[De (Lote)]],0)),Input_APM!F43))</f>
        <v>INTC US 07/17/26 C50</v>
      </c>
      <c r="M43" s="170" t="str">
        <f t="shared" si="1"/>
        <v>EQTY.IntlUS.off</v>
      </c>
      <c r="N43" s="171">
        <f t="shared" si="2"/>
        <v>284</v>
      </c>
      <c r="O43" s="171">
        <f t="shared" si="3"/>
        <v>284</v>
      </c>
    </row>
    <row r="44" spans="5:15">
      <c r="E44" s="169" t="s">
        <v>245</v>
      </c>
      <c r="F44" s="169" t="s">
        <v>6</v>
      </c>
      <c r="G44" s="169" t="s">
        <v>208</v>
      </c>
      <c r="H44" s="169">
        <v>14082</v>
      </c>
      <c r="I44" s="169">
        <v>14082</v>
      </c>
      <c r="K44" s="170" t="str">
        <f t="shared" si="0"/>
        <v>ETF</v>
      </c>
      <c r="L44" s="170" t="str">
        <f>IF(E44="","",IF(COUNTIFS(Table2[[#All],[De (Lote)]],Input_APM!F44)&gt;0,INDEX(Table2[[#All],[Para (Ticker Daniel)]],MATCH(Input_APM!F44,Table2[[#All],[De (Lote)]],0)),Input_APM!F44))</f>
        <v>KBWB</v>
      </c>
      <c r="M44" s="170" t="str">
        <f t="shared" si="1"/>
        <v>EQTY.IntlUS.off</v>
      </c>
      <c r="N44" s="171">
        <f t="shared" si="2"/>
        <v>14082</v>
      </c>
      <c r="O44" s="171">
        <f t="shared" si="3"/>
        <v>14082</v>
      </c>
    </row>
    <row r="45" spans="5:15">
      <c r="E45" s="169" t="s">
        <v>242</v>
      </c>
      <c r="F45" s="169" t="s">
        <v>839</v>
      </c>
      <c r="G45" s="169" t="s">
        <v>208</v>
      </c>
      <c r="H45" s="169">
        <v>-9842</v>
      </c>
      <c r="I45" s="169">
        <v>-9842</v>
      </c>
      <c r="K45" s="170" t="str">
        <f t="shared" si="0"/>
        <v>US Equity</v>
      </c>
      <c r="L45" s="170" t="str">
        <f>IF(E45="","",IF(COUNTIFS(Table2[[#All],[De (Lote)]],Input_APM!F45)&gt;0,INDEX(Table2[[#All],[Para (Ticker Daniel)]],MATCH(Input_APM!F45,Table2[[#All],[De (Lote)]],0)),Input_APM!F45))</f>
        <v>KHC</v>
      </c>
      <c r="M45" s="170" t="str">
        <f t="shared" si="1"/>
        <v>EQTY.IntlUS.off</v>
      </c>
      <c r="N45" s="171">
        <f t="shared" si="2"/>
        <v>-9842</v>
      </c>
      <c r="O45" s="171">
        <f t="shared" si="3"/>
        <v>-9842</v>
      </c>
    </row>
    <row r="46" spans="5:15">
      <c r="E46" s="169" t="s">
        <v>876</v>
      </c>
      <c r="F46" s="169" t="s">
        <v>862</v>
      </c>
      <c r="G46" s="169" t="s">
        <v>208</v>
      </c>
      <c r="H46" s="169">
        <v>10349446</v>
      </c>
      <c r="I46" s="169">
        <v>10349446</v>
      </c>
      <c r="K46" s="170" t="str">
        <f t="shared" si="0"/>
        <v>KOSPI 200 Index Options - KRX</v>
      </c>
      <c r="L46" s="170" t="str">
        <f>IF(E46="","",IF(COUNTIFS(Table2[[#All],[De (Lote)]],Input_APM!F46)&gt;0,INDEX(Table2[[#All],[Para (Ticker Daniel)]],MATCH(Input_APM!F46,Table2[[#All],[De (Lote)]],0)),Input_APM!F46))</f>
        <v>KOSPI2 12/10/26 C1000</v>
      </c>
      <c r="M46" s="170" t="str">
        <f t="shared" si="1"/>
        <v>EQTY.IntlUS.off</v>
      </c>
      <c r="N46" s="171">
        <f t="shared" si="2"/>
        <v>10349446</v>
      </c>
      <c r="O46" s="171">
        <f t="shared" si="3"/>
        <v>10349446</v>
      </c>
    </row>
    <row r="47" spans="5:15">
      <c r="E47" s="169" t="s">
        <v>242</v>
      </c>
      <c r="F47" s="169" t="s">
        <v>728</v>
      </c>
      <c r="G47" s="169" t="s">
        <v>208</v>
      </c>
      <c r="H47" s="169">
        <v>3756</v>
      </c>
      <c r="I47" s="169">
        <v>3719</v>
      </c>
      <c r="K47" s="170" t="str">
        <f t="shared" si="0"/>
        <v>US Equity</v>
      </c>
      <c r="L47" s="170" t="str">
        <f>IF(E47="","",IF(COUNTIFS(Table2[[#All],[De (Lote)]],Input_APM!F47)&gt;0,INDEX(Table2[[#All],[Para (Ticker Daniel)]],MATCH(Input_APM!F47,Table2[[#All],[De (Lote)]],0)),Input_APM!F47))</f>
        <v>LITE</v>
      </c>
      <c r="M47" s="170" t="str">
        <f t="shared" si="1"/>
        <v>EQTY.IntlUS.off</v>
      </c>
      <c r="N47" s="171">
        <f t="shared" si="2"/>
        <v>3756</v>
      </c>
      <c r="O47" s="171">
        <f t="shared" si="3"/>
        <v>3719</v>
      </c>
    </row>
    <row r="48" spans="5:15">
      <c r="E48" s="169" t="s">
        <v>244</v>
      </c>
      <c r="F48" s="169" t="s">
        <v>1045</v>
      </c>
      <c r="G48" s="169" t="s">
        <v>208</v>
      </c>
      <c r="H48" s="169">
        <v>142</v>
      </c>
      <c r="I48" s="169">
        <v>142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C600</v>
      </c>
      <c r="M48" s="170" t="str">
        <f t="shared" si="1"/>
        <v>EQTY.IntlUS.off</v>
      </c>
      <c r="N48" s="171">
        <f t="shared" si="2"/>
        <v>142</v>
      </c>
      <c r="O48" s="171">
        <f t="shared" si="3"/>
        <v>142</v>
      </c>
    </row>
    <row r="49" spans="5:15">
      <c r="E49" s="169" t="s">
        <v>244</v>
      </c>
      <c r="F49" s="169" t="s">
        <v>1046</v>
      </c>
      <c r="G49" s="169" t="s">
        <v>208</v>
      </c>
      <c r="H49" s="169">
        <v>-143</v>
      </c>
      <c r="I49" s="169">
        <v>-143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C720</v>
      </c>
      <c r="M49" s="170" t="str">
        <f t="shared" si="1"/>
        <v>EQTY.IntlUS.off</v>
      </c>
      <c r="N49" s="171">
        <f t="shared" si="2"/>
        <v>-143</v>
      </c>
      <c r="O49" s="171">
        <f t="shared" si="3"/>
        <v>-143</v>
      </c>
    </row>
    <row r="50" spans="5:15">
      <c r="E50" s="169" t="s">
        <v>335</v>
      </c>
      <c r="F50" s="169" t="s">
        <v>937</v>
      </c>
      <c r="G50" s="169" t="s">
        <v>208</v>
      </c>
      <c r="H50" s="169">
        <v>-9372000</v>
      </c>
      <c r="I50" s="169">
        <v>-9372000</v>
      </c>
      <c r="K50" s="170" t="str">
        <f t="shared" si="0"/>
        <v>Global Bonds</v>
      </c>
      <c r="L50" s="170" t="str">
        <f>IF(E50="","",IF(COUNTIFS(Table2[[#All],[De (Lote)]],Input_APM!F50)&gt;0,INDEX(Table2[[#All],[Para (Ticker Daniel)]],MATCH(Input_APM!F50,Table2[[#All],[De (Lote)]],0)),Input_APM!F50))</f>
        <v>META 4.875% 11/15/35</v>
      </c>
      <c r="M50" s="170" t="str">
        <f t="shared" si="1"/>
        <v>EQTY.IntlUS.off</v>
      </c>
      <c r="N50" s="171">
        <f t="shared" si="2"/>
        <v>-9372000</v>
      </c>
      <c r="O50" s="171">
        <f t="shared" si="3"/>
        <v>-9372000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7610</v>
      </c>
      <c r="I51" s="169">
        <v>7610</v>
      </c>
      <c r="K51" s="170" t="str">
        <f t="shared" si="0"/>
        <v>US Equity</v>
      </c>
      <c r="L51" s="170" t="str">
        <f>IF(E51="","",IF(COUNTIFS(Table2[[#All],[De (Lote)]],Input_APM!F51)&gt;0,INDEX(Table2[[#All],[Para (Ticker Daniel)]],MATCH(Input_APM!F51,Table2[[#All],[De (Lote)]],0)),Input_APM!F51))</f>
        <v>META</v>
      </c>
      <c r="M51" s="170" t="str">
        <f t="shared" si="1"/>
        <v>EQTY.IntlUS.off</v>
      </c>
      <c r="N51" s="171">
        <f t="shared" si="2"/>
        <v>7610</v>
      </c>
      <c r="O51" s="171">
        <f t="shared" si="3"/>
        <v>7610</v>
      </c>
    </row>
    <row r="52" spans="5:15">
      <c r="E52" s="169" t="s">
        <v>244</v>
      </c>
      <c r="F52" s="169" t="s">
        <v>957</v>
      </c>
      <c r="G52" s="169" t="s">
        <v>208</v>
      </c>
      <c r="H52" s="169">
        <v>161</v>
      </c>
      <c r="I52" s="169">
        <v>161</v>
      </c>
      <c r="K52" s="170" t="str">
        <f t="shared" si="0"/>
        <v>US Equity Options</v>
      </c>
      <c r="L52" s="170" t="str">
        <f>IF(E52="","",IF(COUNTIFS(Table2[[#All],[De (Lote)]],Input_APM!F52)&gt;0,INDEX(Table2[[#All],[Para (Ticker Daniel)]],MATCH(Input_APM!F52,Table2[[#All],[De (Lote)]],0)),Input_APM!F52))</f>
        <v>META US 07/17/26 C750</v>
      </c>
      <c r="M52" s="170" t="str">
        <f t="shared" si="1"/>
        <v>EQTY.IntlUS.off</v>
      </c>
      <c r="N52" s="171">
        <f t="shared" si="2"/>
        <v>161</v>
      </c>
      <c r="O52" s="171">
        <f t="shared" si="3"/>
        <v>161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-5262</v>
      </c>
      <c r="I53" s="169">
        <v>-5262</v>
      </c>
      <c r="K53" s="170" t="str">
        <f t="shared" si="0"/>
        <v>US Equity</v>
      </c>
      <c r="L53" s="170" t="str">
        <f>IF(E53="","",IF(COUNTIFS(Table2[[#All],[De (Lote)]],Input_APM!F53)&gt;0,INDEX(Table2[[#All],[Para (Ticker Daniel)]],MATCH(Input_APM!F53,Table2[[#All],[De (Lote)]],0)),Input_APM!F53))</f>
        <v>MRVL</v>
      </c>
      <c r="M53" s="170" t="str">
        <f t="shared" si="1"/>
        <v>EQTY.IntlUS.off</v>
      </c>
      <c r="N53" s="171">
        <f t="shared" si="2"/>
        <v>-5262</v>
      </c>
      <c r="O53" s="171">
        <f t="shared" si="3"/>
        <v>-5262</v>
      </c>
    </row>
    <row r="54" spans="5:15">
      <c r="E54" s="169" t="s">
        <v>244</v>
      </c>
      <c r="F54" s="169" t="s">
        <v>979</v>
      </c>
      <c r="G54" s="169" t="s">
        <v>208</v>
      </c>
      <c r="H54" s="169">
        <v>-422</v>
      </c>
      <c r="I54" s="169">
        <v>-422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P60</v>
      </c>
      <c r="M54" s="170" t="str">
        <f t="shared" si="1"/>
        <v>EQTY.IntlUS.off</v>
      </c>
      <c r="N54" s="171">
        <f t="shared" si="2"/>
        <v>-422</v>
      </c>
      <c r="O54" s="171">
        <f t="shared" si="3"/>
        <v>-422</v>
      </c>
    </row>
    <row r="55" spans="5:15">
      <c r="E55" s="169" t="s">
        <v>244</v>
      </c>
      <c r="F55" s="169" t="s">
        <v>845</v>
      </c>
      <c r="G55" s="169" t="s">
        <v>208</v>
      </c>
      <c r="H55" s="169">
        <v>422</v>
      </c>
      <c r="I55" s="169">
        <v>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P70</v>
      </c>
      <c r="M55" s="170" t="str">
        <f t="shared" si="1"/>
        <v>EQTY.IntlUS.off</v>
      </c>
      <c r="N55" s="171">
        <f t="shared" si="2"/>
        <v>422</v>
      </c>
      <c r="O55" s="171">
        <f t="shared" si="3"/>
        <v>422</v>
      </c>
    </row>
    <row r="56" spans="5:15">
      <c r="E56" s="169" t="s">
        <v>335</v>
      </c>
      <c r="F56" s="169" t="s">
        <v>1123</v>
      </c>
      <c r="G56" s="169" t="s">
        <v>208</v>
      </c>
      <c r="H56" s="169">
        <v>-4694500</v>
      </c>
      <c r="I56" s="169">
        <v>0</v>
      </c>
      <c r="K56" s="170" t="str">
        <f t="shared" si="0"/>
        <v>Global Bonds</v>
      </c>
      <c r="L56" s="170" t="str">
        <f>IF(E56="","",IF(COUNTIFS(Table2[[#All],[De (Lote)]],Input_APM!F56)&gt;0,INDEX(Table2[[#All],[Para (Ticker Daniel)]],MATCH(Input_APM!F56,Table2[[#All],[De (Lote)]],0)),Input_APM!F56))</f>
        <v>NFLX 4.90% 08/15/34</v>
      </c>
      <c r="M56" s="170" t="str">
        <f t="shared" si="1"/>
        <v>EQTY.IntlUS.off</v>
      </c>
      <c r="N56" s="171">
        <f t="shared" si="2"/>
        <v>-4694500</v>
      </c>
      <c r="O56" s="171">
        <f t="shared" si="3"/>
        <v>0</v>
      </c>
    </row>
    <row r="57" spans="5:15">
      <c r="E57" s="169" t="s">
        <v>244</v>
      </c>
      <c r="F57" s="169" t="s">
        <v>980</v>
      </c>
      <c r="G57" s="169" t="s">
        <v>208</v>
      </c>
      <c r="H57" s="169">
        <v>-282</v>
      </c>
      <c r="I57" s="169">
        <v>-188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C90</v>
      </c>
      <c r="M57" s="170" t="str">
        <f t="shared" si="1"/>
        <v>EQTY.IntlUS.off</v>
      </c>
      <c r="N57" s="171">
        <f t="shared" si="2"/>
        <v>-282</v>
      </c>
      <c r="O57" s="171">
        <f t="shared" si="3"/>
        <v>-188</v>
      </c>
    </row>
    <row r="58" spans="5:15">
      <c r="E58" s="169" t="s">
        <v>244</v>
      </c>
      <c r="F58" s="169" t="s">
        <v>981</v>
      </c>
      <c r="G58" s="169" t="s">
        <v>208</v>
      </c>
      <c r="H58" s="169">
        <v>-94</v>
      </c>
      <c r="I58" s="169">
        <v>-188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P70</v>
      </c>
      <c r="M58" s="170" t="str">
        <f t="shared" si="1"/>
        <v>EQTY.IntlUS.off</v>
      </c>
      <c r="N58" s="171">
        <f t="shared" si="2"/>
        <v>-94</v>
      </c>
      <c r="O58" s="171">
        <f t="shared" si="3"/>
        <v>-188</v>
      </c>
    </row>
    <row r="59" spans="5:15">
      <c r="E59" s="169" t="s">
        <v>962</v>
      </c>
      <c r="F59" s="169" t="s">
        <v>963</v>
      </c>
      <c r="G59" s="169" t="s">
        <v>208</v>
      </c>
      <c r="H59" s="169">
        <v>-14</v>
      </c>
      <c r="I59" s="169">
        <v>-14</v>
      </c>
      <c r="K59" s="170" t="str">
        <f t="shared" si="0"/>
        <v>NASDAQ-100 E-mini Futures - CME</v>
      </c>
      <c r="L59" s="170" t="str">
        <f>IF(E59="","",IF(COUNTIFS(Table2[[#All],[De (Lote)]],Input_APM!F59)&gt;0,INDEX(Table2[[#All],[Para (Ticker Daniel)]],MATCH(Input_APM!F59,Table2[[#All],[De (Lote)]],0)),Input_APM!F59))</f>
        <v>NQH6</v>
      </c>
      <c r="M59" s="170" t="str">
        <f t="shared" si="1"/>
        <v>EQTY.IntlUS.off</v>
      </c>
      <c r="N59" s="171">
        <f t="shared" si="2"/>
        <v>-14</v>
      </c>
      <c r="O59" s="171">
        <f t="shared" si="3"/>
        <v>-14</v>
      </c>
    </row>
    <row r="60" spans="5:15">
      <c r="E60" s="169" t="s">
        <v>242</v>
      </c>
      <c r="F60" s="169" t="s">
        <v>42</v>
      </c>
      <c r="G60" s="169" t="s">
        <v>208</v>
      </c>
      <c r="H60" s="169">
        <v>49407</v>
      </c>
      <c r="I60" s="169">
        <v>38627</v>
      </c>
      <c r="K60" s="170" t="str">
        <f t="shared" si="0"/>
        <v>US Equity</v>
      </c>
      <c r="L60" s="170" t="str">
        <f>IF(E60="","",IF(COUNTIFS(Table2[[#All],[De (Lote)]],Input_APM!F60)&gt;0,INDEX(Table2[[#All],[Para (Ticker Daniel)]],MATCH(Input_APM!F60,Table2[[#All],[De (Lote)]],0)),Input_APM!F60))</f>
        <v>NVDA</v>
      </c>
      <c r="M60" s="170" t="str">
        <f t="shared" si="1"/>
        <v>EQTY.IntlUS.off</v>
      </c>
      <c r="N60" s="171">
        <f t="shared" si="2"/>
        <v>49407</v>
      </c>
      <c r="O60" s="171">
        <f t="shared" si="3"/>
        <v>38627</v>
      </c>
    </row>
    <row r="61" spans="5:15">
      <c r="E61" s="169" t="s">
        <v>244</v>
      </c>
      <c r="F61" s="169" t="s">
        <v>1069</v>
      </c>
      <c r="G61" s="169" t="s">
        <v>208</v>
      </c>
      <c r="H61" s="169">
        <v>681</v>
      </c>
      <c r="I61" s="169">
        <v>681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C200</v>
      </c>
      <c r="M61" s="170" t="str">
        <f t="shared" si="1"/>
        <v>EQTY.IntlUS.off</v>
      </c>
      <c r="N61" s="171">
        <f t="shared" si="2"/>
        <v>681</v>
      </c>
      <c r="O61" s="171">
        <f t="shared" si="3"/>
        <v>681</v>
      </c>
    </row>
    <row r="62" spans="5:15">
      <c r="E62" s="169" t="s">
        <v>244</v>
      </c>
      <c r="F62" s="169" t="s">
        <v>1070</v>
      </c>
      <c r="G62" s="169" t="s">
        <v>208</v>
      </c>
      <c r="H62" s="169">
        <v>-680</v>
      </c>
      <c r="I62" s="169">
        <v>-680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C220</v>
      </c>
      <c r="M62" s="170" t="str">
        <f t="shared" si="1"/>
        <v>EQTY.IntlUS.off</v>
      </c>
      <c r="N62" s="171">
        <f t="shared" si="2"/>
        <v>-680</v>
      </c>
      <c r="O62" s="171">
        <f t="shared" si="3"/>
        <v>-680</v>
      </c>
    </row>
    <row r="63" spans="5:15">
      <c r="E63" s="169" t="s">
        <v>244</v>
      </c>
      <c r="F63" s="169" t="s">
        <v>923</v>
      </c>
      <c r="G63" s="169" t="s">
        <v>208</v>
      </c>
      <c r="H63" s="169">
        <v>142</v>
      </c>
      <c r="I63" s="169">
        <v>142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05/15/26 C200</v>
      </c>
      <c r="M63" s="170" t="str">
        <f t="shared" si="1"/>
        <v>EQTY.IntlUS.off</v>
      </c>
      <c r="N63" s="171">
        <f t="shared" si="2"/>
        <v>142</v>
      </c>
      <c r="O63" s="171">
        <f t="shared" si="3"/>
        <v>142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-21563</v>
      </c>
      <c r="I64" s="169">
        <v>-162620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0" t="str">
        <f t="shared" si="1"/>
        <v>EQTY.IntlUS.off</v>
      </c>
      <c r="N64" s="171">
        <f t="shared" si="2"/>
        <v>-21563</v>
      </c>
      <c r="O64" s="171">
        <f t="shared" si="3"/>
        <v>-162620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-1292117.8</v>
      </c>
      <c r="I65" s="169">
        <v>-347341.6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USD_</v>
      </c>
      <c r="M65" s="170" t="str">
        <f t="shared" si="1"/>
        <v>EQTY.IntlUS.off</v>
      </c>
      <c r="N65" s="171">
        <f t="shared" si="2"/>
        <v>-1292117.8</v>
      </c>
      <c r="O65" s="171">
        <f t="shared" si="3"/>
        <v>-347341.6</v>
      </c>
    </row>
    <row r="66" spans="5:15">
      <c r="E66" s="169" t="s">
        <v>243</v>
      </c>
      <c r="F66" s="169" t="s">
        <v>1054</v>
      </c>
      <c r="G66" s="169" t="s">
        <v>208</v>
      </c>
      <c r="H66" s="169">
        <v>-149704.44</v>
      </c>
      <c r="I66" s="169">
        <v>-294178.03999999998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EUR Equity EUR_</v>
      </c>
      <c r="M66" s="170" t="str">
        <f t="shared" si="1"/>
        <v>EQTY.IntlUS.off</v>
      </c>
      <c r="N66" s="171">
        <f t="shared" si="2"/>
        <v>-149704.44</v>
      </c>
      <c r="O66" s="171">
        <f t="shared" si="3"/>
        <v>-294178.03999999998</v>
      </c>
    </row>
    <row r="67" spans="5:15">
      <c r="E67" s="169" t="s">
        <v>243</v>
      </c>
      <c r="F67" s="169" t="s">
        <v>1124</v>
      </c>
      <c r="G67" s="169" t="s">
        <v>208</v>
      </c>
      <c r="H67" s="169">
        <v>4906094.68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4906094.68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345</v>
      </c>
      <c r="G68" s="169" t="s">
        <v>208</v>
      </c>
      <c r="H68" s="169">
        <v>-37452.0600000001</v>
      </c>
      <c r="I68" s="169">
        <v>1064183.1299999999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NYSE USD_</v>
      </c>
      <c r="M68" s="170" t="str">
        <f t="shared" si="5"/>
        <v>EQTY.IntlUS.off</v>
      </c>
      <c r="N68" s="171">
        <f t="shared" si="6"/>
        <v>-37452.0600000001</v>
      </c>
      <c r="O68" s="171">
        <f t="shared" si="7"/>
        <v>1064183.1299999999</v>
      </c>
    </row>
    <row r="69" spans="5:15">
      <c r="E69" s="169" t="s">
        <v>243</v>
      </c>
      <c r="F69" s="169" t="s">
        <v>1125</v>
      </c>
      <c r="G69" s="169" t="s">
        <v>208</v>
      </c>
      <c r="H69" s="169">
        <v>-4085058.22</v>
      </c>
      <c r="I69" s="169">
        <v>0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TBOND USD_</v>
      </c>
      <c r="M69" s="170" t="str">
        <f t="shared" si="5"/>
        <v>EQTY.IntlUS.off</v>
      </c>
      <c r="N69" s="171">
        <f t="shared" si="6"/>
        <v>-4085058.22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17954</v>
      </c>
      <c r="I70" s="169">
        <v>-243712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US Equity Options USD_</v>
      </c>
      <c r="M70" s="170" t="str">
        <f t="shared" si="5"/>
        <v>EQTY.IntlUS.off</v>
      </c>
      <c r="N70" s="171">
        <f t="shared" si="6"/>
        <v>17954</v>
      </c>
      <c r="O70" s="171">
        <f t="shared" si="7"/>
        <v>-243712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-3275521.61</v>
      </c>
      <c r="I71" s="169">
        <v>-917045.57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USD_</v>
      </c>
      <c r="M71" s="170" t="str">
        <f t="shared" si="5"/>
        <v>EQTY.IntlUS.off</v>
      </c>
      <c r="N71" s="171">
        <f t="shared" si="6"/>
        <v>-3275521.61</v>
      </c>
      <c r="O71" s="171">
        <f t="shared" si="7"/>
        <v>-917045.57</v>
      </c>
    </row>
    <row r="72" spans="5:15">
      <c r="E72" s="169" t="s">
        <v>248</v>
      </c>
      <c r="F72" s="169" t="s">
        <v>1104</v>
      </c>
      <c r="G72" s="169" t="s">
        <v>208</v>
      </c>
      <c r="H72" s="169">
        <v>-940</v>
      </c>
      <c r="I72" s="169">
        <v>0</v>
      </c>
      <c r="K72" s="170" t="str">
        <f t="shared" si="4"/>
        <v>ETF Options</v>
      </c>
      <c r="L72" s="170" t="str">
        <f>IF(E72="","",IF(COUNTIFS(Table2[[#All],[De (Lote)]],Input_APM!F72)&gt;0,INDEX(Table2[[#All],[Para (Ticker Daniel)]],MATCH(Input_APM!F72,Table2[[#All],[De (Lote)]],0)),Input_APM!F72))</f>
        <v>QQQ US 02/12/26 P598</v>
      </c>
      <c r="M72" s="170" t="str">
        <f t="shared" si="5"/>
        <v>EQTY.IntlUS.off</v>
      </c>
      <c r="N72" s="171">
        <f t="shared" si="6"/>
        <v>-940</v>
      </c>
      <c r="O72" s="171">
        <f t="shared" si="7"/>
        <v>0</v>
      </c>
    </row>
    <row r="73" spans="5:15">
      <c r="E73" s="169" t="s">
        <v>248</v>
      </c>
      <c r="F73" s="169" t="s">
        <v>1103</v>
      </c>
      <c r="G73" s="169" t="s">
        <v>208</v>
      </c>
      <c r="H73" s="169">
        <v>940</v>
      </c>
      <c r="I73" s="169">
        <v>0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02/12/26 P599</v>
      </c>
      <c r="M73" s="170" t="str">
        <f t="shared" si="5"/>
        <v>EQTY.IntlUS.off</v>
      </c>
      <c r="N73" s="171">
        <f t="shared" si="6"/>
        <v>940</v>
      </c>
      <c r="O73" s="171">
        <f t="shared" si="7"/>
        <v>0</v>
      </c>
    </row>
    <row r="74" spans="5:15">
      <c r="E74" s="169" t="s">
        <v>248</v>
      </c>
      <c r="F74" s="169" t="s">
        <v>1066</v>
      </c>
      <c r="G74" s="169" t="s">
        <v>208</v>
      </c>
      <c r="H74" s="169">
        <v>0</v>
      </c>
      <c r="I74" s="169">
        <v>-470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-470</v>
      </c>
    </row>
    <row r="75" spans="5:15">
      <c r="E75" s="169" t="s">
        <v>248</v>
      </c>
      <c r="F75" s="169" t="s">
        <v>1065</v>
      </c>
      <c r="G75" s="169" t="s">
        <v>208</v>
      </c>
      <c r="H75" s="169">
        <v>0</v>
      </c>
      <c r="I75" s="169">
        <v>470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470</v>
      </c>
    </row>
    <row r="76" spans="5:15">
      <c r="E76" s="169" t="s">
        <v>248</v>
      </c>
      <c r="F76" s="169" t="s">
        <v>1068</v>
      </c>
      <c r="G76" s="169" t="s">
        <v>208</v>
      </c>
      <c r="H76" s="169">
        <v>-846</v>
      </c>
      <c r="I76" s="169">
        <v>-282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02/20/26 P590</v>
      </c>
      <c r="M76" s="170" t="str">
        <f t="shared" si="5"/>
        <v>EQTY.IntlUS.off</v>
      </c>
      <c r="N76" s="171">
        <f t="shared" si="6"/>
        <v>-846</v>
      </c>
      <c r="O76" s="171">
        <f t="shared" si="7"/>
        <v>-282</v>
      </c>
    </row>
    <row r="77" spans="5:15">
      <c r="E77" s="169" t="s">
        <v>248</v>
      </c>
      <c r="F77" s="169" t="s">
        <v>1096</v>
      </c>
      <c r="G77" s="169" t="s">
        <v>208</v>
      </c>
      <c r="H77" s="169">
        <v>846</v>
      </c>
      <c r="I77" s="169">
        <v>0</v>
      </c>
      <c r="K77" s="170" t="str">
        <f t="shared" si="4"/>
        <v>ETF Options</v>
      </c>
      <c r="L77" s="170" t="str">
        <f>IF(E77="","",IF(COUNTIFS(Table2[[#All],[De (Lote)]],Input_APM!F77)&gt;0,INDEX(Table2[[#All],[Para (Ticker Daniel)]],MATCH(Input_APM!F77,Table2[[#All],[De (Lote)]],0)),Input_APM!F77))</f>
        <v>QQQ US 02/20/26 P600</v>
      </c>
      <c r="M77" s="170" t="str">
        <f t="shared" si="5"/>
        <v>EQTY.IntlUS.off</v>
      </c>
      <c r="N77" s="171">
        <f t="shared" si="6"/>
        <v>846</v>
      </c>
      <c r="O77" s="171">
        <f t="shared" si="7"/>
        <v>0</v>
      </c>
    </row>
    <row r="78" spans="5:15">
      <c r="E78" s="169" t="s">
        <v>248</v>
      </c>
      <c r="F78" s="169" t="s">
        <v>1067</v>
      </c>
      <c r="G78" s="169" t="s">
        <v>208</v>
      </c>
      <c r="H78" s="169">
        <v>0</v>
      </c>
      <c r="I78" s="169">
        <v>282</v>
      </c>
      <c r="K78" s="170" t="str">
        <f t="shared" si="4"/>
        <v>ETF Options</v>
      </c>
      <c r="L78" s="170" t="str">
        <f>IF(E78="","",IF(COUNTIFS(Table2[[#All],[De (Lote)]],Input_APM!F78)&gt;0,INDEX(Table2[[#All],[Para (Ticker Daniel)]],MATCH(Input_APM!F78,Table2[[#All],[De (Lote)]],0)),Input_APM!F78))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282</v>
      </c>
    </row>
    <row r="79" spans="5:15">
      <c r="E79" s="169" t="s">
        <v>248</v>
      </c>
      <c r="F79" s="169" t="s">
        <v>1097</v>
      </c>
      <c r="G79" s="169" t="s">
        <v>208</v>
      </c>
      <c r="H79" s="169">
        <v>-188</v>
      </c>
      <c r="I79" s="169">
        <v>0</v>
      </c>
      <c r="K79" s="170" t="str">
        <f t="shared" si="4"/>
        <v>ETF Options</v>
      </c>
      <c r="L79" s="170" t="str">
        <f>IF(E79="","",IF(COUNTIFS(Table2[[#All],[De (Lote)]],Input_APM!F79)&gt;0,INDEX(Table2[[#All],[Para (Ticker Daniel)]],MATCH(Input_APM!F79,Table2[[#All],[De (Lote)]],0)),Input_APM!F79))</f>
        <v>QQQ US 02/27/26 P580</v>
      </c>
      <c r="M79" s="170" t="str">
        <f t="shared" si="5"/>
        <v>EQTY.IntlUS.off</v>
      </c>
      <c r="N79" s="171">
        <f t="shared" si="6"/>
        <v>-188</v>
      </c>
      <c r="O79" s="171">
        <f t="shared" si="7"/>
        <v>0</v>
      </c>
    </row>
    <row r="80" spans="5:15">
      <c r="E80" s="169" t="s">
        <v>248</v>
      </c>
      <c r="F80" s="169" t="s">
        <v>1095</v>
      </c>
      <c r="G80" s="169" t="s">
        <v>208</v>
      </c>
      <c r="H80" s="169">
        <v>188</v>
      </c>
      <c r="I80" s="169">
        <v>0</v>
      </c>
      <c r="K80" s="170" t="str">
        <f t="shared" si="4"/>
        <v>ETF Options</v>
      </c>
      <c r="L80" s="170" t="str">
        <f>IF(E80="","",IF(COUNTIFS(Table2[[#All],[De (Lote)]],Input_APM!F80)&gt;0,INDEX(Table2[[#All],[Para (Ticker Daniel)]],MATCH(Input_APM!F80,Table2[[#All],[De (Lote)]],0)),Input_APM!F80))</f>
        <v>QQQ US 02/27/26 P590</v>
      </c>
      <c r="M80" s="170" t="str">
        <f t="shared" si="5"/>
        <v>EQTY.IntlUS.off</v>
      </c>
      <c r="N80" s="171">
        <f t="shared" si="6"/>
        <v>188</v>
      </c>
      <c r="O80" s="171">
        <f t="shared" si="7"/>
        <v>0</v>
      </c>
    </row>
    <row r="81" spans="5:15">
      <c r="E81" s="169" t="s">
        <v>242</v>
      </c>
      <c r="F81" s="169" t="s">
        <v>790</v>
      </c>
      <c r="G81" s="169" t="s">
        <v>208</v>
      </c>
      <c r="H81" s="169">
        <v>28071</v>
      </c>
      <c r="I81" s="169">
        <v>28071</v>
      </c>
      <c r="K81" s="170" t="str">
        <f t="shared" si="4"/>
        <v>US Equity</v>
      </c>
      <c r="L81" s="170" t="str">
        <f>IF(E81="","",IF(COUNTIFS(Table2[[#All],[De (Lote)]],Input_APM!F81)&gt;0,INDEX(Table2[[#All],[Para (Ticker Daniel)]],MATCH(Input_APM!F81,Table2[[#All],[De (Lote)]],0)),Input_APM!F81))</f>
        <v>RIOT</v>
      </c>
      <c r="M81" s="170" t="str">
        <f t="shared" si="5"/>
        <v>EQTY.IntlUS.off</v>
      </c>
      <c r="N81" s="171">
        <f t="shared" si="6"/>
        <v>28071</v>
      </c>
      <c r="O81" s="171">
        <f t="shared" si="7"/>
        <v>28071</v>
      </c>
    </row>
    <row r="82" spans="5:15">
      <c r="E82" s="169" t="s">
        <v>792</v>
      </c>
      <c r="F82" s="169" t="s">
        <v>793</v>
      </c>
      <c r="G82" s="169" t="s">
        <v>208</v>
      </c>
      <c r="H82" s="169">
        <v>655</v>
      </c>
      <c r="I82" s="169">
        <v>655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000660 KS</v>
      </c>
      <c r="M82" s="170" t="str">
        <f t="shared" si="5"/>
        <v>EQTY.IntlUS.off</v>
      </c>
      <c r="N82" s="171">
        <f t="shared" si="6"/>
        <v>655</v>
      </c>
      <c r="O82" s="171">
        <f t="shared" si="7"/>
        <v>655</v>
      </c>
    </row>
    <row r="83" spans="5:15">
      <c r="E83" s="169" t="s">
        <v>792</v>
      </c>
      <c r="F83" s="169" t="s">
        <v>1029</v>
      </c>
      <c r="G83" s="169" t="s">
        <v>208</v>
      </c>
      <c r="H83" s="169">
        <v>160</v>
      </c>
      <c r="I83" s="169">
        <v>160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000660 KS 10FEB2026 20APR2026 592.6251</v>
      </c>
      <c r="M83" s="170" t="str">
        <f t="shared" si="5"/>
        <v>EQTY.IntlUS.off</v>
      </c>
      <c r="N83" s="171">
        <f t="shared" si="6"/>
        <v>160</v>
      </c>
      <c r="O83" s="171">
        <f t="shared" si="7"/>
        <v>160</v>
      </c>
    </row>
    <row r="84" spans="5:15">
      <c r="E84" s="169" t="s">
        <v>792</v>
      </c>
      <c r="F84" s="169" t="s">
        <v>877</v>
      </c>
      <c r="G84" s="169" t="s">
        <v>208</v>
      </c>
      <c r="H84" s="169">
        <v>643</v>
      </c>
      <c r="I84" s="169">
        <v>643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000660 KS 26JAN2026 26JAN2027 509.6192</v>
      </c>
      <c r="M84" s="170" t="str">
        <f t="shared" si="5"/>
        <v>EQTY.IntlUS.off</v>
      </c>
      <c r="N84" s="171">
        <f t="shared" si="6"/>
        <v>643</v>
      </c>
      <c r="O84" s="171">
        <f t="shared" si="7"/>
        <v>643</v>
      </c>
    </row>
    <row r="85" spans="5:15">
      <c r="E85" s="169" t="s">
        <v>792</v>
      </c>
      <c r="F85" s="169" t="s">
        <v>1030</v>
      </c>
      <c r="G85" s="169" t="s">
        <v>208</v>
      </c>
      <c r="H85" s="169">
        <v>2901</v>
      </c>
      <c r="I85" s="169">
        <v>2901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005930 KS 03FEB2026 20APR2026 113.36</v>
      </c>
      <c r="M85" s="170" t="str">
        <f t="shared" si="5"/>
        <v>EQTY.IntlUS.off</v>
      </c>
      <c r="N85" s="171">
        <f t="shared" si="6"/>
        <v>2901</v>
      </c>
      <c r="O85" s="171">
        <f t="shared" si="7"/>
        <v>2901</v>
      </c>
    </row>
    <row r="86" spans="5:15">
      <c r="E86" s="169" t="s">
        <v>792</v>
      </c>
      <c r="F86" s="169" t="s">
        <v>1031</v>
      </c>
      <c r="G86" s="169" t="s">
        <v>208</v>
      </c>
      <c r="H86" s="169">
        <v>2901</v>
      </c>
      <c r="I86" s="169">
        <v>2901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005930 KS 04FEB2026 20APR2026 105.82</v>
      </c>
      <c r="M86" s="170" t="str">
        <f t="shared" si="5"/>
        <v>EQTY.IntlUS.off</v>
      </c>
      <c r="N86" s="171">
        <f t="shared" si="6"/>
        <v>2901</v>
      </c>
      <c r="O86" s="171">
        <f t="shared" si="7"/>
        <v>2901</v>
      </c>
    </row>
    <row r="87" spans="5:15">
      <c r="E87" s="169" t="s">
        <v>792</v>
      </c>
      <c r="F87" s="169" t="s">
        <v>1032</v>
      </c>
      <c r="G87" s="169" t="s">
        <v>208</v>
      </c>
      <c r="H87" s="169">
        <v>845</v>
      </c>
      <c r="I87" s="169">
        <v>845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005930 KS 10FEB2026 20APR2026 110.873</v>
      </c>
      <c r="M87" s="170" t="str">
        <f t="shared" si="5"/>
        <v>EQTY.IntlUS.off</v>
      </c>
      <c r="N87" s="171">
        <f t="shared" si="6"/>
        <v>845</v>
      </c>
      <c r="O87" s="171">
        <f t="shared" si="7"/>
        <v>845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16860</v>
      </c>
      <c r="I88" s="169">
        <v>16860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2330 TT 11FEB2026 20APR2026 55.7697</v>
      </c>
      <c r="M88" s="170" t="str">
        <f t="shared" si="5"/>
        <v>EQTY.IntlUS.off</v>
      </c>
      <c r="N88" s="171">
        <f t="shared" si="6"/>
        <v>16860</v>
      </c>
      <c r="O88" s="171">
        <f t="shared" si="7"/>
        <v>16860</v>
      </c>
    </row>
    <row r="89" spans="5:15">
      <c r="E89" s="169" t="s">
        <v>792</v>
      </c>
      <c r="F89" s="169" t="s">
        <v>1033</v>
      </c>
      <c r="G89" s="169" t="s">
        <v>208</v>
      </c>
      <c r="H89" s="169">
        <v>268</v>
      </c>
      <c r="I89" s="169">
        <v>268</v>
      </c>
      <c r="K89" s="170" t="str">
        <f t="shared" si="4"/>
        <v>Equity Total Return Swap</v>
      </c>
      <c r="L89" s="170" t="str">
        <f>IF(E89="","",IF(COUNTIFS(Table2[[#All],[De (Lote)]],Input_APM!F89)&gt;0,INDEX(Table2[[#All],[Para (Ticker Daniel)]],MATCH(Input_APM!F89,Table2[[#All],[De (Lote)]],0)),Input_APM!F89))</f>
        <v>SWAP 402340 KS 09FEB2026 20APR2026 348.49</v>
      </c>
      <c r="M89" s="170" t="str">
        <f t="shared" si="5"/>
        <v>EQTY.IntlUS.off</v>
      </c>
      <c r="N89" s="171">
        <f t="shared" si="6"/>
        <v>268</v>
      </c>
      <c r="O89" s="171">
        <f t="shared" si="7"/>
        <v>268</v>
      </c>
    </row>
    <row r="90" spans="5:15">
      <c r="E90" s="169" t="s">
        <v>792</v>
      </c>
      <c r="F90" s="169" t="s">
        <v>1034</v>
      </c>
      <c r="G90" s="169" t="s">
        <v>208</v>
      </c>
      <c r="H90" s="169">
        <v>587</v>
      </c>
      <c r="I90" s="169">
        <v>587</v>
      </c>
      <c r="K90" s="170" t="str">
        <f t="shared" si="4"/>
        <v>Equity Total Return Swap</v>
      </c>
      <c r="L90" s="170" t="str">
        <f>IF(E90="","",IF(COUNTIFS(Table2[[#All],[De (Lote)]],Input_APM!F90)&gt;0,INDEX(Table2[[#All],[Para (Ticker Daniel)]],MATCH(Input_APM!F90,Table2[[#All],[De (Lote)]],0)),Input_APM!F90))</f>
        <v>SWAP 402340 KS 09FEB2026 20APR2026 390.92</v>
      </c>
      <c r="M90" s="170" t="str">
        <f t="shared" si="5"/>
        <v>EQTY.IntlUS.off</v>
      </c>
      <c r="N90" s="171">
        <f t="shared" si="6"/>
        <v>587</v>
      </c>
      <c r="O90" s="171">
        <f t="shared" si="7"/>
        <v>587</v>
      </c>
    </row>
    <row r="91" spans="5:15">
      <c r="E91" s="169" t="s">
        <v>792</v>
      </c>
      <c r="F91" s="169" t="s">
        <v>1035</v>
      </c>
      <c r="G91" s="169" t="s">
        <v>208</v>
      </c>
      <c r="H91" s="169">
        <v>254</v>
      </c>
      <c r="I91" s="169">
        <v>254</v>
      </c>
      <c r="K91" s="170" t="str">
        <f t="shared" si="4"/>
        <v>Equity Total Return Swap</v>
      </c>
      <c r="L91" s="170" t="str">
        <f>IF(E91="","",IF(COUNTIFS(Table2[[#All],[De (Lote)]],Input_APM!F91)&gt;0,INDEX(Table2[[#All],[Para (Ticker Daniel)]],MATCH(Input_APM!F91,Table2[[#All],[De (Lote)]],0)),Input_APM!F91))</f>
        <v>SWAP 402340 KS 10FEB2026 20APR2026 377.6597</v>
      </c>
      <c r="M91" s="170" t="str">
        <f t="shared" si="5"/>
        <v>EQTY.IntlUS.off</v>
      </c>
      <c r="N91" s="171">
        <f t="shared" si="6"/>
        <v>254</v>
      </c>
      <c r="O91" s="171">
        <f t="shared" si="7"/>
        <v>254</v>
      </c>
    </row>
    <row r="92" spans="5:15">
      <c r="E92" s="169" t="s">
        <v>792</v>
      </c>
      <c r="F92" s="169" t="s">
        <v>1056</v>
      </c>
      <c r="G92" s="169" t="s">
        <v>208</v>
      </c>
      <c r="H92" s="169">
        <v>271</v>
      </c>
      <c r="I92" s="169">
        <v>271</v>
      </c>
      <c r="K92" s="170" t="str">
        <f t="shared" si="4"/>
        <v>Equity Total Return Swap</v>
      </c>
      <c r="L92" s="170" t="str">
        <f>IF(E92="","",IF(COUNTIFS(Table2[[#All],[De (Lote)]],Input_APM!F92)&gt;0,INDEX(Table2[[#All],[Para (Ticker Daniel)]],MATCH(Input_APM!F92,Table2[[#All],[De (Lote)]],0)),Input_APM!F92))</f>
        <v>SWAP 402340 KS 11FEB2026 20APR2026 350.7653</v>
      </c>
      <c r="M92" s="170" t="str">
        <f t="shared" si="5"/>
        <v>EQTY.IntlUS.off</v>
      </c>
      <c r="N92" s="171">
        <f t="shared" si="6"/>
        <v>271</v>
      </c>
      <c r="O92" s="171">
        <f t="shared" si="7"/>
        <v>271</v>
      </c>
    </row>
    <row r="93" spans="5:15">
      <c r="E93" s="169" t="s">
        <v>938</v>
      </c>
      <c r="F93" s="169" t="s">
        <v>939</v>
      </c>
      <c r="G93" s="169" t="s">
        <v>208</v>
      </c>
      <c r="H93" s="169">
        <v>22373928</v>
      </c>
      <c r="I93" s="169">
        <v>18292060</v>
      </c>
      <c r="K93" s="170" t="str">
        <f t="shared" si="4"/>
        <v>TBOND</v>
      </c>
      <c r="L93" s="170" t="str">
        <f>IF(E93="","",IF(COUNTIFS(Table2[[#All],[De (Lote)]],Input_APM!F93)&gt;0,INDEX(Table2[[#All],[Para (Ticker Daniel)]],MATCH(Input_APM!F93,Table2[[#All],[De (Lote)]],0)),Input_APM!F93))</f>
        <v>T 4.000% 11/15/35</v>
      </c>
      <c r="M93" s="170" t="str">
        <f t="shared" si="5"/>
        <v>EQTY.IntlUS.off</v>
      </c>
      <c r="N93" s="171">
        <f t="shared" si="6"/>
        <v>22373928</v>
      </c>
      <c r="O93" s="171">
        <f t="shared" si="7"/>
        <v>18292060</v>
      </c>
    </row>
    <row r="94" spans="5:15">
      <c r="E94" s="169" t="s">
        <v>8</v>
      </c>
      <c r="F94" s="169" t="s">
        <v>44</v>
      </c>
      <c r="G94" s="169" t="s">
        <v>208</v>
      </c>
      <c r="H94" s="169">
        <v>-4697</v>
      </c>
      <c r="I94" s="169">
        <v>-4697</v>
      </c>
      <c r="K94" s="170" t="str">
        <f t="shared" si="4"/>
        <v>ADR</v>
      </c>
      <c r="L94" s="170" t="str">
        <f>IF(E94="","",IF(COUNTIFS(Table2[[#All],[De (Lote)]],Input_APM!F94)&gt;0,INDEX(Table2[[#All],[Para (Ticker Daniel)]],MATCH(Input_APM!F94,Table2[[#All],[De (Lote)]],0)),Input_APM!F94))</f>
        <v>TSM</v>
      </c>
      <c r="M94" s="170" t="str">
        <f t="shared" si="5"/>
        <v>EQTY.IntlUS.off</v>
      </c>
      <c r="N94" s="171">
        <f t="shared" si="6"/>
        <v>-4697</v>
      </c>
      <c r="O94" s="171">
        <f t="shared" si="7"/>
        <v>-4697</v>
      </c>
    </row>
    <row r="95" spans="5:15">
      <c r="E95" s="169" t="s">
        <v>251</v>
      </c>
      <c r="F95" s="169" t="s">
        <v>820</v>
      </c>
      <c r="G95" s="169" t="s">
        <v>208</v>
      </c>
      <c r="H95" s="169">
        <v>1453</v>
      </c>
      <c r="I95" s="169">
        <v>1453</v>
      </c>
      <c r="K95" s="170" t="str">
        <f t="shared" si="4"/>
        <v>ADR Options</v>
      </c>
      <c r="L95" s="170" t="str">
        <f>IF(E95="","",IF(COUNTIFS(Table2[[#All],[De (Lote)]],Input_APM!F95)&gt;0,INDEX(Table2[[#All],[Para (Ticker Daniel)]],MATCH(Input_APM!F95,Table2[[#All],[De (Lote)]],0)),Input_APM!F95))</f>
        <v>TSM US 06/18/26 C340</v>
      </c>
      <c r="M95" s="170" t="str">
        <f t="shared" si="5"/>
        <v>EQTY.IntlUS.off</v>
      </c>
      <c r="N95" s="171">
        <f t="shared" si="6"/>
        <v>1453</v>
      </c>
      <c r="O95" s="171">
        <f t="shared" si="7"/>
        <v>1453</v>
      </c>
    </row>
    <row r="96" spans="5:15">
      <c r="E96" s="169" t="s">
        <v>251</v>
      </c>
      <c r="F96" s="169" t="s">
        <v>821</v>
      </c>
      <c r="G96" s="169" t="s">
        <v>208</v>
      </c>
      <c r="H96" s="169">
        <v>-1195</v>
      </c>
      <c r="I96" s="169">
        <v>-1195</v>
      </c>
      <c r="K96" s="170" t="str">
        <f t="shared" si="4"/>
        <v>ADR Options</v>
      </c>
      <c r="L96" s="170" t="str">
        <f>IF(E96="","",IF(COUNTIFS(Table2[[#All],[De (Lote)]],Input_APM!F96)&gt;0,INDEX(Table2[[#All],[Para (Ticker Daniel)]],MATCH(Input_APM!F96,Table2[[#All],[De (Lote)]],0)),Input_APM!F96))</f>
        <v>TSM US 06/18/26 C380</v>
      </c>
      <c r="M96" s="170" t="str">
        <f t="shared" si="5"/>
        <v>EQTY.IntlUS.off</v>
      </c>
      <c r="N96" s="171">
        <f t="shared" si="6"/>
        <v>-1195</v>
      </c>
      <c r="O96" s="171">
        <f t="shared" si="7"/>
        <v>-1195</v>
      </c>
    </row>
    <row r="97" spans="5:15">
      <c r="E97" s="169" t="s">
        <v>242</v>
      </c>
      <c r="F97" s="169" t="s">
        <v>974</v>
      </c>
      <c r="G97" s="169" t="s">
        <v>208</v>
      </c>
      <c r="H97" s="169">
        <v>50069</v>
      </c>
      <c r="I97" s="169">
        <v>50069</v>
      </c>
      <c r="K97" s="170" t="str">
        <f t="shared" si="4"/>
        <v>US Equity</v>
      </c>
      <c r="L97" s="170" t="str">
        <f>IF(E97="","",IF(COUNTIFS(Table2[[#All],[De (Lote)]],Input_APM!F97)&gt;0,INDEX(Table2[[#All],[Para (Ticker Daniel)]],MATCH(Input_APM!F97,Table2[[#All],[De (Lote)]],0)),Input_APM!F97))</f>
        <v>WMB</v>
      </c>
      <c r="M97" s="170" t="str">
        <f t="shared" si="5"/>
        <v>EQTY.IntlUS.off</v>
      </c>
      <c r="N97" s="171">
        <f t="shared" si="6"/>
        <v>50069</v>
      </c>
      <c r="O97" s="171">
        <f t="shared" si="7"/>
        <v>50069</v>
      </c>
    </row>
    <row r="98" spans="5:15">
      <c r="E98" s="169" t="s">
        <v>245</v>
      </c>
      <c r="F98" s="169" t="s">
        <v>36</v>
      </c>
      <c r="G98" s="169" t="s">
        <v>208</v>
      </c>
      <c r="H98" s="169">
        <v>21977</v>
      </c>
      <c r="I98" s="169">
        <v>21977</v>
      </c>
      <c r="K98" s="170" t="str">
        <f t="shared" si="4"/>
        <v>ETF</v>
      </c>
      <c r="L98" s="170" t="str">
        <f>IF(E98="","",IF(COUNTIFS(Table2[[#All],[De (Lote)]],Input_APM!F98)&gt;0,INDEX(Table2[[#All],[Para (Ticker Daniel)]],MATCH(Input_APM!F98,Table2[[#All],[De (Lote)]],0)),Input_APM!F98))</f>
        <v>XLF</v>
      </c>
      <c r="M98" s="170" t="str">
        <f t="shared" si="5"/>
        <v>EQTY.IntlUS.off</v>
      </c>
      <c r="N98" s="171">
        <f t="shared" si="6"/>
        <v>21977</v>
      </c>
      <c r="O98" s="171">
        <f t="shared" si="7"/>
        <v>21977</v>
      </c>
    </row>
    <row r="99" spans="5:15">
      <c r="E99" s="169" t="s">
        <v>245</v>
      </c>
      <c r="F99" s="169" t="s">
        <v>4</v>
      </c>
      <c r="G99" s="169" t="s">
        <v>208</v>
      </c>
      <c r="H99" s="169">
        <v>-25765</v>
      </c>
      <c r="I99" s="169">
        <v>-25765</v>
      </c>
      <c r="K99" s="170" t="str">
        <f t="shared" si="4"/>
        <v>ETF</v>
      </c>
      <c r="L99" s="170" t="str">
        <f>IF(E99="","",IF(COUNTIFS(Table2[[#All],[De (Lote)]],Input_APM!F99)&gt;0,INDEX(Table2[[#All],[Para (Ticker Daniel)]],MATCH(Input_APM!F99,Table2[[#All],[De (Lote)]],0)),Input_APM!F99))</f>
        <v>XLP</v>
      </c>
      <c r="M99" s="170" t="str">
        <f t="shared" si="5"/>
        <v>EQTY.IntlUS.off</v>
      </c>
      <c r="N99" s="171">
        <f t="shared" si="6"/>
        <v>-25765</v>
      </c>
      <c r="O99" s="171">
        <f t="shared" si="7"/>
        <v>-25765</v>
      </c>
    </row>
    <row r="100" spans="5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1036</v>
      </c>
      <c r="G2" s="169" t="s">
        <v>208</v>
      </c>
      <c r="H2" s="169">
        <v>163</v>
      </c>
      <c r="I2" s="169">
        <v>127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163</v>
      </c>
      <c r="O2" s="171">
        <f>IF(E2="","",I2)</f>
        <v>127</v>
      </c>
    </row>
    <row r="3" spans="5:15">
      <c r="E3" s="169" t="s">
        <v>242</v>
      </c>
      <c r="F3" s="169" t="s">
        <v>1079</v>
      </c>
      <c r="G3" s="169" t="s">
        <v>208</v>
      </c>
      <c r="H3" s="169">
        <v>776</v>
      </c>
      <c r="I3" s="169">
        <v>394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776</v>
      </c>
      <c r="O3" s="171">
        <f t="shared" ref="O3:O66" si="3">IF(E3="","",I3)</f>
        <v>394</v>
      </c>
    </row>
    <row r="4" spans="5:15">
      <c r="E4" s="169" t="s">
        <v>335</v>
      </c>
      <c r="F4" s="169" t="s">
        <v>1028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1076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1074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1049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1001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1001</v>
      </c>
      <c r="O10" s="171">
        <f t="shared" si="3"/>
        <v>1001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800</v>
      </c>
      <c r="G13" s="169" t="s">
        <v>208</v>
      </c>
      <c r="H13" s="169">
        <v>285</v>
      </c>
      <c r="I13" s="169">
        <v>267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267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-6151.5</v>
      </c>
      <c r="I21" s="169">
        <v>3233.9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-6151.5</v>
      </c>
      <c r="O21" s="171">
        <f t="shared" si="3"/>
        <v>3233.9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-46705.366144090003</v>
      </c>
      <c r="I26" s="169">
        <v>-1404.9961440899999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-46705.366144090003</v>
      </c>
      <c r="O26" s="171">
        <f t="shared" si="3"/>
        <v>-1404.9961440899999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892</v>
      </c>
      <c r="G28" s="169" t="s">
        <v>208</v>
      </c>
      <c r="H28" s="169">
        <v>1892</v>
      </c>
      <c r="I28" s="169">
        <v>1645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170" t="str">
        <f t="shared" si="1"/>
        <v>EQTY.IntlUS.off</v>
      </c>
      <c r="N28" s="171">
        <f t="shared" si="2"/>
        <v>1892</v>
      </c>
      <c r="O28" s="171">
        <f t="shared" si="3"/>
        <v>1645</v>
      </c>
    </row>
    <row r="29" spans="5:15">
      <c r="E29" s="169" t="s">
        <v>244</v>
      </c>
      <c r="F29" s="169" t="s">
        <v>1050</v>
      </c>
      <c r="G29" s="169" t="s">
        <v>208</v>
      </c>
      <c r="H29" s="169">
        <v>-60</v>
      </c>
      <c r="I29" s="169">
        <v>-60</v>
      </c>
      <c r="K29" s="170" t="str">
        <f t="shared" si="0"/>
        <v>US Equity Options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 US 04/17/26 C100</v>
      </c>
      <c r="M29" s="170" t="str">
        <f t="shared" si="1"/>
        <v>EQTY.IntlUS.off</v>
      </c>
      <c r="N29" s="171">
        <f t="shared" si="2"/>
        <v>-60</v>
      </c>
      <c r="O29" s="171">
        <f t="shared" si="3"/>
        <v>-60</v>
      </c>
    </row>
    <row r="30" spans="5:15">
      <c r="E30" s="169" t="s">
        <v>244</v>
      </c>
      <c r="F30" s="169" t="s">
        <v>1051</v>
      </c>
      <c r="G30" s="169" t="s">
        <v>208</v>
      </c>
      <c r="H30" s="169">
        <v>60</v>
      </c>
      <c r="I30" s="169">
        <v>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C95</v>
      </c>
      <c r="M30" s="170" t="str">
        <f t="shared" si="1"/>
        <v>EQTY.IntlUS.off</v>
      </c>
      <c r="N30" s="171">
        <f t="shared" si="2"/>
        <v>60</v>
      </c>
      <c r="O30" s="171">
        <f t="shared" si="3"/>
        <v>60</v>
      </c>
    </row>
    <row r="31" spans="5:15">
      <c r="E31" s="169" t="s">
        <v>244</v>
      </c>
      <c r="F31" s="169" t="s">
        <v>1078</v>
      </c>
      <c r="G31" s="169" t="s">
        <v>208</v>
      </c>
      <c r="H31" s="169">
        <v>-30</v>
      </c>
      <c r="I31" s="169">
        <v>-30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07/17/26 C100</v>
      </c>
      <c r="M31" s="170" t="str">
        <f t="shared" si="1"/>
        <v>EQTY.IntlUS.off</v>
      </c>
      <c r="N31" s="171">
        <f t="shared" si="2"/>
        <v>-30</v>
      </c>
      <c r="O31" s="171">
        <f t="shared" si="3"/>
        <v>-30</v>
      </c>
    </row>
    <row r="32" spans="5:15">
      <c r="E32" s="169" t="s">
        <v>244</v>
      </c>
      <c r="F32" s="169" t="s">
        <v>1077</v>
      </c>
      <c r="G32" s="169" t="s">
        <v>208</v>
      </c>
      <c r="H32" s="169">
        <v>0</v>
      </c>
      <c r="I32" s="169">
        <v>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30</v>
      </c>
    </row>
    <row r="33" spans="5:15">
      <c r="E33" s="169" t="s">
        <v>1053</v>
      </c>
      <c r="F33" s="169" t="s">
        <v>1047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2480</v>
      </c>
      <c r="I34" s="169">
        <v>1997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1997</v>
      </c>
    </row>
    <row r="35" spans="5:15">
      <c r="E35" s="169" t="s">
        <v>245</v>
      </c>
      <c r="F35" s="169" t="s">
        <v>78</v>
      </c>
      <c r="G35" s="169" t="s">
        <v>208</v>
      </c>
      <c r="H35" s="169">
        <v>2050</v>
      </c>
      <c r="I35" s="169">
        <v>1854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 xml:space="preserve">GDX </v>
      </c>
      <c r="M35" s="170" t="str">
        <f t="shared" si="1"/>
        <v>EQTY.IntlUS.off</v>
      </c>
      <c r="N35" s="171">
        <f t="shared" si="2"/>
        <v>2050</v>
      </c>
      <c r="O35" s="171">
        <f t="shared" si="3"/>
        <v>1854</v>
      </c>
    </row>
    <row r="36" spans="5:15">
      <c r="E36" s="169" t="s">
        <v>248</v>
      </c>
      <c r="F36" s="169" t="s">
        <v>837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838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1037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148</v>
      </c>
      <c r="I39" s="169">
        <v>148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148</v>
      </c>
      <c r="O39" s="171">
        <f t="shared" si="3"/>
        <v>148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242</v>
      </c>
      <c r="F42" s="169" t="s">
        <v>342</v>
      </c>
      <c r="G42" s="169" t="s">
        <v>208</v>
      </c>
      <c r="H42" s="169">
        <v>-61</v>
      </c>
      <c r="I42" s="169">
        <v>-121</v>
      </c>
      <c r="K42" s="170" t="str">
        <f t="shared" si="0"/>
        <v>US Equity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</v>
      </c>
      <c r="M42" s="170" t="str">
        <f t="shared" si="1"/>
        <v>EQTY.IntlUS.off</v>
      </c>
      <c r="N42" s="171">
        <f t="shared" si="2"/>
        <v>-61</v>
      </c>
      <c r="O42" s="171">
        <f t="shared" si="3"/>
        <v>-121</v>
      </c>
    </row>
    <row r="43" spans="5:15">
      <c r="E43" s="169" t="s">
        <v>244</v>
      </c>
      <c r="F43" s="169" t="s">
        <v>879</v>
      </c>
      <c r="G43" s="169" t="s">
        <v>208</v>
      </c>
      <c r="H43" s="169">
        <v>16</v>
      </c>
      <c r="I43" s="169">
        <v>16</v>
      </c>
      <c r="K43" s="170" t="str">
        <f t="shared" si="0"/>
        <v>US Equity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 US 07/17/26 C50</v>
      </c>
      <c r="M43" s="170" t="str">
        <f t="shared" si="1"/>
        <v>EQTY.IntlUS.off</v>
      </c>
      <c r="N43" s="171">
        <f t="shared" si="2"/>
        <v>16</v>
      </c>
      <c r="O43" s="171">
        <f t="shared" si="3"/>
        <v>16</v>
      </c>
    </row>
    <row r="44" spans="5:15">
      <c r="E44" s="169" t="s">
        <v>245</v>
      </c>
      <c r="F44" s="169" t="s">
        <v>6</v>
      </c>
      <c r="G44" s="169" t="s">
        <v>208</v>
      </c>
      <c r="H44" s="169">
        <v>918</v>
      </c>
      <c r="I44" s="169">
        <v>918</v>
      </c>
      <c r="K44" s="170" t="str">
        <f t="shared" si="0"/>
        <v>ETF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KBWB</v>
      </c>
      <c r="M44" s="170" t="str">
        <f t="shared" si="1"/>
        <v>EQTY.IntlUS.off</v>
      </c>
      <c r="N44" s="171">
        <f t="shared" si="2"/>
        <v>918</v>
      </c>
      <c r="O44" s="171">
        <f t="shared" si="3"/>
        <v>918</v>
      </c>
    </row>
    <row r="45" spans="5:15">
      <c r="E45" s="169" t="s">
        <v>242</v>
      </c>
      <c r="F45" s="169" t="s">
        <v>839</v>
      </c>
      <c r="G45" s="169" t="s">
        <v>208</v>
      </c>
      <c r="H45" s="169">
        <v>-658</v>
      </c>
      <c r="I45" s="169">
        <v>-658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KHC</v>
      </c>
      <c r="M45" s="170" t="str">
        <f t="shared" si="1"/>
        <v>EQTY.IntlUS.off</v>
      </c>
      <c r="N45" s="171">
        <f t="shared" si="2"/>
        <v>-658</v>
      </c>
      <c r="O45" s="171">
        <f t="shared" si="3"/>
        <v>-658</v>
      </c>
    </row>
    <row r="46" spans="5:15">
      <c r="E46" s="169" t="s">
        <v>876</v>
      </c>
      <c r="F46" s="169" t="s">
        <v>862</v>
      </c>
      <c r="G46" s="169" t="s">
        <v>208</v>
      </c>
      <c r="H46" s="169">
        <v>685255</v>
      </c>
      <c r="I46" s="169">
        <v>685255</v>
      </c>
      <c r="K46" s="170" t="str">
        <f t="shared" si="0"/>
        <v>KOSPI 200 Index Options - KRX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KOSPI2 12/10/26 C1000</v>
      </c>
      <c r="M46" s="170" t="str">
        <f t="shared" si="1"/>
        <v>EQTY.IntlUS.off</v>
      </c>
      <c r="N46" s="171">
        <f t="shared" si="2"/>
        <v>685255</v>
      </c>
      <c r="O46" s="171">
        <f t="shared" si="3"/>
        <v>685255</v>
      </c>
    </row>
    <row r="47" spans="5:15">
      <c r="E47" s="169" t="s">
        <v>242</v>
      </c>
      <c r="F47" s="169" t="s">
        <v>728</v>
      </c>
      <c r="G47" s="169" t="s">
        <v>208</v>
      </c>
      <c r="H47" s="169">
        <v>244</v>
      </c>
      <c r="I47" s="169">
        <v>242</v>
      </c>
      <c r="K47" s="170" t="str">
        <f t="shared" si="0"/>
        <v>US Equity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</v>
      </c>
      <c r="M47" s="170" t="str">
        <f t="shared" si="1"/>
        <v>EQTY.IntlUS.off</v>
      </c>
      <c r="N47" s="171">
        <f t="shared" si="2"/>
        <v>244</v>
      </c>
      <c r="O47" s="171">
        <f t="shared" si="3"/>
        <v>242</v>
      </c>
    </row>
    <row r="48" spans="5:15">
      <c r="E48" s="169" t="s">
        <v>244</v>
      </c>
      <c r="F48" s="169" t="s">
        <v>1045</v>
      </c>
      <c r="G48" s="169" t="s">
        <v>208</v>
      </c>
      <c r="H48" s="169">
        <v>8</v>
      </c>
      <c r="I48" s="169">
        <v>8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C600</v>
      </c>
      <c r="M48" s="170" t="str">
        <f t="shared" si="1"/>
        <v>EQTY.IntlUS.off</v>
      </c>
      <c r="N48" s="171">
        <f t="shared" si="2"/>
        <v>8</v>
      </c>
      <c r="O48" s="171">
        <f t="shared" si="3"/>
        <v>8</v>
      </c>
    </row>
    <row r="49" spans="5:15">
      <c r="E49" s="169" t="s">
        <v>244</v>
      </c>
      <c r="F49" s="169" t="s">
        <v>1046</v>
      </c>
      <c r="G49" s="169" t="s">
        <v>208</v>
      </c>
      <c r="H49" s="169">
        <v>-7</v>
      </c>
      <c r="I49" s="169">
        <v>-7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C720</v>
      </c>
      <c r="M49" s="170" t="str">
        <f t="shared" si="1"/>
        <v>EQTY.IntlUS.off</v>
      </c>
      <c r="N49" s="171">
        <f t="shared" si="2"/>
        <v>-7</v>
      </c>
      <c r="O49" s="171">
        <f t="shared" si="3"/>
        <v>-7</v>
      </c>
    </row>
    <row r="50" spans="5:15">
      <c r="E50" s="169" t="s">
        <v>335</v>
      </c>
      <c r="F50" s="169" t="s">
        <v>937</v>
      </c>
      <c r="G50" s="169" t="s">
        <v>208</v>
      </c>
      <c r="H50" s="169">
        <v>-628000</v>
      </c>
      <c r="I50" s="169">
        <v>-628000</v>
      </c>
      <c r="K50" s="170" t="str">
        <f t="shared" si="0"/>
        <v>Global Bonds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4.875% 11/15/35</v>
      </c>
      <c r="M50" s="170" t="str">
        <f t="shared" si="1"/>
        <v>EQTY.IntlUS.off</v>
      </c>
      <c r="N50" s="171">
        <f t="shared" si="2"/>
        <v>-628000</v>
      </c>
      <c r="O50" s="171">
        <f t="shared" si="3"/>
        <v>-628000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490</v>
      </c>
      <c r="I51" s="169">
        <v>490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</v>
      </c>
      <c r="M51" s="170" t="str">
        <f t="shared" si="1"/>
        <v>EQTY.IntlUS.off</v>
      </c>
      <c r="N51" s="171">
        <f t="shared" si="2"/>
        <v>490</v>
      </c>
      <c r="O51" s="171">
        <f t="shared" si="3"/>
        <v>490</v>
      </c>
    </row>
    <row r="52" spans="5:15">
      <c r="E52" s="169" t="s">
        <v>244</v>
      </c>
      <c r="F52" s="169" t="s">
        <v>957</v>
      </c>
      <c r="G52" s="169" t="s">
        <v>208</v>
      </c>
      <c r="H52" s="169">
        <v>9</v>
      </c>
      <c r="I52" s="169">
        <v>9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 US 07/17/26 C750</v>
      </c>
      <c r="M52" s="170" t="str">
        <f t="shared" si="1"/>
        <v>EQTY.IntlUS.off</v>
      </c>
      <c r="N52" s="171">
        <f t="shared" si="2"/>
        <v>9</v>
      </c>
      <c r="O52" s="171">
        <f t="shared" si="3"/>
        <v>9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-338</v>
      </c>
      <c r="I53" s="169">
        <v>-338</v>
      </c>
      <c r="K53" s="170" t="str">
        <f t="shared" si="0"/>
        <v>US Equity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</v>
      </c>
      <c r="M53" s="170" t="str">
        <f t="shared" si="1"/>
        <v>EQTY.IntlUS.off</v>
      </c>
      <c r="N53" s="171">
        <f t="shared" si="2"/>
        <v>-338</v>
      </c>
      <c r="O53" s="171">
        <f t="shared" si="3"/>
        <v>-338</v>
      </c>
    </row>
    <row r="54" spans="5:15">
      <c r="E54" s="169" t="s">
        <v>244</v>
      </c>
      <c r="F54" s="169" t="s">
        <v>979</v>
      </c>
      <c r="G54" s="169" t="s">
        <v>208</v>
      </c>
      <c r="H54" s="169">
        <v>-28</v>
      </c>
      <c r="I54" s="169">
        <v>-28</v>
      </c>
      <c r="K54" s="170" t="str">
        <f t="shared" si="0"/>
        <v>US Equity Options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 US 03/20/26 P60</v>
      </c>
      <c r="M54" s="170" t="str">
        <f t="shared" si="1"/>
        <v>EQTY.IntlUS.off</v>
      </c>
      <c r="N54" s="171">
        <f t="shared" si="2"/>
        <v>-28</v>
      </c>
      <c r="O54" s="171">
        <f t="shared" si="3"/>
        <v>-28</v>
      </c>
    </row>
    <row r="55" spans="5:15">
      <c r="E55" s="169" t="s">
        <v>244</v>
      </c>
      <c r="F55" s="169" t="s">
        <v>845</v>
      </c>
      <c r="G55" s="169" t="s">
        <v>208</v>
      </c>
      <c r="H55" s="169">
        <v>28</v>
      </c>
      <c r="I55" s="169">
        <v>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P70</v>
      </c>
      <c r="M55" s="170" t="str">
        <f t="shared" si="1"/>
        <v>EQTY.IntlUS.off</v>
      </c>
      <c r="N55" s="171">
        <f t="shared" si="2"/>
        <v>28</v>
      </c>
      <c r="O55" s="171">
        <f t="shared" si="3"/>
        <v>28</v>
      </c>
    </row>
    <row r="56" spans="5:15">
      <c r="E56" s="169" t="s">
        <v>335</v>
      </c>
      <c r="F56" s="169" t="s">
        <v>1123</v>
      </c>
      <c r="G56" s="169" t="s">
        <v>208</v>
      </c>
      <c r="H56" s="169">
        <v>-305500</v>
      </c>
      <c r="I56" s="169">
        <v>0</v>
      </c>
      <c r="K56" s="170" t="str">
        <f t="shared" si="0"/>
        <v>Global Bonds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4.90% 08/15/34</v>
      </c>
      <c r="M56" s="170" t="str">
        <f t="shared" si="1"/>
        <v>EQTY.IntlUS.off</v>
      </c>
      <c r="N56" s="171">
        <f t="shared" si="2"/>
        <v>-305500</v>
      </c>
      <c r="O56" s="171">
        <f t="shared" si="3"/>
        <v>0</v>
      </c>
    </row>
    <row r="57" spans="5:15">
      <c r="E57" s="169" t="s">
        <v>244</v>
      </c>
      <c r="F57" s="169" t="s">
        <v>980</v>
      </c>
      <c r="G57" s="169" t="s">
        <v>208</v>
      </c>
      <c r="H57" s="169">
        <v>-18</v>
      </c>
      <c r="I57" s="169">
        <v>-12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-18</v>
      </c>
      <c r="O57" s="171">
        <f t="shared" si="3"/>
        <v>-12</v>
      </c>
    </row>
    <row r="58" spans="5:15">
      <c r="E58" s="169" t="s">
        <v>244</v>
      </c>
      <c r="F58" s="169" t="s">
        <v>981</v>
      </c>
      <c r="G58" s="169" t="s">
        <v>208</v>
      </c>
      <c r="H58" s="169">
        <v>-6</v>
      </c>
      <c r="I58" s="169">
        <v>-12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-6</v>
      </c>
      <c r="O58" s="171">
        <f t="shared" si="3"/>
        <v>-12</v>
      </c>
    </row>
    <row r="59" spans="5:15">
      <c r="E59" s="169" t="s">
        <v>962</v>
      </c>
      <c r="F59" s="169" t="s">
        <v>963</v>
      </c>
      <c r="G59" s="169" t="s">
        <v>208</v>
      </c>
      <c r="H59" s="169">
        <v>-1</v>
      </c>
      <c r="I59" s="169">
        <v>-1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-1</v>
      </c>
      <c r="O59" s="171">
        <f t="shared" si="3"/>
        <v>-1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3293</v>
      </c>
      <c r="I60" s="169">
        <v>2600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3293</v>
      </c>
      <c r="O60" s="171">
        <f t="shared" si="3"/>
        <v>2600</v>
      </c>
    </row>
    <row r="61" spans="5:15">
      <c r="E61" s="169" t="s">
        <v>244</v>
      </c>
      <c r="F61" s="169" t="s">
        <v>1069</v>
      </c>
      <c r="G61" s="169" t="s">
        <v>208</v>
      </c>
      <c r="H61" s="169">
        <v>44</v>
      </c>
      <c r="I61" s="169">
        <v>44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03/20/26 C200</v>
      </c>
      <c r="M61" s="170" t="str">
        <f t="shared" si="1"/>
        <v>EQTY.IntlUS.off</v>
      </c>
      <c r="N61" s="171">
        <f t="shared" si="2"/>
        <v>44</v>
      </c>
      <c r="O61" s="171">
        <f t="shared" si="3"/>
        <v>44</v>
      </c>
    </row>
    <row r="62" spans="5:15">
      <c r="E62" s="169" t="s">
        <v>244</v>
      </c>
      <c r="F62" s="169" t="s">
        <v>1070</v>
      </c>
      <c r="G62" s="169" t="s">
        <v>208</v>
      </c>
      <c r="H62" s="169">
        <v>-45</v>
      </c>
      <c r="I62" s="169">
        <v>-45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C220</v>
      </c>
      <c r="M62" s="170" t="str">
        <f t="shared" si="1"/>
        <v>EQTY.IntlUS.off</v>
      </c>
      <c r="N62" s="171">
        <f t="shared" si="2"/>
        <v>-45</v>
      </c>
      <c r="O62" s="171">
        <f t="shared" si="3"/>
        <v>-45</v>
      </c>
    </row>
    <row r="63" spans="5:15">
      <c r="E63" s="169" t="s">
        <v>244</v>
      </c>
      <c r="F63" s="169" t="s">
        <v>923</v>
      </c>
      <c r="G63" s="169" t="s">
        <v>208</v>
      </c>
      <c r="H63" s="169">
        <v>8</v>
      </c>
      <c r="I63" s="169">
        <v>8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05/15/26 C200</v>
      </c>
      <c r="M63" s="170" t="str">
        <f t="shared" si="1"/>
        <v>EQTY.IntlUS.off</v>
      </c>
      <c r="N63" s="171">
        <f t="shared" si="2"/>
        <v>8</v>
      </c>
      <c r="O63" s="171">
        <f t="shared" si="3"/>
        <v>8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-1378</v>
      </c>
      <c r="I64" s="169">
        <v>-10380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ETF Options USD_</v>
      </c>
      <c r="M64" s="170" t="str">
        <f t="shared" si="1"/>
        <v>EQTY.IntlUS.off</v>
      </c>
      <c r="N64" s="171">
        <f t="shared" si="2"/>
        <v>-1378</v>
      </c>
      <c r="O64" s="171">
        <f t="shared" si="3"/>
        <v>-10380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-83078.55</v>
      </c>
      <c r="I65" s="169">
        <v>-22395.5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USD_</v>
      </c>
      <c r="M65" s="170" t="str">
        <f t="shared" si="1"/>
        <v>EQTY.IntlUS.off</v>
      </c>
      <c r="N65" s="171">
        <f t="shared" si="2"/>
        <v>-83078.55</v>
      </c>
      <c r="O65" s="171">
        <f t="shared" si="3"/>
        <v>-22395.5</v>
      </c>
    </row>
    <row r="66" spans="5:15">
      <c r="E66" s="169" t="s">
        <v>243</v>
      </c>
      <c r="F66" s="169" t="s">
        <v>1054</v>
      </c>
      <c r="G66" s="169" t="s">
        <v>208</v>
      </c>
      <c r="H66" s="169">
        <v>-9725.2099999999991</v>
      </c>
      <c r="I66" s="169">
        <v>-19110.61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EUR Equity EUR_</v>
      </c>
      <c r="M66" s="170" t="str">
        <f t="shared" si="1"/>
        <v>EQTY.IntlUS.off</v>
      </c>
      <c r="N66" s="171">
        <f t="shared" si="2"/>
        <v>-9725.2099999999991</v>
      </c>
      <c r="O66" s="171">
        <f t="shared" si="3"/>
        <v>-19110.61</v>
      </c>
    </row>
    <row r="67" spans="5:15">
      <c r="E67" s="169" t="s">
        <v>243</v>
      </c>
      <c r="F67" s="169" t="s">
        <v>1124</v>
      </c>
      <c r="G67" s="169" t="s">
        <v>208</v>
      </c>
      <c r="H67" s="169">
        <v>319269.77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319269.77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345</v>
      </c>
      <c r="G68" s="169" t="s">
        <v>208</v>
      </c>
      <c r="H68" s="169">
        <v>-2478.44</v>
      </c>
      <c r="I68" s="169">
        <v>68730.070000000007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NYSE USD_</v>
      </c>
      <c r="M68" s="170" t="str">
        <f t="shared" si="5"/>
        <v>EQTY.IntlUS.off</v>
      </c>
      <c r="N68" s="171">
        <f t="shared" si="6"/>
        <v>-2478.44</v>
      </c>
      <c r="O68" s="171">
        <f t="shared" si="7"/>
        <v>68730.070000000007</v>
      </c>
    </row>
    <row r="69" spans="5:15">
      <c r="E69" s="169" t="s">
        <v>243</v>
      </c>
      <c r="F69" s="169" t="s">
        <v>1125</v>
      </c>
      <c r="G69" s="169" t="s">
        <v>208</v>
      </c>
      <c r="H69" s="169">
        <v>-265839.61</v>
      </c>
      <c r="I69" s="169">
        <v>0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TBOND USD_</v>
      </c>
      <c r="M69" s="170" t="str">
        <f t="shared" si="5"/>
        <v>EQTY.IntlUS.off</v>
      </c>
      <c r="N69" s="171">
        <f t="shared" si="6"/>
        <v>-265839.61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1150</v>
      </c>
      <c r="I70" s="169">
        <v>-21947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US Equity Options USD_</v>
      </c>
      <c r="M70" s="170" t="str">
        <f t="shared" si="5"/>
        <v>EQTY.IntlUS.off</v>
      </c>
      <c r="N70" s="171">
        <f t="shared" si="6"/>
        <v>1150</v>
      </c>
      <c r="O70" s="171">
        <f t="shared" si="7"/>
        <v>-21947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-210362.35</v>
      </c>
      <c r="I71" s="169">
        <v>-59307.94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USD_</v>
      </c>
      <c r="M71" s="170" t="str">
        <f t="shared" si="5"/>
        <v>EQTY.IntlUS.off</v>
      </c>
      <c r="N71" s="171">
        <f t="shared" si="6"/>
        <v>-210362.35</v>
      </c>
      <c r="O71" s="171">
        <f t="shared" si="7"/>
        <v>-59307.94</v>
      </c>
    </row>
    <row r="72" spans="5:15">
      <c r="E72" s="169" t="s">
        <v>248</v>
      </c>
      <c r="F72" s="169" t="s">
        <v>1104</v>
      </c>
      <c r="G72" s="169" t="s">
        <v>208</v>
      </c>
      <c r="H72" s="169">
        <v>-60</v>
      </c>
      <c r="I72" s="169">
        <v>0</v>
      </c>
      <c r="K72" s="170" t="str">
        <f t="shared" si="4"/>
        <v>ETF Options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QQQ US 02/12/26 P598</v>
      </c>
      <c r="M72" s="170" t="str">
        <f t="shared" si="5"/>
        <v>EQTY.IntlUS.off</v>
      </c>
      <c r="N72" s="171">
        <f t="shared" si="6"/>
        <v>-60</v>
      </c>
      <c r="O72" s="171">
        <f t="shared" si="7"/>
        <v>0</v>
      </c>
    </row>
    <row r="73" spans="5:15">
      <c r="E73" s="169" t="s">
        <v>248</v>
      </c>
      <c r="F73" s="169" t="s">
        <v>1103</v>
      </c>
      <c r="G73" s="169" t="s">
        <v>208</v>
      </c>
      <c r="H73" s="169">
        <v>60</v>
      </c>
      <c r="I73" s="169">
        <v>0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02/12/26 P599</v>
      </c>
      <c r="M73" s="170" t="str">
        <f t="shared" si="5"/>
        <v>EQTY.IntlUS.off</v>
      </c>
      <c r="N73" s="171">
        <f t="shared" si="6"/>
        <v>60</v>
      </c>
      <c r="O73" s="171">
        <f t="shared" si="7"/>
        <v>0</v>
      </c>
    </row>
    <row r="74" spans="5:15">
      <c r="E74" s="169" t="s">
        <v>248</v>
      </c>
      <c r="F74" s="169" t="s">
        <v>1066</v>
      </c>
      <c r="G74" s="169" t="s">
        <v>208</v>
      </c>
      <c r="H74" s="169">
        <v>0</v>
      </c>
      <c r="I74" s="169">
        <v>-30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-30</v>
      </c>
    </row>
    <row r="75" spans="5:15">
      <c r="E75" s="169" t="s">
        <v>248</v>
      </c>
      <c r="F75" s="169" t="s">
        <v>1065</v>
      </c>
      <c r="G75" s="169" t="s">
        <v>208</v>
      </c>
      <c r="H75" s="169">
        <v>0</v>
      </c>
      <c r="I75" s="169">
        <v>30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30</v>
      </c>
    </row>
    <row r="76" spans="5:15">
      <c r="E76" s="169" t="s">
        <v>248</v>
      </c>
      <c r="F76" s="169" t="s">
        <v>1068</v>
      </c>
      <c r="G76" s="169" t="s">
        <v>208</v>
      </c>
      <c r="H76" s="169">
        <v>-54</v>
      </c>
      <c r="I76" s="169">
        <v>-18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02/20/26 P590</v>
      </c>
      <c r="M76" s="170" t="str">
        <f t="shared" si="5"/>
        <v>EQTY.IntlUS.off</v>
      </c>
      <c r="N76" s="171">
        <f t="shared" si="6"/>
        <v>-54</v>
      </c>
      <c r="O76" s="171">
        <f t="shared" si="7"/>
        <v>-18</v>
      </c>
    </row>
    <row r="77" spans="5:15">
      <c r="E77" s="169" t="s">
        <v>248</v>
      </c>
      <c r="F77" s="169" t="s">
        <v>1096</v>
      </c>
      <c r="G77" s="169" t="s">
        <v>208</v>
      </c>
      <c r="H77" s="169">
        <v>54</v>
      </c>
      <c r="I77" s="169">
        <v>0</v>
      </c>
      <c r="K77" s="170" t="str">
        <f t="shared" si="4"/>
        <v>ETF Options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QQQ US 02/20/26 P600</v>
      </c>
      <c r="M77" s="170" t="str">
        <f t="shared" si="5"/>
        <v>EQTY.IntlUS.off</v>
      </c>
      <c r="N77" s="171">
        <f t="shared" si="6"/>
        <v>54</v>
      </c>
      <c r="O77" s="171">
        <f t="shared" si="7"/>
        <v>0</v>
      </c>
    </row>
    <row r="78" spans="5:15">
      <c r="E78" s="169" t="s">
        <v>248</v>
      </c>
      <c r="F78" s="169" t="s">
        <v>1067</v>
      </c>
      <c r="G78" s="169" t="s">
        <v>208</v>
      </c>
      <c r="H78" s="169">
        <v>0</v>
      </c>
      <c r="I78" s="169">
        <v>18</v>
      </c>
      <c r="K78" s="170" t="str">
        <f t="shared" si="4"/>
        <v>ETF Options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18</v>
      </c>
    </row>
    <row r="79" spans="5:15">
      <c r="E79" s="169" t="s">
        <v>248</v>
      </c>
      <c r="F79" s="169" t="s">
        <v>1097</v>
      </c>
      <c r="G79" s="169" t="s">
        <v>208</v>
      </c>
      <c r="H79" s="169">
        <v>-12</v>
      </c>
      <c r="I79" s="169">
        <v>0</v>
      </c>
      <c r="K79" s="170" t="str">
        <f t="shared" si="4"/>
        <v>ETF Options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QQQ US 02/27/26 P580</v>
      </c>
      <c r="M79" s="170" t="str">
        <f t="shared" si="5"/>
        <v>EQTY.IntlUS.off</v>
      </c>
      <c r="N79" s="171">
        <f t="shared" si="6"/>
        <v>-12</v>
      </c>
      <c r="O79" s="171">
        <f t="shared" si="7"/>
        <v>0</v>
      </c>
    </row>
    <row r="80" spans="5:15">
      <c r="E80" s="169" t="s">
        <v>248</v>
      </c>
      <c r="F80" s="169" t="s">
        <v>1095</v>
      </c>
      <c r="G80" s="169" t="s">
        <v>208</v>
      </c>
      <c r="H80" s="169">
        <v>12</v>
      </c>
      <c r="I80" s="169">
        <v>0</v>
      </c>
      <c r="K80" s="170" t="str">
        <f t="shared" si="4"/>
        <v>ETF Options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QQQ US 02/27/26 P590</v>
      </c>
      <c r="M80" s="170" t="str">
        <f t="shared" si="5"/>
        <v>EQTY.IntlUS.off</v>
      </c>
      <c r="N80" s="171">
        <f t="shared" si="6"/>
        <v>12</v>
      </c>
      <c r="O80" s="171">
        <f t="shared" si="7"/>
        <v>0</v>
      </c>
    </row>
    <row r="81" spans="5:15">
      <c r="E81" s="169" t="s">
        <v>242</v>
      </c>
      <c r="F81" s="169" t="s">
        <v>790</v>
      </c>
      <c r="G81" s="169" t="s">
        <v>208</v>
      </c>
      <c r="H81" s="169">
        <v>1929</v>
      </c>
      <c r="I81" s="169">
        <v>1929</v>
      </c>
      <c r="K81" s="170" t="str">
        <f t="shared" si="4"/>
        <v>US Equity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RIOT</v>
      </c>
      <c r="M81" s="170" t="str">
        <f t="shared" si="5"/>
        <v>EQTY.IntlUS.off</v>
      </c>
      <c r="N81" s="171">
        <f t="shared" si="6"/>
        <v>1929</v>
      </c>
      <c r="O81" s="171">
        <f t="shared" si="7"/>
        <v>1929</v>
      </c>
    </row>
    <row r="82" spans="5:15">
      <c r="E82" s="169" t="s">
        <v>792</v>
      </c>
      <c r="F82" s="169" t="s">
        <v>793</v>
      </c>
      <c r="G82" s="169" t="s">
        <v>208</v>
      </c>
      <c r="H82" s="169">
        <v>52</v>
      </c>
      <c r="I82" s="169">
        <v>52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000660 KS</v>
      </c>
      <c r="M82" s="170" t="str">
        <f t="shared" si="5"/>
        <v>EQTY.IntlUS.off</v>
      </c>
      <c r="N82" s="171">
        <f t="shared" si="6"/>
        <v>52</v>
      </c>
      <c r="O82" s="171">
        <f t="shared" si="7"/>
        <v>52</v>
      </c>
    </row>
    <row r="83" spans="5:15">
      <c r="E83" s="169" t="s">
        <v>792</v>
      </c>
      <c r="F83" s="169" t="s">
        <v>1029</v>
      </c>
      <c r="G83" s="169" t="s">
        <v>208</v>
      </c>
      <c r="H83" s="169">
        <v>10</v>
      </c>
      <c r="I83" s="169">
        <v>10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000660 KS 10FEB2026 20APR2026 592.6251</v>
      </c>
      <c r="M83" s="170" t="str">
        <f t="shared" si="5"/>
        <v>EQTY.IntlUS.off</v>
      </c>
      <c r="N83" s="171">
        <f t="shared" si="6"/>
        <v>10</v>
      </c>
      <c r="O83" s="171">
        <f t="shared" si="7"/>
        <v>10</v>
      </c>
    </row>
    <row r="84" spans="5:15">
      <c r="E84" s="169" t="s">
        <v>792</v>
      </c>
      <c r="F84" s="169" t="s">
        <v>877</v>
      </c>
      <c r="G84" s="169" t="s">
        <v>208</v>
      </c>
      <c r="H84" s="169">
        <v>43</v>
      </c>
      <c r="I84" s="169">
        <v>43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000660 KS 26JAN2026 26JAN2027 509.6192</v>
      </c>
      <c r="M84" s="170" t="str">
        <f t="shared" si="5"/>
        <v>EQTY.IntlUS.off</v>
      </c>
      <c r="N84" s="171">
        <f t="shared" si="6"/>
        <v>43</v>
      </c>
      <c r="O84" s="171">
        <f t="shared" si="7"/>
        <v>43</v>
      </c>
    </row>
    <row r="85" spans="5:15">
      <c r="E85" s="169" t="s">
        <v>792</v>
      </c>
      <c r="F85" s="169" t="s">
        <v>1030</v>
      </c>
      <c r="G85" s="169" t="s">
        <v>208</v>
      </c>
      <c r="H85" s="169">
        <v>189</v>
      </c>
      <c r="I85" s="169">
        <v>189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005930 KS 03FEB2026 20APR2026 113.36</v>
      </c>
      <c r="M85" s="170" t="str">
        <f t="shared" si="5"/>
        <v>EQTY.IntlUS.off</v>
      </c>
      <c r="N85" s="171">
        <f t="shared" si="6"/>
        <v>189</v>
      </c>
      <c r="O85" s="171">
        <f t="shared" si="7"/>
        <v>189</v>
      </c>
    </row>
    <row r="86" spans="5:15">
      <c r="E86" s="169" t="s">
        <v>792</v>
      </c>
      <c r="F86" s="169" t="s">
        <v>1031</v>
      </c>
      <c r="G86" s="169" t="s">
        <v>208</v>
      </c>
      <c r="H86" s="169">
        <v>189</v>
      </c>
      <c r="I86" s="169">
        <v>189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005930 KS 04FEB2026 20APR2026 105.82</v>
      </c>
      <c r="M86" s="170" t="str">
        <f t="shared" si="5"/>
        <v>EQTY.IntlUS.off</v>
      </c>
      <c r="N86" s="171">
        <f t="shared" si="6"/>
        <v>189</v>
      </c>
      <c r="O86" s="171">
        <f t="shared" si="7"/>
        <v>189</v>
      </c>
    </row>
    <row r="87" spans="5:15">
      <c r="E87" s="169" t="s">
        <v>792</v>
      </c>
      <c r="F87" s="169" t="s">
        <v>1032</v>
      </c>
      <c r="G87" s="169" t="s">
        <v>208</v>
      </c>
      <c r="H87" s="169">
        <v>55</v>
      </c>
      <c r="I87" s="169">
        <v>55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005930 KS 10FEB2026 20APR2026 110.873</v>
      </c>
      <c r="M87" s="170" t="str">
        <f t="shared" si="5"/>
        <v>EQTY.IntlUS.off</v>
      </c>
      <c r="N87" s="171">
        <f t="shared" si="6"/>
        <v>55</v>
      </c>
      <c r="O87" s="171">
        <f t="shared" si="7"/>
        <v>55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1090</v>
      </c>
      <c r="I88" s="169">
        <v>1090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2330 TT 11FEB2026 20APR2026 55.7697</v>
      </c>
      <c r="M88" s="170" t="str">
        <f t="shared" si="5"/>
        <v>EQTY.IntlUS.off</v>
      </c>
      <c r="N88" s="171">
        <f t="shared" si="6"/>
        <v>1090</v>
      </c>
      <c r="O88" s="171">
        <f t="shared" si="7"/>
        <v>1090</v>
      </c>
    </row>
    <row r="89" spans="5:15">
      <c r="E89" s="169" t="s">
        <v>792</v>
      </c>
      <c r="F89" s="169" t="s">
        <v>1033</v>
      </c>
      <c r="G89" s="169" t="s">
        <v>208</v>
      </c>
      <c r="H89" s="169">
        <v>17</v>
      </c>
      <c r="I89" s="169">
        <v>17</v>
      </c>
      <c r="K89" s="170" t="str">
        <f t="shared" si="4"/>
        <v>Equity Total Return Swap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SWAP 402340 KS 09FEB2026 20APR2026 348.49</v>
      </c>
      <c r="M89" s="170" t="str">
        <f t="shared" si="5"/>
        <v>EQTY.IntlUS.off</v>
      </c>
      <c r="N89" s="171">
        <f t="shared" si="6"/>
        <v>17</v>
      </c>
      <c r="O89" s="171">
        <f t="shared" si="7"/>
        <v>17</v>
      </c>
    </row>
    <row r="90" spans="5:15">
      <c r="E90" s="169" t="s">
        <v>792</v>
      </c>
      <c r="F90" s="169" t="s">
        <v>1034</v>
      </c>
      <c r="G90" s="169" t="s">
        <v>208</v>
      </c>
      <c r="H90" s="169">
        <v>38</v>
      </c>
      <c r="I90" s="169">
        <v>38</v>
      </c>
      <c r="K90" s="170" t="str">
        <f t="shared" si="4"/>
        <v>Equity Total Return Swap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SWAP 402340 KS 09FEB2026 20APR2026 390.92</v>
      </c>
      <c r="M90" s="170" t="str">
        <f t="shared" si="5"/>
        <v>EQTY.IntlUS.off</v>
      </c>
      <c r="N90" s="171">
        <f t="shared" si="6"/>
        <v>38</v>
      </c>
      <c r="O90" s="171">
        <f t="shared" si="7"/>
        <v>38</v>
      </c>
    </row>
    <row r="91" spans="5:15">
      <c r="E91" s="169" t="s">
        <v>792</v>
      </c>
      <c r="F91" s="169" t="s">
        <v>1035</v>
      </c>
      <c r="G91" s="169" t="s">
        <v>208</v>
      </c>
      <c r="H91" s="169">
        <v>16</v>
      </c>
      <c r="I91" s="169">
        <v>16</v>
      </c>
      <c r="K91" s="170" t="str">
        <f t="shared" si="4"/>
        <v>Equity Total Return Swap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SWAP 402340 KS 10FEB2026 20APR2026 377.6597</v>
      </c>
      <c r="M91" s="170" t="str">
        <f t="shared" si="5"/>
        <v>EQTY.IntlUS.off</v>
      </c>
      <c r="N91" s="171">
        <f t="shared" si="6"/>
        <v>16</v>
      </c>
      <c r="O91" s="171">
        <f t="shared" si="7"/>
        <v>16</v>
      </c>
    </row>
    <row r="92" spans="5:15">
      <c r="E92" s="169" t="s">
        <v>792</v>
      </c>
      <c r="F92" s="169" t="s">
        <v>1056</v>
      </c>
      <c r="G92" s="169" t="s">
        <v>208</v>
      </c>
      <c r="H92" s="169">
        <v>17</v>
      </c>
      <c r="I92" s="169">
        <v>17</v>
      </c>
      <c r="K92" s="170" t="str">
        <f t="shared" si="4"/>
        <v>Equity Total Return Swap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SWAP 402340 KS 11FEB2026 20APR2026 350.7653</v>
      </c>
      <c r="M92" s="170" t="str">
        <f t="shared" si="5"/>
        <v>EQTY.IntlUS.off</v>
      </c>
      <c r="N92" s="171">
        <f t="shared" si="6"/>
        <v>17</v>
      </c>
      <c r="O92" s="171">
        <f t="shared" si="7"/>
        <v>17</v>
      </c>
    </row>
    <row r="93" spans="5:15">
      <c r="E93" s="169" t="s">
        <v>938</v>
      </c>
      <c r="F93" s="169" t="s">
        <v>939</v>
      </c>
      <c r="G93" s="169" t="s">
        <v>208</v>
      </c>
      <c r="H93" s="169">
        <v>1473572</v>
      </c>
      <c r="I93" s="169">
        <v>1207940</v>
      </c>
      <c r="K93" s="170" t="str">
        <f t="shared" si="4"/>
        <v>TBOND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T 4.000% 11/15/35</v>
      </c>
      <c r="M93" s="170" t="str">
        <f t="shared" si="5"/>
        <v>EQTY.IntlUS.off</v>
      </c>
      <c r="N93" s="171">
        <f t="shared" si="6"/>
        <v>1473572</v>
      </c>
      <c r="O93" s="171">
        <f t="shared" si="7"/>
        <v>1207940</v>
      </c>
    </row>
    <row r="94" spans="5:15">
      <c r="E94" s="169" t="s">
        <v>8</v>
      </c>
      <c r="F94" s="169" t="s">
        <v>44</v>
      </c>
      <c r="G94" s="169" t="s">
        <v>208</v>
      </c>
      <c r="H94" s="169">
        <v>-303</v>
      </c>
      <c r="I94" s="169">
        <v>-303</v>
      </c>
      <c r="K94" s="170" t="str">
        <f t="shared" si="4"/>
        <v>ADR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TSM</v>
      </c>
      <c r="M94" s="170" t="str">
        <f t="shared" si="5"/>
        <v>EQTY.IntlUS.off</v>
      </c>
      <c r="N94" s="171">
        <f t="shared" si="6"/>
        <v>-303</v>
      </c>
      <c r="O94" s="171">
        <f t="shared" si="7"/>
        <v>-303</v>
      </c>
    </row>
    <row r="95" spans="5:15">
      <c r="E95" s="169" t="s">
        <v>251</v>
      </c>
      <c r="F95" s="169" t="s">
        <v>820</v>
      </c>
      <c r="G95" s="169" t="s">
        <v>208</v>
      </c>
      <c r="H95" s="169">
        <v>97</v>
      </c>
      <c r="I95" s="169">
        <v>97</v>
      </c>
      <c r="K95" s="170" t="str">
        <f t="shared" si="4"/>
        <v>ADR Options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TSM US 06/18/26 C340</v>
      </c>
      <c r="M95" s="170" t="str">
        <f t="shared" si="5"/>
        <v>EQTY.IntlUS.off</v>
      </c>
      <c r="N95" s="171">
        <f t="shared" si="6"/>
        <v>97</v>
      </c>
      <c r="O95" s="171">
        <f t="shared" si="7"/>
        <v>97</v>
      </c>
    </row>
    <row r="96" spans="5:15">
      <c r="E96" s="169" t="s">
        <v>251</v>
      </c>
      <c r="F96" s="169" t="s">
        <v>821</v>
      </c>
      <c r="G96" s="169" t="s">
        <v>208</v>
      </c>
      <c r="H96" s="169">
        <v>-80</v>
      </c>
      <c r="I96" s="169">
        <v>-80</v>
      </c>
      <c r="K96" s="170" t="str">
        <f t="shared" si="4"/>
        <v>ADR Options</v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>TSM US 06/18/26 C380</v>
      </c>
      <c r="M96" s="170" t="str">
        <f t="shared" si="5"/>
        <v>EQTY.IntlUS.off</v>
      </c>
      <c r="N96" s="171">
        <f t="shared" si="6"/>
        <v>-80</v>
      </c>
      <c r="O96" s="171">
        <f t="shared" si="7"/>
        <v>-80</v>
      </c>
    </row>
    <row r="97" spans="5:15">
      <c r="E97" s="169" t="s">
        <v>242</v>
      </c>
      <c r="F97" s="169" t="s">
        <v>974</v>
      </c>
      <c r="G97" s="169" t="s">
        <v>208</v>
      </c>
      <c r="H97" s="169">
        <v>3231</v>
      </c>
      <c r="I97" s="169">
        <v>3231</v>
      </c>
      <c r="K97" s="170" t="str">
        <f t="shared" si="4"/>
        <v>US Equity</v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>WMB</v>
      </c>
      <c r="M97" s="170" t="str">
        <f t="shared" si="5"/>
        <v>EQTY.IntlUS.off</v>
      </c>
      <c r="N97" s="171">
        <f t="shared" si="6"/>
        <v>3231</v>
      </c>
      <c r="O97" s="171">
        <f t="shared" si="7"/>
        <v>3231</v>
      </c>
    </row>
    <row r="98" spans="5:15">
      <c r="E98" s="169" t="s">
        <v>245</v>
      </c>
      <c r="F98" s="169" t="s">
        <v>36</v>
      </c>
      <c r="G98" s="169" t="s">
        <v>208</v>
      </c>
      <c r="H98" s="169">
        <v>1523</v>
      </c>
      <c r="I98" s="169">
        <v>1523</v>
      </c>
      <c r="K98" s="170" t="str">
        <f t="shared" si="4"/>
        <v>ETF</v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>XLF</v>
      </c>
      <c r="M98" s="170" t="str">
        <f t="shared" si="5"/>
        <v>EQTY.IntlUS.off</v>
      </c>
      <c r="N98" s="171">
        <f t="shared" si="6"/>
        <v>1523</v>
      </c>
      <c r="O98" s="171">
        <f t="shared" si="7"/>
        <v>1523</v>
      </c>
    </row>
    <row r="99" spans="5:15">
      <c r="E99" s="169" t="s">
        <v>245</v>
      </c>
      <c r="F99" s="169" t="s">
        <v>4</v>
      </c>
      <c r="G99" s="169" t="s">
        <v>208</v>
      </c>
      <c r="H99" s="169">
        <v>-1735</v>
      </c>
      <c r="I99" s="169">
        <v>-1735</v>
      </c>
      <c r="K99" s="170" t="str">
        <f t="shared" si="4"/>
        <v>ETF</v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>XLP</v>
      </c>
      <c r="M99" s="170" t="str">
        <f t="shared" si="5"/>
        <v>EQTY.IntlUS.off</v>
      </c>
      <c r="N99" s="171">
        <f t="shared" si="6"/>
        <v>-1735</v>
      </c>
      <c r="O99" s="171">
        <f t="shared" si="7"/>
        <v>-1735</v>
      </c>
    </row>
    <row r="100" spans="5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-303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-303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46066</v>
      </c>
      <c r="C2" s="166">
        <v>0</v>
      </c>
    </row>
    <row r="3" spans="1:7">
      <c r="A3" s="164" t="s">
        <v>266</v>
      </c>
      <c r="B3" s="190">
        <f ca="1">B2-1</f>
        <v>46065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551</v>
      </c>
      <c r="G39" s="21" t="s">
        <v>2</v>
      </c>
    </row>
    <row r="40" spans="6:7">
      <c r="F40" t="s">
        <v>78</v>
      </c>
      <c r="G40" s="21" t="s">
        <v>798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899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6.9048999999999996</v>
      </c>
    </row>
    <row r="51" spans="1:10">
      <c r="F51" s="79" t="s">
        <v>893</v>
      </c>
      <c r="G51" s="79" t="s">
        <v>894</v>
      </c>
      <c r="H51" s="79" t="str">
        <f>F51</f>
        <v>YEST</v>
      </c>
      <c r="I51" s="79" t="str">
        <f>G51</f>
        <v>TODAY</v>
      </c>
      <c r="J51" t="s">
        <v>874</v>
      </c>
    </row>
    <row r="52" spans="1:10">
      <c r="A52" s="358" t="s">
        <v>595</v>
      </c>
      <c r="B52" s="359">
        <v>46101</v>
      </c>
      <c r="C52" s="358">
        <v>276451</v>
      </c>
      <c r="D52" s="358" t="s">
        <v>597</v>
      </c>
      <c r="E52" s="358" t="s">
        <v>808</v>
      </c>
      <c r="F52" s="364">
        <f>Precificação!N2</f>
        <v>9.5500000000000007</v>
      </c>
      <c r="G52" s="205">
        <v>10.45</v>
      </c>
      <c r="H52" s="196">
        <f>$C52*F52/$I$50</f>
        <v>382352.68432562391</v>
      </c>
      <c r="I52" s="196">
        <f>$C52*G52/$I$50</f>
        <v>418385.92159191298</v>
      </c>
      <c r="J52" s="196">
        <f>I52-H52</f>
        <v>36033.23726628907</v>
      </c>
    </row>
    <row r="53" spans="1:10">
      <c r="A53" s="358" t="s">
        <v>595</v>
      </c>
      <c r="B53" s="359">
        <v>46101</v>
      </c>
      <c r="C53" s="358">
        <v>276451</v>
      </c>
      <c r="D53" s="358" t="s">
        <v>597</v>
      </c>
      <c r="E53" s="358" t="s">
        <v>809</v>
      </c>
      <c r="F53" s="364">
        <f>Precificação!N3</f>
        <v>1.28</v>
      </c>
      <c r="G53" s="205">
        <v>2.35</v>
      </c>
      <c r="H53" s="196">
        <f>$C53*F53/$I$50</f>
        <v>51247.270778722363</v>
      </c>
      <c r="I53" s="196">
        <f>$C53*G53/$I$50</f>
        <v>94086.786195310575</v>
      </c>
      <c r="J53" s="196">
        <f>I53-H53</f>
        <v>42839.515416588212</v>
      </c>
    </row>
    <row r="54" spans="1:10">
      <c r="E54" s="205">
        <f>E53-E52</f>
        <v>15</v>
      </c>
      <c r="F54" s="205">
        <f>F52-F53</f>
        <v>8.2700000000000014</v>
      </c>
      <c r="G54" s="205">
        <f>G52-G53</f>
        <v>8.1</v>
      </c>
      <c r="H54" s="334">
        <f>H52-H53</f>
        <v>331105.41354690155</v>
      </c>
      <c r="I54" s="334">
        <f>I52-I53</f>
        <v>324299.13539660239</v>
      </c>
      <c r="J54" s="334">
        <f>J52-J53</f>
        <v>-6806.278150299142</v>
      </c>
    </row>
    <row r="55" spans="1:10">
      <c r="I55" t="s">
        <v>875</v>
      </c>
      <c r="J55" s="205">
        <f>J54/'Master P&amp;L'!AD7*10000</f>
        <v>-2.6962386181519648E-2</v>
      </c>
    </row>
    <row r="58" spans="1:10">
      <c r="B58" s="5"/>
      <c r="D58" s="5"/>
    </row>
    <row r="61" spans="1:10">
      <c r="B61" t="s">
        <v>900</v>
      </c>
    </row>
    <row r="62" spans="1:10">
      <c r="C62" t="s">
        <v>152</v>
      </c>
      <c r="D62" t="s">
        <v>153</v>
      </c>
    </row>
    <row r="63" spans="1:10">
      <c r="B63" t="s">
        <v>902</v>
      </c>
      <c r="C63">
        <v>99.21</v>
      </c>
      <c r="D63">
        <v>99.06</v>
      </c>
    </row>
    <row r="64" spans="1:10">
      <c r="B64" t="s">
        <v>904</v>
      </c>
      <c r="C64" s="42">
        <v>0.05</v>
      </c>
      <c r="D64" s="42">
        <v>4.9799999999999997E-2</v>
      </c>
    </row>
    <row r="65" spans="2:6">
      <c r="B65" t="s">
        <v>903</v>
      </c>
      <c r="C65" s="42">
        <v>4.2299999999999997E-2</v>
      </c>
      <c r="D65" s="42">
        <v>4.2299999999999997E-2</v>
      </c>
    </row>
    <row r="66" spans="2:6">
      <c r="B66" t="s">
        <v>901</v>
      </c>
      <c r="C66">
        <v>77</v>
      </c>
      <c r="D66">
        <v>75</v>
      </c>
    </row>
    <row r="67" spans="2:6">
      <c r="B67" t="s">
        <v>910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905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875</v>
      </c>
    </row>
    <row r="72" spans="2:6">
      <c r="B72" t="s">
        <v>901</v>
      </c>
      <c r="C72" s="196">
        <f>(D72-$C$66)*$C$71</f>
        <v>-53410</v>
      </c>
      <c r="D72">
        <v>70</v>
      </c>
      <c r="E72" t="s">
        <v>908</v>
      </c>
      <c r="F72" s="205">
        <f>C72/'Master P&amp;L'!$AD$7*10000</f>
        <v>-0.21157834195942643</v>
      </c>
    </row>
    <row r="73" spans="2:6">
      <c r="B73" t="s">
        <v>901</v>
      </c>
      <c r="C73" s="196">
        <f>(D73-$C$66)*$C$71</f>
        <v>61040</v>
      </c>
      <c r="D73">
        <v>85</v>
      </c>
      <c r="E73" t="s">
        <v>909</v>
      </c>
      <c r="F73" s="205">
        <f>C73/'Master P&amp;L'!$AD$7*10000</f>
        <v>0.24180381938220166</v>
      </c>
    </row>
    <row r="76" spans="2:6">
      <c r="B76" t="s">
        <v>906</v>
      </c>
    </row>
    <row r="77" spans="2:6">
      <c r="B77" t="s">
        <v>907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P&amp;L'!$AE$11:$AE$101,'Master P&amp;L'!$B$11:$B$101,'Check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P&amp;L'!$AE$11:$AE$101,'Master P&amp;L'!$B$11:$B$101,'Check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P&amp;L'!$AE$11:$AE$101,'Master P&amp;L'!$B$11:$B$101,'Check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P&amp;L'!$AE$11:$AE$101,'Master P&amp;L'!$B$11:$B$101,'Check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P&amp;L'!$AE$11:$AE$101,'Master P&amp;L'!$B$11:$B$101,'Check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P&amp;L'!$AE$11:$AE$101,'Master P&amp;L'!$B$11:$B$101,'Check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P&amp;L'!$AE$11:$AE$101,'Master P&amp;L'!$B$11:$B$101,'Check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P&amp;L'!$AE$11:$AE$101,'Master P&amp;L'!$B$11:$B$101,'Check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P&amp;L'!$AE$11:$AE$101,'Master P&amp;L'!$B$11:$B$101,'Check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P&amp;L'!$AE$11:$AE$101,'Master P&amp;L'!$B$11:$B$101,'Check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P&amp;L'!$AE$11:$AE$101,'Master P&amp;L'!$B$11:$B$101,'Check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P&amp;L'!$AE$11:$AE$101,'Master P&amp;L'!$B$11:$B$101,'Check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P&amp;L'!$AE$11:$AE$101,'Master P&amp;L'!$B$11:$B$101,'Check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P&amp;L'!$AE$11:$AE$101,'Master P&amp;L'!$B$11:$B$101,'Check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P&amp;L'!$AE$11:$AE$101,'Master P&amp;L'!$B$11:$B$101,'Check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P&amp;L'!$AE$11:$AE$101,'Master P&amp;L'!$B$11:$B$101,'Check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P&amp;L'!$AE$11:$AE$101,'Master P&amp;L'!$B$11:$B$101,'Check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P&amp;L'!$AE$11:$AE$101,'Master P&amp;L'!$B$11:$B$101,'Check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P&amp;L'!$AE$11:$AE$101,'Master P&amp;L'!$B$11:$B$101,'Check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P&amp;L'!$AE$11:$AE$101,'Master P&amp;L'!$B$11:$B$101,'Check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P&amp;L'!$AE$11:$AE$101,'Master P&amp;L'!$B$11:$B$101,'Check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P&amp;L'!$AE$11:$AE$101,'Master P&amp;L'!$B$11:$B$101,'Check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P&amp;L'!$AE$11:$AE$101,'Master P&amp;L'!$B$11:$B$101,'Check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P&amp;L'!$AE$11:$AE$101,'Master P&amp;L'!$B$11:$B$101,'Check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P&amp;L'!$AE$11:$AE$101,'Master P&amp;L'!$B$11:$B$101,'Check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P&amp;L'!$AE$11:$AE$101,'Master P&amp;L'!$B$11:$B$101,'Check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P&amp;L'!$AE$11:$AE$101,'Master P&amp;L'!$B$11:$B$101,'Check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P&amp;L'!$AE$11:$AE$101,'Master P&amp;L'!$B$11:$B$101,'Check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P&amp;L'!$AE$11:$AE$101,'Master P&amp;L'!$B$11:$B$101,'Check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P&amp;L'!$AE$11:$AE$101,'Master P&amp;L'!$B$11:$B$101,'Check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P&amp;L'!$AE$11:$AE$101,'Master P&amp;L'!$B$11:$B$101,'Check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P&amp;L'!$AE$11:$AE$101,'Master P&amp;L'!$B$11:$B$101,'Check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P&amp;L'!$AE$11:$AE$101,'Master P&amp;L'!$B$11:$B$101,'Check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P&amp;L'!$AE$11:$AE$101,'Master P&amp;L'!$B$11:$B$101,'Check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P&amp;L'!$AE$11:$AE$101,'Master P&amp;L'!$B$11:$B$101,'Check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P&amp;L'!$AE$11:$AE$101,'Master P&amp;L'!$B$11:$B$101,'Check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P&amp;L'!$AE$11:$AE$101,'Master P&amp;L'!$B$11:$B$101,'Check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P&amp;L'!$AE$11:$AE$101,'Master P&amp;L'!$B$11:$B$101,'Check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P&amp;L'!$AE$11:$AE$101,'Master P&amp;L'!$B$11:$B$101,'Check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P&amp;L'!$AE$11:$AE$101,'Master P&amp;L'!$B$11:$B$101,'Check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P&amp;L'!$AE$11:$AE$101,'Master P&amp;L'!$B$11:$B$101,'Check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P&amp;L'!$AE$11:$AE$101,'Master P&amp;L'!$B$11:$B$101,'Check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P&amp;L'!$AE$11:$AE$101,'Master P&amp;L'!$B$11:$B$101,'Check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P&amp;L'!$AE$11:$AE$101,'Master P&amp;L'!$B$11:$B$101,'Check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P&amp;L'!$AE$11:$AE$101,'Master P&amp;L'!$B$11:$B$101,'Check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P&amp;L'!$AE$11:$AE$101,'Master P&amp;L'!$B$11:$B$101,'Check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P&amp;L'!$AE$11:$AE$101,'Master P&amp;L'!$B$11:$B$101,'Check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P&amp;L'!$AE$11:$AE$101,'Master P&amp;L'!$B$11:$B$101,'Check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P&amp;L'!$AE$11:$AE$101,'Master P&amp;L'!$B$11:$B$101,'Check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P&amp;L'!$AE$11:$AE$101,'Master P&amp;L'!$B$11:$B$101,'Check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P&amp;L'!$AE$11:$AE$101,'Master P&amp;L'!$B$11:$B$101,'Check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P&amp;L'!$AE$11:$AE$101,'Master P&amp;L'!$B$11:$B$101,'Check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P&amp;L'!$AE$11:$AE$101,'Master P&amp;L'!$B$11:$B$101,'Check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P&amp;L'!$AE$11:$AE$101,'Master P&amp;L'!$B$11:$B$101,'Check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P&amp;L'!$AE$11:$AE$101,'Master P&amp;L'!$B$11:$B$101,'Check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P&amp;L'!$AE$11:$AE$101,'Master P&amp;L'!$B$11:$B$101,'Check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P&amp;L'!$AE$11:$AE$101,'Master P&amp;L'!$B$11:$B$101,'Check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P&amp;L'!$AE$11:$AE$101,'Master P&amp;L'!$B$11:$B$101,'Check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P&amp;L'!$AE$11:$AE$101,'Master P&amp;L'!$B$11:$B$101,'Check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P&amp;L'!$AE$11:$AE$101,'Master P&amp;L'!$B$11:$B$101,'Check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P&amp;L'!$AE$11:$AE$101,'Master P&amp;L'!$B$11:$B$101,'Check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P&amp;L'!$AE$11:$AE$101,'Master P&amp;L'!$B$11:$B$101,'Check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P&amp;L'!$AE$11:$AE$101,'Master P&amp;L'!$B$11:$B$101,'Check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P&amp;L'!$AE$11:$AE$101,'Master P&amp;L'!$B$11:$B$101,'Check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P&amp;L'!$AE$11:$AE$101,'Master P&amp;L'!$B$11:$B$101,'Check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P&amp;L'!$AE$11:$AE$101,'Master P&amp;L'!$B$11:$B$101,'Check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P&amp;L'!$AE$11:$AE$101,'Master P&amp;L'!$B$11:$B$101,'Check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P&amp;L'!$AE$11:$AE$101,'Master P&amp;L'!$B$11:$B$101,'Check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P&amp;L'!$AE$11:$AE$101,'Master P&amp;L'!$B$11:$B$101,'Check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P&amp;L'!$AE$11:$AE$101,'Master P&amp;L'!$B$11:$B$101,'Check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P&amp;L'!$AE$11:$AE$101,'Master P&amp;L'!$B$11:$B$101,'Check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P&amp;L'!$AE$11:$AE$101,'Master P&amp;L'!$B$11:$B$101,'Check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P&amp;L'!$AE$11:$AE$101,'Master P&amp;L'!$B$11:$B$101,'Check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P&amp;L'!$AE$11:$AE$101,'Master P&amp;L'!$B$11:$B$101,'Check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P&amp;L'!$AE$11:$AE$101,'Master P&amp;L'!$B$11:$B$101,'Check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P&amp;L'!$AE$11:$AE$101,'Master P&amp;L'!$B$11:$B$101,'Check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P&amp;L'!$AE$11:$AE$101,'Master P&amp;L'!$B$11:$B$101,'Check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P&amp;L'!$AE$11:$AE$101,'Master P&amp;L'!$B$11:$B$101,'Check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P&amp;L'!$AE$11:$AE$101,'Master P&amp;L'!$B$11:$B$101,'Check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P&amp;L'!$AE$11:$AE$101,'Master P&amp;L'!$B$11:$B$101,'Check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P&amp;L'!$AE$11:$AE$101,'Master P&amp;L'!$B$11:$B$101,'Check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P&amp;L'!$AE$11:$AE$101,'Master P&amp;L'!$B$11:$B$101,'Check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P&amp;L'!$AE$11:$AE$101,'Master P&amp;L'!$B$11:$B$101,'Check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P&amp;L'!$AE$11:$AE$101,'Master P&amp;L'!$B$11:$B$101,'Check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P&amp;L'!$AE$11:$AE$101,'Master P&amp;L'!$B$11:$B$101,'Check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P&amp;L'!$AE$11:$AE$101,'Master P&amp;L'!$B$11:$B$101,'Check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P&amp;L'!$AE$11:$AE$101,'Master P&amp;L'!$B$11:$B$101,'Check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P&amp;L'!$AE$11:$AE$101,'Master P&amp;L'!$B$11:$B$101,'Check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P&amp;L'!$AE$11:$AE$101,'Master P&amp;L'!$B$11:$B$101,'Check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P&amp;L'!$AE$11:$AE$101,'Master P&amp;L'!$B$11:$B$101,'Check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P&amp;L'!$AE$11:$AE$101,'Master P&amp;L'!$B$11:$B$101,'Check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P&amp;L'!$AE$11:$AE$101,'Master P&amp;L'!$B$11:$B$101,'Check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P&amp;L'!$AE$11:$AE$101,'Master P&amp;L'!$B$11:$B$101,'Check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P&amp;L'!$AE$11:$AE$101,'Master P&amp;L'!$B$11:$B$101,'Check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P&amp;L'!$AE$11:$AE$101,'Master P&amp;L'!$B$11:$B$101,'Check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P&amp;L'!$AE$11:$AE$101,'Master P&amp;L'!$B$11:$B$101,'Check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P&amp;L'!$AE$11:$AE$101,'Master P&amp;L'!$B$11:$B$101,'Check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P&amp;L'!$AE$11:$AE$101,'Master P&amp;L'!$B$11:$B$101,'Check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P&amp;L'!$AE$11:$AE$101,'Master P&amp;L'!$B$11:$B$101,'Check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P&amp;L'!$AE$11:$AE$101,'Master P&amp;L'!$B$11:$B$101,'Check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P&amp;L'!$AE$11:$AE$101,'Master P&amp;L'!$B$11:$B$101,'Check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P&amp;L'!$AE$11:$AE$101,'Master P&amp;L'!$B$11:$B$101,'Check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P&amp;L'!$AE$11:$AE$101,'Master P&amp;L'!$B$11:$B$101,'Check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P&amp;L'!$AE$11:$AE$101,'Master P&amp;L'!$B$11:$B$101,'Check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P&amp;L'!$AE$11:$AE$101,'Master P&amp;L'!$B$11:$B$101,'Check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P&amp;L'!$AE$11:$AE$101,'Master P&amp;L'!$B$11:$B$101,'Check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P&amp;L'!$AE$11:$AE$101,'Master P&amp;L'!$B$11:$B$101,'Check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P&amp;L'!$AE$11:$AE$101,'Master P&amp;L'!$B$11:$B$101,'Check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P&amp;L'!$AE$11:$AE$101,'Master P&amp;L'!$B$11:$B$101,'Check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P&amp;L'!$AE$11:$AE$101,'Master P&amp;L'!$B$11:$B$101,'Check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P&amp;L'!$AE$11:$AE$101,'Master P&amp;L'!$B$11:$B$101,'Check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P&amp;L'!$AE$11:$AE$101,'Master P&amp;L'!$B$11:$B$101,'Check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P&amp;L'!$AE$11:$AE$101,'Master P&amp;L'!$B$11:$B$101,'Check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P&amp;L'!$AE$11:$AE$101,'Master P&amp;L'!$B$11:$B$101,'Check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P&amp;L'!$AE$11:$AE$101,'Master P&amp;L'!$B$11:$B$101,'Check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P&amp;L'!$AE$11:$AE$101,'Master P&amp;L'!$B$11:$B$101,'Check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P&amp;L'!$AE$11:$AE$101,'Master P&amp;L'!$B$11:$B$101,'Check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P&amp;L'!$AE$11:$AE$101,'Master P&amp;L'!$B$11:$B$101,'Check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P&amp;L'!$AE$11:$AE$101,'Master P&amp;L'!$B$11:$B$101,'Check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P&amp;L'!$AE$11:$AE$101,'Master P&amp;L'!$B$11:$B$101,'Check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P&amp;L'!$AE$11:$AE$101,'Master P&amp;L'!$B$11:$B$101,'Check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P&amp;L'!$AE$11:$AE$101,'Master P&amp;L'!$B$11:$B$101,'Check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P&amp;L'!$AE$11:$AE$101,'Master P&amp;L'!$B$11:$B$101,'Check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P&amp;L'!$AE$11:$AE$101,'Master P&amp;L'!$B$11:$B$101,'Check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P&amp;L'!$AE$11:$AE$101,'Master P&amp;L'!$B$11:$B$101,'Check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P&amp;L'!$AE$11:$AE$101,'Master P&amp;L'!$B$11:$B$101,'Check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P&amp;L'!$AE$11:$AE$101,'Master P&amp;L'!$B$11:$B$101,'Check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P&amp;L'!$AE$11:$AE$101,'Master P&amp;L'!$B$11:$B$101,'Check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P&amp;L'!$AE$11:$AE$101,'Master P&amp;L'!$B$11:$B$101,'Check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P&amp;L'!$AE$11:$AE$101,'Master P&amp;L'!$B$11:$B$101,'Check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P&amp;L'!$AE$11:$AE$101,'Master P&amp;L'!$B$11:$B$101,'Check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P&amp;L'!$AE$11:$AE$101,'Master P&amp;L'!$B$11:$B$101,'Check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P&amp;L'!$AE$11:$AE$101,'Master P&amp;L'!$B$11:$B$101,'Check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P&amp;L'!$AE$11:$AE$101,'Master P&amp;L'!$B$11:$B$101,'Check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P&amp;L'!$AE$11:$AE$101,'Master P&amp;L'!$B$11:$B$101,'Check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P&amp;L'!$AE$11:$AE$101,'Master P&amp;L'!$B$11:$B$101,'Check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P&amp;L'!$AE$11:$AE$101,'Master P&amp;L'!$B$11:$B$101,'Check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P&amp;L'!$AE$11:$AE$101,'Master P&amp;L'!$B$11:$B$101,'Check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P&amp;L'!$AE$11:$AE$101,'Master P&amp;L'!$B$11:$B$101,'Check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P&amp;L'!$AE$11:$AE$101,'Master P&amp;L'!$B$11:$B$101,'Check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P&amp;L'!$AE$11:$AE$101,'Master P&amp;L'!$B$11:$B$101,'Check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P&amp;L'!$AE$11:$AE$101,'Master P&amp;L'!$B$11:$B$101,'Check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P&amp;L'!$AE$11:$AE$101,'Master P&amp;L'!$B$11:$B$101,'Check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P&amp;L'!$AE$11:$AE$101,'Master P&amp;L'!$B$11:$B$101,'Check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P&amp;L'!$AE$11:$AE$101,'Master P&amp;L'!$B$11:$B$101,'Check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P&amp;L'!$AE$11:$AE$101,'Master P&amp;L'!$B$11:$B$101,'Check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P&amp;L'!$AE$11:$AE$101,'Master P&amp;L'!$B$11:$B$101,'Check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P&amp;L'!$AE$11:$AE$101,'Master P&amp;L'!$B$11:$B$101,'Check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P&amp;L'!$AE$11:$AE$101,'Master P&amp;L'!$B$11:$B$101,'Check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P&amp;L'!$AE$11:$AE$101,'Master P&amp;L'!$B$11:$B$101,'Check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P&amp;L'!$AE$11:$AE$101,'Master P&amp;L'!$B$11:$B$101,'Check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P&amp;L'!$AE$11:$AE$101,'Master P&amp;L'!$B$11:$B$101,'Check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P&amp;L'!$AE$11:$AE$101,'Master P&amp;L'!$B$11:$B$101,'Check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P&amp;L'!$AE$11:$AE$101,'Master P&amp;L'!$B$11:$B$101,'Check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P&amp;L'!$AE$11:$AE$101,'Master P&amp;L'!$B$11:$B$101,'Check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P&amp;L'!$AE$11:$AE$101,'Master P&amp;L'!$B$11:$B$101,'Check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P&amp;L'!$AE$11:$AE$101,'Master P&amp;L'!$B$11:$B$101,'Check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P&amp;L'!$AE$11:$AE$101,'Master P&amp;L'!$B$11:$B$101,'Check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P&amp;L'!$AE$11:$AE$101,'Master P&amp;L'!$B$11:$B$101,'Check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P&amp;L'!$AE$11:$AE$101,'Master P&amp;L'!$B$11:$B$101,'Check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P&amp;L'!$AE$11:$AE$101,'Master P&amp;L'!$B$11:$B$101,'Check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P&amp;L'!$AE$11:$AE$101,'Master P&amp;L'!$B$11:$B$101,'Check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P&amp;L'!$AE$11:$AE$101,'Master P&amp;L'!$B$11:$B$101,'Check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P&amp;L'!$AE$11:$AE$101,'Master P&amp;L'!$B$11:$B$101,'Check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topLeftCell="A68" workbookViewId="0">
      <selection activeCell="O91" sqref="O91"/>
    </sheetView>
  </sheetViews>
  <sheetFormatPr defaultRowHeight="15"/>
  <cols>
    <col min="2" max="2" width="27.28515625" bestFit="1" customWidth="1"/>
  </cols>
  <sheetData>
    <row r="1" spans="1:24">
      <c r="A1" s="530" t="s">
        <v>263</v>
      </c>
      <c r="B1" s="531" t="s">
        <v>578</v>
      </c>
      <c r="C1" s="532" t="s">
        <v>579</v>
      </c>
      <c r="D1" s="533" t="s">
        <v>580</v>
      </c>
      <c r="E1" s="534" t="s">
        <v>581</v>
      </c>
      <c r="F1" s="534" t="s">
        <v>582</v>
      </c>
      <c r="G1" s="534" t="s">
        <v>146</v>
      </c>
      <c r="H1" s="534" t="s">
        <v>161</v>
      </c>
      <c r="I1" s="534" t="s">
        <v>583</v>
      </c>
      <c r="J1" s="534" t="s">
        <v>584</v>
      </c>
      <c r="K1" s="535" t="s">
        <v>585</v>
      </c>
      <c r="L1" s="536" t="s">
        <v>586</v>
      </c>
      <c r="M1" s="537" t="s">
        <v>587</v>
      </c>
      <c r="N1" s="533" t="s">
        <v>588</v>
      </c>
      <c r="O1" s="538" t="s">
        <v>589</v>
      </c>
      <c r="P1" s="539" t="s">
        <v>1</v>
      </c>
      <c r="Q1" s="540" t="s">
        <v>590</v>
      </c>
    </row>
    <row r="2" spans="1:24">
      <c r="A2" s="541">
        <v>46358</v>
      </c>
      <c r="B2" s="542" t="s">
        <v>561</v>
      </c>
      <c r="C2" s="543" t="s">
        <v>594</v>
      </c>
      <c r="D2" s="544" t="s">
        <v>595</v>
      </c>
      <c r="E2" s="544" t="s">
        <v>1105</v>
      </c>
      <c r="F2" s="544" t="s">
        <v>596</v>
      </c>
      <c r="G2" s="544" t="s">
        <v>597</v>
      </c>
      <c r="H2" s="544">
        <v>104</v>
      </c>
      <c r="I2" s="544" t="s">
        <v>592</v>
      </c>
      <c r="J2" s="545">
        <v>112.69</v>
      </c>
      <c r="K2" s="544">
        <v>8.69</v>
      </c>
      <c r="L2" s="546">
        <v>9.5500000000000007</v>
      </c>
      <c r="M2" s="547">
        <v>9.5500000000000007</v>
      </c>
      <c r="N2" s="545">
        <v>9.5500000000000007</v>
      </c>
      <c r="O2" s="545">
        <v>9.5500000000000007</v>
      </c>
      <c r="P2" s="548">
        <v>26.247293379999999</v>
      </c>
      <c r="Q2" s="549" t="s">
        <v>593</v>
      </c>
      <c r="R2" s="340">
        <f>L2-L3</f>
        <v>8.2700000000000014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41">
        <v>46358</v>
      </c>
      <c r="B3" s="542" t="s">
        <v>562</v>
      </c>
      <c r="C3" s="543" t="s">
        <v>599</v>
      </c>
      <c r="D3" s="544" t="s">
        <v>595</v>
      </c>
      <c r="E3" s="544" t="s">
        <v>1105</v>
      </c>
      <c r="F3" s="544" t="s">
        <v>596</v>
      </c>
      <c r="G3" s="544" t="s">
        <v>597</v>
      </c>
      <c r="H3" s="544">
        <v>119</v>
      </c>
      <c r="I3" s="544" t="s">
        <v>592</v>
      </c>
      <c r="J3" s="545">
        <v>112.69</v>
      </c>
      <c r="K3" s="544">
        <v>0</v>
      </c>
      <c r="L3" s="546">
        <v>1.28</v>
      </c>
      <c r="M3" s="547">
        <v>1.28</v>
      </c>
      <c r="N3" s="545">
        <v>1.28</v>
      </c>
      <c r="O3" s="545">
        <v>1.28</v>
      </c>
      <c r="P3" s="548">
        <v>24.457132569999999</v>
      </c>
      <c r="Q3" s="549" t="s">
        <v>598</v>
      </c>
      <c r="T3" s="365">
        <v>1.56</v>
      </c>
      <c r="W3" s="365">
        <v>2.7</v>
      </c>
    </row>
    <row r="4" spans="1:24">
      <c r="A4" s="541">
        <v>46358</v>
      </c>
      <c r="B4" s="542" t="s">
        <v>604</v>
      </c>
      <c r="C4" s="543" t="s">
        <v>605</v>
      </c>
      <c r="D4" s="544" t="s">
        <v>606</v>
      </c>
      <c r="E4" s="544" t="s">
        <v>1106</v>
      </c>
      <c r="F4" s="544" t="s">
        <v>596</v>
      </c>
      <c r="G4" s="544" t="s">
        <v>597</v>
      </c>
      <c r="H4" s="544">
        <v>7487.2489999999998</v>
      </c>
      <c r="I4" s="544" t="s">
        <v>592</v>
      </c>
      <c r="J4" s="550">
        <v>8353.02</v>
      </c>
      <c r="K4" s="544">
        <v>865.77099999999996</v>
      </c>
      <c r="L4" s="551">
        <v>983.31</v>
      </c>
      <c r="M4" s="552">
        <v>983.31</v>
      </c>
      <c r="N4" s="544">
        <v>983.30947079999999</v>
      </c>
      <c r="O4" s="553">
        <v>874.83788319999996</v>
      </c>
      <c r="P4" s="554">
        <v>18.09677366</v>
      </c>
      <c r="Q4" s="549" t="s">
        <v>593</v>
      </c>
    </row>
    <row r="5" spans="1:24">
      <c r="A5" s="541">
        <v>46358</v>
      </c>
      <c r="B5" s="542" t="s">
        <v>607</v>
      </c>
      <c r="C5" s="543" t="s">
        <v>608</v>
      </c>
      <c r="D5" s="544" t="s">
        <v>606</v>
      </c>
      <c r="E5" s="544" t="s">
        <v>1106</v>
      </c>
      <c r="F5" s="544" t="s">
        <v>596</v>
      </c>
      <c r="G5" s="544" t="s">
        <v>597</v>
      </c>
      <c r="H5" s="544">
        <v>8200.3202999999994</v>
      </c>
      <c r="I5" s="544" t="s">
        <v>592</v>
      </c>
      <c r="J5" s="550">
        <v>8353.02</v>
      </c>
      <c r="K5" s="544">
        <v>152.69970000000001</v>
      </c>
      <c r="L5" s="551">
        <v>527.77</v>
      </c>
      <c r="M5" s="552">
        <v>527.77</v>
      </c>
      <c r="N5" s="544">
        <v>527.77280199999996</v>
      </c>
      <c r="O5" s="553">
        <v>451.5716395</v>
      </c>
      <c r="P5" s="554">
        <v>18.09677366</v>
      </c>
      <c r="Q5" s="549" t="s">
        <v>593</v>
      </c>
    </row>
    <row r="6" spans="1:24">
      <c r="A6" s="541">
        <v>46358</v>
      </c>
      <c r="B6" s="554" t="s">
        <v>609</v>
      </c>
      <c r="C6" s="543" t="s">
        <v>610</v>
      </c>
      <c r="D6" s="544" t="s">
        <v>611</v>
      </c>
      <c r="E6" s="544" t="s">
        <v>1107</v>
      </c>
      <c r="F6" s="544" t="s">
        <v>596</v>
      </c>
      <c r="G6" s="544" t="s">
        <v>137</v>
      </c>
      <c r="H6" s="544">
        <v>2.5499999999999998</v>
      </c>
      <c r="I6" s="544"/>
      <c r="J6" s="555">
        <v>3.2</v>
      </c>
      <c r="K6" s="544">
        <v>0.65</v>
      </c>
      <c r="L6" s="556">
        <v>0.67185425799999998</v>
      </c>
      <c r="M6" s="557">
        <v>0.67185425799999998</v>
      </c>
      <c r="N6" s="544">
        <v>0.67185425799999998</v>
      </c>
      <c r="O6" s="544">
        <v>0.67185425799999998</v>
      </c>
      <c r="P6" s="554">
        <v>40.761471530000001</v>
      </c>
      <c r="Q6" s="549" t="s">
        <v>593</v>
      </c>
    </row>
    <row r="7" spans="1:24">
      <c r="A7" s="541">
        <v>46358</v>
      </c>
      <c r="B7" s="554" t="s">
        <v>612</v>
      </c>
      <c r="C7" s="543" t="s">
        <v>613</v>
      </c>
      <c r="D7" s="544" t="s">
        <v>611</v>
      </c>
      <c r="E7" s="544" t="s">
        <v>1107</v>
      </c>
      <c r="F7" s="544" t="s">
        <v>591</v>
      </c>
      <c r="G7" s="544" t="s">
        <v>137</v>
      </c>
      <c r="H7" s="544">
        <v>1.95</v>
      </c>
      <c r="I7" s="544"/>
      <c r="J7" s="555">
        <v>3.2</v>
      </c>
      <c r="K7" s="544">
        <v>0</v>
      </c>
      <c r="L7" s="556">
        <v>9.9398109999999998E-3</v>
      </c>
      <c r="M7" s="557">
        <v>9.9398109999999998E-3</v>
      </c>
      <c r="N7" s="544">
        <v>9.9398109999999998E-3</v>
      </c>
      <c r="O7" s="544">
        <v>9.9398109999999998E-3</v>
      </c>
      <c r="P7" s="554">
        <v>64.679044610000005</v>
      </c>
      <c r="Q7" s="549" t="s">
        <v>593</v>
      </c>
    </row>
    <row r="8" spans="1:24">
      <c r="A8" s="541">
        <v>46358</v>
      </c>
      <c r="B8" s="554" t="s">
        <v>614</v>
      </c>
      <c r="C8" s="543" t="s">
        <v>615</v>
      </c>
      <c r="D8" s="544" t="s">
        <v>611</v>
      </c>
      <c r="E8" s="544" t="s">
        <v>1107</v>
      </c>
      <c r="F8" s="544" t="s">
        <v>591</v>
      </c>
      <c r="G8" s="544" t="s">
        <v>137</v>
      </c>
      <c r="H8" s="544">
        <v>2.25</v>
      </c>
      <c r="I8" s="544"/>
      <c r="J8" s="555">
        <v>3.2</v>
      </c>
      <c r="K8" s="544">
        <v>0</v>
      </c>
      <c r="L8" s="556">
        <v>1.6327687E-2</v>
      </c>
      <c r="M8" s="557">
        <v>1.6327687E-2</v>
      </c>
      <c r="N8" s="544">
        <v>1.6327687E-2</v>
      </c>
      <c r="O8" s="544">
        <v>1.6327687E-2</v>
      </c>
      <c r="P8" s="554">
        <v>53.365576740000002</v>
      </c>
      <c r="Q8" s="549" t="s">
        <v>593</v>
      </c>
    </row>
    <row r="9" spans="1:24">
      <c r="A9" s="541">
        <v>46358</v>
      </c>
      <c r="B9" s="554" t="s">
        <v>682</v>
      </c>
      <c r="C9" s="543" t="s">
        <v>688</v>
      </c>
      <c r="D9" s="544" t="s">
        <v>603</v>
      </c>
      <c r="E9" s="544" t="s">
        <v>1108</v>
      </c>
      <c r="F9" s="544" t="s">
        <v>596</v>
      </c>
      <c r="G9" s="544" t="s">
        <v>137</v>
      </c>
      <c r="H9" s="544">
        <v>300</v>
      </c>
      <c r="I9" s="544"/>
      <c r="J9" s="555">
        <v>368.1</v>
      </c>
      <c r="K9" s="544">
        <v>68.099999999999994</v>
      </c>
      <c r="L9" s="556">
        <v>82.75</v>
      </c>
      <c r="M9" s="557">
        <v>84.5</v>
      </c>
      <c r="N9" s="544">
        <v>83.625</v>
      </c>
      <c r="O9" s="544">
        <v>83.625</v>
      </c>
      <c r="P9" s="554"/>
      <c r="Q9" s="549" t="s">
        <v>600</v>
      </c>
    </row>
    <row r="10" spans="1:24">
      <c r="A10" s="541">
        <v>46358</v>
      </c>
      <c r="B10" s="554" t="s">
        <v>681</v>
      </c>
      <c r="C10" s="543" t="s">
        <v>689</v>
      </c>
      <c r="D10" s="544" t="s">
        <v>603</v>
      </c>
      <c r="E10" s="544" t="s">
        <v>1108</v>
      </c>
      <c r="F10" s="544" t="s">
        <v>596</v>
      </c>
      <c r="G10" s="544" t="s">
        <v>137</v>
      </c>
      <c r="H10" s="544">
        <v>370</v>
      </c>
      <c r="I10" s="544"/>
      <c r="J10" s="555">
        <v>368.1</v>
      </c>
      <c r="K10" s="544">
        <v>0</v>
      </c>
      <c r="L10" s="556">
        <v>39.049999999999997</v>
      </c>
      <c r="M10" s="557">
        <v>41.15</v>
      </c>
      <c r="N10" s="544">
        <v>40.1</v>
      </c>
      <c r="O10" s="544">
        <v>40.1</v>
      </c>
      <c r="P10" s="554"/>
      <c r="Q10" s="549" t="s">
        <v>600</v>
      </c>
    </row>
    <row r="11" spans="1:24">
      <c r="A11" s="541">
        <v>46358</v>
      </c>
      <c r="B11" s="554" t="s">
        <v>684</v>
      </c>
      <c r="C11" s="543" t="s">
        <v>690</v>
      </c>
      <c r="D11" s="544" t="s">
        <v>603</v>
      </c>
      <c r="E11" s="544" t="s">
        <v>1108</v>
      </c>
      <c r="F11" s="544" t="s">
        <v>591</v>
      </c>
      <c r="G11" s="544" t="s">
        <v>137</v>
      </c>
      <c r="H11" s="544">
        <v>250</v>
      </c>
      <c r="I11" s="544"/>
      <c r="J11" s="558">
        <v>368.1</v>
      </c>
      <c r="K11" s="559">
        <v>0</v>
      </c>
      <c r="L11" s="560">
        <v>4.43</v>
      </c>
      <c r="M11" s="561">
        <v>4.43</v>
      </c>
      <c r="N11" s="559">
        <v>4.4325971470000001</v>
      </c>
      <c r="O11" s="544">
        <v>4.4441688089999998</v>
      </c>
      <c r="P11" s="548">
        <v>52.39619751</v>
      </c>
      <c r="Q11" s="562" t="s">
        <v>593</v>
      </c>
    </row>
    <row r="12" spans="1:24">
      <c r="A12" s="541">
        <v>46358</v>
      </c>
      <c r="B12" s="554" t="s">
        <v>683</v>
      </c>
      <c r="C12" s="543" t="s">
        <v>691</v>
      </c>
      <c r="D12" s="544" t="s">
        <v>603</v>
      </c>
      <c r="E12" s="544" t="s">
        <v>1108</v>
      </c>
      <c r="F12" s="544" t="s">
        <v>591</v>
      </c>
      <c r="G12" s="544" t="s">
        <v>137</v>
      </c>
      <c r="H12" s="544">
        <v>210</v>
      </c>
      <c r="I12" s="544"/>
      <c r="J12" s="555">
        <v>368.1</v>
      </c>
      <c r="K12" s="544">
        <v>0</v>
      </c>
      <c r="L12" s="556">
        <v>1.55</v>
      </c>
      <c r="M12" s="557">
        <v>2.34</v>
      </c>
      <c r="N12" s="544">
        <v>1.9450000000000001</v>
      </c>
      <c r="O12" s="544">
        <v>1.9450000000000001</v>
      </c>
      <c r="P12" s="554"/>
      <c r="Q12" s="549" t="s">
        <v>600</v>
      </c>
    </row>
    <row r="13" spans="1:24">
      <c r="A13" s="541">
        <v>46358</v>
      </c>
      <c r="B13" s="554" t="s">
        <v>687</v>
      </c>
      <c r="C13" s="543" t="s">
        <v>692</v>
      </c>
      <c r="D13" s="544" t="s">
        <v>602</v>
      </c>
      <c r="E13" s="544" t="s">
        <v>1108</v>
      </c>
      <c r="F13" s="544" t="s">
        <v>591</v>
      </c>
      <c r="G13" s="544" t="s">
        <v>137</v>
      </c>
      <c r="H13" s="544">
        <v>425</v>
      </c>
      <c r="I13" s="544"/>
      <c r="J13" s="555">
        <v>401.84</v>
      </c>
      <c r="K13" s="544">
        <v>23.16</v>
      </c>
      <c r="L13" s="556">
        <v>39.9</v>
      </c>
      <c r="M13" s="557">
        <v>40.15</v>
      </c>
      <c r="N13" s="544">
        <v>40.024999999999999</v>
      </c>
      <c r="O13" s="544">
        <v>40.024999999999999</v>
      </c>
      <c r="P13" s="554"/>
      <c r="Q13" s="549" t="s">
        <v>600</v>
      </c>
    </row>
    <row r="14" spans="1:24">
      <c r="A14" s="541">
        <v>46358</v>
      </c>
      <c r="B14" s="554" t="s">
        <v>686</v>
      </c>
      <c r="C14" s="543" t="s">
        <v>693</v>
      </c>
      <c r="D14" s="544" t="s">
        <v>602</v>
      </c>
      <c r="E14" s="544" t="s">
        <v>1108</v>
      </c>
      <c r="F14" s="544" t="s">
        <v>596</v>
      </c>
      <c r="G14" s="544" t="s">
        <v>137</v>
      </c>
      <c r="H14" s="544">
        <v>515</v>
      </c>
      <c r="I14" s="544"/>
      <c r="J14" s="555">
        <v>401.84</v>
      </c>
      <c r="K14" s="544">
        <v>0</v>
      </c>
      <c r="L14" s="556">
        <v>3.35</v>
      </c>
      <c r="M14" s="557">
        <v>3.5</v>
      </c>
      <c r="N14" s="544">
        <v>3.4249999999999998</v>
      </c>
      <c r="O14" s="544">
        <v>3.4249999999999998</v>
      </c>
      <c r="P14" s="554"/>
      <c r="Q14" s="549" t="s">
        <v>600</v>
      </c>
    </row>
    <row r="15" spans="1:24">
      <c r="A15" s="541">
        <v>46358</v>
      </c>
      <c r="B15" s="554" t="s">
        <v>685</v>
      </c>
      <c r="C15" s="543" t="s">
        <v>694</v>
      </c>
      <c r="D15" s="544" t="s">
        <v>602</v>
      </c>
      <c r="E15" s="544" t="s">
        <v>1108</v>
      </c>
      <c r="F15" s="544" t="s">
        <v>596</v>
      </c>
      <c r="G15" s="544" t="s">
        <v>137</v>
      </c>
      <c r="H15" s="544">
        <v>585</v>
      </c>
      <c r="I15" s="544"/>
      <c r="J15" s="555">
        <v>401.84</v>
      </c>
      <c r="K15" s="544">
        <v>0</v>
      </c>
      <c r="L15" s="556">
        <v>0.98</v>
      </c>
      <c r="M15" s="557">
        <v>1.04</v>
      </c>
      <c r="N15" s="544">
        <v>1.01</v>
      </c>
      <c r="O15" s="544">
        <v>1.01</v>
      </c>
      <c r="P15" s="554"/>
      <c r="Q15" s="549" t="s">
        <v>600</v>
      </c>
    </row>
    <row r="16" spans="1:24">
      <c r="A16" s="541">
        <v>46358</v>
      </c>
      <c r="B16" s="554" t="s">
        <v>696</v>
      </c>
      <c r="C16" s="543" t="s">
        <v>697</v>
      </c>
      <c r="D16" s="544" t="s">
        <v>616</v>
      </c>
      <c r="E16" s="544" t="s">
        <v>1105</v>
      </c>
      <c r="F16" s="544" t="s">
        <v>591</v>
      </c>
      <c r="G16" s="544" t="s">
        <v>137</v>
      </c>
      <c r="H16" s="544">
        <v>550</v>
      </c>
      <c r="I16" s="544"/>
      <c r="J16" s="555">
        <v>600.64</v>
      </c>
      <c r="K16" s="544">
        <v>0</v>
      </c>
      <c r="L16" s="556">
        <v>5.04</v>
      </c>
      <c r="M16" s="557">
        <v>5.13</v>
      </c>
      <c r="N16" s="544">
        <v>5.085</v>
      </c>
      <c r="O16" s="544">
        <v>5.085</v>
      </c>
      <c r="P16" s="554"/>
      <c r="Q16" s="549" t="s">
        <v>600</v>
      </c>
    </row>
    <row r="17" spans="1:17">
      <c r="A17" s="541">
        <v>46358</v>
      </c>
      <c r="B17" s="554" t="s">
        <v>695</v>
      </c>
      <c r="C17" s="543" t="s">
        <v>699</v>
      </c>
      <c r="D17" s="544" t="s">
        <v>616</v>
      </c>
      <c r="E17" s="544" t="s">
        <v>1105</v>
      </c>
      <c r="F17" s="544" t="s">
        <v>591</v>
      </c>
      <c r="G17" s="544" t="s">
        <v>137</v>
      </c>
      <c r="H17" s="544">
        <v>580</v>
      </c>
      <c r="I17" s="544"/>
      <c r="J17" s="555">
        <v>600.64</v>
      </c>
      <c r="K17" s="544">
        <v>0</v>
      </c>
      <c r="L17" s="556">
        <v>10.19</v>
      </c>
      <c r="M17" s="557">
        <v>10.3</v>
      </c>
      <c r="N17" s="544">
        <v>10.244999999999999</v>
      </c>
      <c r="O17" s="544">
        <v>10.244999999999999</v>
      </c>
      <c r="P17" s="554"/>
      <c r="Q17" s="549" t="s">
        <v>600</v>
      </c>
    </row>
    <row r="18" spans="1:17">
      <c r="A18" s="541">
        <v>46358</v>
      </c>
      <c r="B18" s="554" t="s">
        <v>700</v>
      </c>
      <c r="C18" s="543" t="s">
        <v>703</v>
      </c>
      <c r="D18" s="544" t="s">
        <v>698</v>
      </c>
      <c r="E18" s="544" t="s">
        <v>1108</v>
      </c>
      <c r="F18" s="544" t="s">
        <v>596</v>
      </c>
      <c r="G18" s="544" t="s">
        <v>137</v>
      </c>
      <c r="H18" s="544">
        <v>230</v>
      </c>
      <c r="I18" s="544"/>
      <c r="J18" s="555">
        <v>199.6</v>
      </c>
      <c r="K18" s="544">
        <v>0</v>
      </c>
      <c r="L18" s="556">
        <v>7.3</v>
      </c>
      <c r="M18" s="557">
        <v>7.45</v>
      </c>
      <c r="N18" s="544">
        <v>7.375</v>
      </c>
      <c r="O18" s="544">
        <v>7.375</v>
      </c>
      <c r="P18" s="554"/>
      <c r="Q18" s="549" t="s">
        <v>600</v>
      </c>
    </row>
    <row r="19" spans="1:17">
      <c r="A19" s="541">
        <v>46358</v>
      </c>
      <c r="B19" s="554" t="s">
        <v>701</v>
      </c>
      <c r="C19" s="543" t="s">
        <v>704</v>
      </c>
      <c r="D19" s="544" t="s">
        <v>698</v>
      </c>
      <c r="E19" s="544" t="s">
        <v>1108</v>
      </c>
      <c r="F19" s="544" t="s">
        <v>596</v>
      </c>
      <c r="G19" s="544" t="s">
        <v>137</v>
      </c>
      <c r="H19" s="544">
        <v>260</v>
      </c>
      <c r="I19" s="544"/>
      <c r="J19" s="555">
        <v>199.6</v>
      </c>
      <c r="K19" s="544">
        <v>0</v>
      </c>
      <c r="L19" s="556">
        <v>2.76</v>
      </c>
      <c r="M19" s="557">
        <v>2.83</v>
      </c>
      <c r="N19" s="544">
        <v>2.7949999999999999</v>
      </c>
      <c r="O19" s="544">
        <v>2.7949999999999999</v>
      </c>
      <c r="P19" s="554"/>
      <c r="Q19" s="549" t="s">
        <v>600</v>
      </c>
    </row>
    <row r="20" spans="1:17">
      <c r="A20" s="541">
        <v>46358</v>
      </c>
      <c r="B20" s="554" t="s">
        <v>702</v>
      </c>
      <c r="C20" s="543" t="s">
        <v>705</v>
      </c>
      <c r="D20" s="544" t="s">
        <v>698</v>
      </c>
      <c r="E20" s="544" t="s">
        <v>1108</v>
      </c>
      <c r="F20" s="544" t="s">
        <v>591</v>
      </c>
      <c r="G20" s="544" t="s">
        <v>137</v>
      </c>
      <c r="H20" s="544">
        <v>200</v>
      </c>
      <c r="I20" s="544"/>
      <c r="J20" s="555">
        <v>199.6</v>
      </c>
      <c r="K20" s="544">
        <v>0.4</v>
      </c>
      <c r="L20" s="556">
        <v>16</v>
      </c>
      <c r="M20" s="557">
        <v>16.149999999999999</v>
      </c>
      <c r="N20" s="544">
        <v>16.074999999999999</v>
      </c>
      <c r="O20" s="544">
        <v>16.074999999999999</v>
      </c>
      <c r="P20" s="554"/>
      <c r="Q20" s="549" t="s">
        <v>600</v>
      </c>
    </row>
    <row r="21" spans="1:17">
      <c r="A21" s="541">
        <v>46358</v>
      </c>
      <c r="B21" s="554" t="s">
        <v>713</v>
      </c>
      <c r="C21" s="543" t="s">
        <v>716</v>
      </c>
      <c r="D21" s="544" t="s">
        <v>602</v>
      </c>
      <c r="E21" s="544" t="s">
        <v>1105</v>
      </c>
      <c r="F21" s="544" t="s">
        <v>596</v>
      </c>
      <c r="G21" s="544" t="s">
        <v>137</v>
      </c>
      <c r="H21" s="544">
        <v>490</v>
      </c>
      <c r="I21" s="544"/>
      <c r="J21" s="555">
        <v>401.84</v>
      </c>
      <c r="K21" s="544">
        <v>0</v>
      </c>
      <c r="L21" s="556">
        <v>0.42</v>
      </c>
      <c r="M21" s="557">
        <v>0.45</v>
      </c>
      <c r="N21" s="544">
        <v>0.435</v>
      </c>
      <c r="O21" s="544">
        <v>0.435</v>
      </c>
      <c r="P21" s="554"/>
      <c r="Q21" s="549" t="s">
        <v>600</v>
      </c>
    </row>
    <row r="22" spans="1:17">
      <c r="A22" s="563">
        <v>46358</v>
      </c>
      <c r="B22" s="548" t="s">
        <v>712</v>
      </c>
      <c r="C22" s="564" t="s">
        <v>717</v>
      </c>
      <c r="D22" s="559" t="s">
        <v>602</v>
      </c>
      <c r="E22" s="559" t="s">
        <v>1105</v>
      </c>
      <c r="F22" s="559" t="s">
        <v>596</v>
      </c>
      <c r="G22" s="559" t="s">
        <v>137</v>
      </c>
      <c r="H22" s="559">
        <v>515</v>
      </c>
      <c r="I22" s="559"/>
      <c r="J22" s="558">
        <v>401.84</v>
      </c>
      <c r="K22" s="559">
        <v>0</v>
      </c>
      <c r="L22" s="560">
        <v>0.17</v>
      </c>
      <c r="M22" s="561">
        <v>0.17</v>
      </c>
      <c r="N22" s="559">
        <v>0.167063499</v>
      </c>
      <c r="O22" s="544">
        <v>0.17057766799999999</v>
      </c>
      <c r="P22" s="548">
        <v>33.897645320000002</v>
      </c>
      <c r="Q22" s="562" t="s">
        <v>593</v>
      </c>
    </row>
    <row r="23" spans="1:17">
      <c r="A23" s="541">
        <v>46358</v>
      </c>
      <c r="B23" s="565" t="s">
        <v>715</v>
      </c>
      <c r="C23" s="543" t="s">
        <v>718</v>
      </c>
      <c r="D23" s="544" t="s">
        <v>602</v>
      </c>
      <c r="E23" s="544" t="s">
        <v>1105</v>
      </c>
      <c r="F23" s="544" t="s">
        <v>591</v>
      </c>
      <c r="G23" s="544" t="s">
        <v>137</v>
      </c>
      <c r="H23" s="544">
        <v>455</v>
      </c>
      <c r="I23" s="544"/>
      <c r="J23" s="555">
        <v>401.84</v>
      </c>
      <c r="K23" s="544">
        <v>53.16</v>
      </c>
      <c r="L23" s="556">
        <v>53.25</v>
      </c>
      <c r="M23" s="557">
        <v>56.1</v>
      </c>
      <c r="N23" s="544">
        <v>54.674999999999997</v>
      </c>
      <c r="O23" s="544">
        <v>54.674999999999997</v>
      </c>
      <c r="P23" s="554"/>
      <c r="Q23" s="549" t="s">
        <v>600</v>
      </c>
    </row>
    <row r="24" spans="1:17">
      <c r="A24" s="541">
        <v>46358</v>
      </c>
      <c r="B24" s="565" t="s">
        <v>714</v>
      </c>
      <c r="C24" s="543" t="s">
        <v>719</v>
      </c>
      <c r="D24" s="544" t="s">
        <v>602</v>
      </c>
      <c r="E24" s="544" t="s">
        <v>1105</v>
      </c>
      <c r="F24" s="544" t="s">
        <v>591</v>
      </c>
      <c r="G24" s="544" t="s">
        <v>137</v>
      </c>
      <c r="H24" s="544">
        <v>465</v>
      </c>
      <c r="I24" s="544"/>
      <c r="J24" s="555">
        <v>401.84</v>
      </c>
      <c r="K24" s="544">
        <v>63.16</v>
      </c>
      <c r="L24" s="556">
        <v>62.95</v>
      </c>
      <c r="M24" s="557">
        <v>65.599999999999994</v>
      </c>
      <c r="N24" s="544">
        <v>64.275000000000006</v>
      </c>
      <c r="O24" s="544">
        <v>64.275000000000006</v>
      </c>
      <c r="P24" s="554"/>
      <c r="Q24" s="549" t="s">
        <v>600</v>
      </c>
    </row>
    <row r="25" spans="1:17">
      <c r="A25" s="541">
        <v>46358</v>
      </c>
      <c r="B25" s="565" t="s">
        <v>723</v>
      </c>
      <c r="C25" s="543" t="s">
        <v>725</v>
      </c>
      <c r="D25" s="544" t="s">
        <v>726</v>
      </c>
      <c r="E25" s="544" t="s">
        <v>1105</v>
      </c>
      <c r="F25" s="544" t="s">
        <v>591</v>
      </c>
      <c r="G25" s="544" t="s">
        <v>137</v>
      </c>
      <c r="H25" s="544">
        <v>80</v>
      </c>
      <c r="I25" s="544"/>
      <c r="J25" s="555">
        <v>78.23</v>
      </c>
      <c r="K25" s="544">
        <v>1.77</v>
      </c>
      <c r="L25" s="556">
        <v>7.5</v>
      </c>
      <c r="M25" s="557">
        <v>7.8</v>
      </c>
      <c r="N25" s="544">
        <v>7.65</v>
      </c>
      <c r="O25" s="544">
        <v>7.65</v>
      </c>
      <c r="P25" s="554"/>
      <c r="Q25" s="549" t="s">
        <v>600</v>
      </c>
    </row>
    <row r="26" spans="1:17">
      <c r="A26" s="541">
        <v>46358</v>
      </c>
      <c r="B26" s="565" t="s">
        <v>724</v>
      </c>
      <c r="C26" s="543" t="s">
        <v>727</v>
      </c>
      <c r="D26" s="544" t="s">
        <v>726</v>
      </c>
      <c r="E26" s="544" t="s">
        <v>1105</v>
      </c>
      <c r="F26" s="544" t="s">
        <v>591</v>
      </c>
      <c r="G26" s="544" t="s">
        <v>137</v>
      </c>
      <c r="H26" s="544">
        <v>90</v>
      </c>
      <c r="I26" s="544"/>
      <c r="J26" s="555">
        <v>78.23</v>
      </c>
      <c r="K26" s="544">
        <v>11.77</v>
      </c>
      <c r="L26" s="556">
        <v>14.15</v>
      </c>
      <c r="M26" s="557">
        <v>14.7</v>
      </c>
      <c r="N26" s="544">
        <v>14.425000000000001</v>
      </c>
      <c r="O26" s="544">
        <v>14.425000000000001</v>
      </c>
      <c r="P26" s="554"/>
      <c r="Q26" s="549" t="s">
        <v>600</v>
      </c>
    </row>
    <row r="27" spans="1:17">
      <c r="A27" s="541">
        <v>46358</v>
      </c>
      <c r="B27" s="565" t="s">
        <v>731</v>
      </c>
      <c r="C27" s="543" t="s">
        <v>733</v>
      </c>
      <c r="D27" s="544" t="s">
        <v>734</v>
      </c>
      <c r="E27" s="544" t="s">
        <v>1107</v>
      </c>
      <c r="F27" s="544" t="s">
        <v>596</v>
      </c>
      <c r="G27" s="544" t="s">
        <v>137</v>
      </c>
      <c r="H27" s="544">
        <v>690</v>
      </c>
      <c r="I27" s="544"/>
      <c r="J27" s="555">
        <v>649.80999999999995</v>
      </c>
      <c r="K27" s="544">
        <v>0</v>
      </c>
      <c r="L27" s="556">
        <v>20.45</v>
      </c>
      <c r="M27" s="557">
        <v>20.7</v>
      </c>
      <c r="N27" s="544">
        <v>20.574999999999999</v>
      </c>
      <c r="O27" s="544">
        <v>20.574999999999999</v>
      </c>
      <c r="P27" s="554"/>
      <c r="Q27" s="549" t="s">
        <v>600</v>
      </c>
    </row>
    <row r="28" spans="1:17">
      <c r="A28" s="541">
        <v>46358</v>
      </c>
      <c r="B28" s="542" t="s">
        <v>730</v>
      </c>
      <c r="C28" s="543" t="s">
        <v>735</v>
      </c>
      <c r="D28" s="544" t="s">
        <v>734</v>
      </c>
      <c r="E28" s="544" t="s">
        <v>1107</v>
      </c>
      <c r="F28" s="544" t="s">
        <v>596</v>
      </c>
      <c r="G28" s="544" t="s">
        <v>137</v>
      </c>
      <c r="H28" s="544">
        <v>750</v>
      </c>
      <c r="I28" s="544"/>
      <c r="J28" s="555">
        <v>649.80999999999995</v>
      </c>
      <c r="K28" s="544">
        <v>0</v>
      </c>
      <c r="L28" s="556">
        <v>6.95</v>
      </c>
      <c r="M28" s="557">
        <v>7.1</v>
      </c>
      <c r="N28" s="544">
        <v>7.0250000000000004</v>
      </c>
      <c r="O28" s="544">
        <v>7.0250000000000004</v>
      </c>
      <c r="P28" s="554"/>
      <c r="Q28" s="549" t="s">
        <v>600</v>
      </c>
    </row>
    <row r="29" spans="1:17">
      <c r="A29" s="541">
        <v>46358</v>
      </c>
      <c r="B29" s="565" t="s">
        <v>732</v>
      </c>
      <c r="C29" s="543" t="s">
        <v>736</v>
      </c>
      <c r="D29" s="544" t="s">
        <v>734</v>
      </c>
      <c r="E29" s="544" t="s">
        <v>1107</v>
      </c>
      <c r="F29" s="544" t="s">
        <v>591</v>
      </c>
      <c r="G29" s="544" t="s">
        <v>137</v>
      </c>
      <c r="H29" s="544">
        <v>590</v>
      </c>
      <c r="I29" s="544"/>
      <c r="J29" s="555">
        <v>649.80999999999995</v>
      </c>
      <c r="K29" s="544">
        <v>0</v>
      </c>
      <c r="L29" s="556">
        <v>13.8</v>
      </c>
      <c r="M29" s="557">
        <v>14.1</v>
      </c>
      <c r="N29" s="544">
        <v>13.95</v>
      </c>
      <c r="O29" s="544">
        <v>13.95</v>
      </c>
      <c r="P29" s="554"/>
      <c r="Q29" s="549" t="s">
        <v>600</v>
      </c>
    </row>
    <row r="30" spans="1:17">
      <c r="A30" s="541">
        <v>46358</v>
      </c>
      <c r="B30" s="565" t="s">
        <v>738</v>
      </c>
      <c r="C30" s="543" t="s">
        <v>743</v>
      </c>
      <c r="D30" s="544" t="s">
        <v>744</v>
      </c>
      <c r="E30" s="544" t="s">
        <v>1109</v>
      </c>
      <c r="F30" s="544" t="s">
        <v>596</v>
      </c>
      <c r="G30" s="544" t="s">
        <v>137</v>
      </c>
      <c r="H30" s="544">
        <v>450</v>
      </c>
      <c r="I30" s="544"/>
      <c r="J30" s="555">
        <v>583.46</v>
      </c>
      <c r="K30" s="544">
        <v>133.46</v>
      </c>
      <c r="L30" s="556">
        <v>134</v>
      </c>
      <c r="M30" s="557">
        <v>137.5</v>
      </c>
      <c r="N30" s="544">
        <v>135.75</v>
      </c>
      <c r="O30" s="544">
        <v>135.75</v>
      </c>
      <c r="P30" s="554"/>
      <c r="Q30" s="549" t="s">
        <v>600</v>
      </c>
    </row>
    <row r="31" spans="1:17">
      <c r="A31" s="541">
        <v>46358</v>
      </c>
      <c r="B31" s="565" t="s">
        <v>737</v>
      </c>
      <c r="C31" s="543" t="s">
        <v>745</v>
      </c>
      <c r="D31" s="544" t="s">
        <v>744</v>
      </c>
      <c r="E31" s="544" t="s">
        <v>1109</v>
      </c>
      <c r="F31" s="544" t="s">
        <v>596</v>
      </c>
      <c r="G31" s="544" t="s">
        <v>137</v>
      </c>
      <c r="H31" s="544">
        <v>400</v>
      </c>
      <c r="I31" s="544"/>
      <c r="J31" s="555">
        <v>583.46</v>
      </c>
      <c r="K31" s="544">
        <v>183.46</v>
      </c>
      <c r="L31" s="556">
        <v>182.1</v>
      </c>
      <c r="M31" s="557">
        <v>186.1</v>
      </c>
      <c r="N31" s="544">
        <v>184.1</v>
      </c>
      <c r="O31" s="544">
        <v>184.1</v>
      </c>
      <c r="P31" s="554"/>
      <c r="Q31" s="549" t="s">
        <v>600</v>
      </c>
    </row>
    <row r="32" spans="1:17">
      <c r="A32" s="541">
        <v>46358</v>
      </c>
      <c r="B32" s="565" t="s">
        <v>741</v>
      </c>
      <c r="C32" s="543" t="s">
        <v>746</v>
      </c>
      <c r="D32" s="544" t="s">
        <v>747</v>
      </c>
      <c r="E32" s="544" t="s">
        <v>1105</v>
      </c>
      <c r="F32" s="544" t="s">
        <v>596</v>
      </c>
      <c r="G32" s="544" t="s">
        <v>137</v>
      </c>
      <c r="H32" s="544">
        <v>210</v>
      </c>
      <c r="I32" s="544"/>
      <c r="J32" s="555">
        <v>216.1</v>
      </c>
      <c r="K32" s="544">
        <v>6.1</v>
      </c>
      <c r="L32" s="556">
        <v>25.5</v>
      </c>
      <c r="M32" s="557">
        <v>27.1</v>
      </c>
      <c r="N32" s="544">
        <v>26.3</v>
      </c>
      <c r="O32" s="544">
        <v>26.3</v>
      </c>
      <c r="P32" s="554"/>
      <c r="Q32" s="549" t="s">
        <v>600</v>
      </c>
    </row>
    <row r="33" spans="1:17">
      <c r="A33" s="541">
        <v>46358</v>
      </c>
      <c r="B33" s="565" t="s">
        <v>742</v>
      </c>
      <c r="C33" s="543" t="s">
        <v>748</v>
      </c>
      <c r="D33" s="544" t="s">
        <v>747</v>
      </c>
      <c r="E33" s="544" t="s">
        <v>1105</v>
      </c>
      <c r="F33" s="544" t="s">
        <v>596</v>
      </c>
      <c r="G33" s="544" t="s">
        <v>137</v>
      </c>
      <c r="H33" s="544">
        <v>250</v>
      </c>
      <c r="I33" s="544"/>
      <c r="J33" s="555">
        <v>216.1</v>
      </c>
      <c r="K33" s="544">
        <v>0</v>
      </c>
      <c r="L33" s="556">
        <v>10.8</v>
      </c>
      <c r="M33" s="557">
        <v>11.9</v>
      </c>
      <c r="N33" s="544">
        <v>11.35</v>
      </c>
      <c r="O33" s="544">
        <v>11.35</v>
      </c>
      <c r="P33" s="554"/>
      <c r="Q33" s="549" t="s">
        <v>600</v>
      </c>
    </row>
    <row r="34" spans="1:17">
      <c r="A34" s="541">
        <v>46358</v>
      </c>
      <c r="B34" s="565" t="s">
        <v>751</v>
      </c>
      <c r="C34" s="543" t="s">
        <v>753</v>
      </c>
      <c r="D34" s="544" t="s">
        <v>754</v>
      </c>
      <c r="E34" s="544" t="s">
        <v>1105</v>
      </c>
      <c r="F34" s="544" t="s">
        <v>596</v>
      </c>
      <c r="G34" s="544" t="s">
        <v>137</v>
      </c>
      <c r="H34" s="544">
        <v>104</v>
      </c>
      <c r="I34" s="544"/>
      <c r="J34" s="550">
        <v>75.86</v>
      </c>
      <c r="K34" s="544">
        <v>0</v>
      </c>
      <c r="L34" s="551">
        <v>0.06</v>
      </c>
      <c r="M34" s="552">
        <v>0.06</v>
      </c>
      <c r="N34" s="544">
        <v>6.2617467999999996E-2</v>
      </c>
      <c r="O34" s="544">
        <v>6.3825325000000002E-2</v>
      </c>
      <c r="P34" s="554">
        <v>45.321508350000002</v>
      </c>
      <c r="Q34" s="549" t="s">
        <v>593</v>
      </c>
    </row>
    <row r="35" spans="1:17">
      <c r="A35" s="541">
        <v>46358</v>
      </c>
      <c r="B35" s="565" t="s">
        <v>752</v>
      </c>
      <c r="C35" s="543" t="s">
        <v>755</v>
      </c>
      <c r="D35" s="544" t="s">
        <v>754</v>
      </c>
      <c r="E35" s="544" t="s">
        <v>1105</v>
      </c>
      <c r="F35" s="544" t="s">
        <v>591</v>
      </c>
      <c r="G35" s="544" t="s">
        <v>137</v>
      </c>
      <c r="H35" s="544">
        <v>83</v>
      </c>
      <c r="I35" s="544"/>
      <c r="J35" s="555">
        <v>75.86</v>
      </c>
      <c r="K35" s="544">
        <v>7.14</v>
      </c>
      <c r="L35" s="556">
        <v>7.85</v>
      </c>
      <c r="M35" s="557">
        <v>8.65</v>
      </c>
      <c r="N35" s="544">
        <v>8.25</v>
      </c>
      <c r="O35" s="544">
        <v>8.25</v>
      </c>
      <c r="P35" s="554"/>
      <c r="Q35" s="549" t="s">
        <v>600</v>
      </c>
    </row>
    <row r="36" spans="1:17">
      <c r="A36" s="541">
        <v>46358</v>
      </c>
      <c r="B36" s="565" t="s">
        <v>750</v>
      </c>
      <c r="C36" s="543" t="s">
        <v>756</v>
      </c>
      <c r="D36" s="544" t="s">
        <v>754</v>
      </c>
      <c r="E36" s="544" t="s">
        <v>1105</v>
      </c>
      <c r="F36" s="544" t="s">
        <v>591</v>
      </c>
      <c r="G36" s="544" t="s">
        <v>137</v>
      </c>
      <c r="H36" s="544">
        <v>92</v>
      </c>
      <c r="I36" s="544"/>
      <c r="J36" s="555">
        <v>75.86</v>
      </c>
      <c r="K36" s="544">
        <v>16.14</v>
      </c>
      <c r="L36" s="556">
        <v>15.85</v>
      </c>
      <c r="M36" s="557">
        <v>16.75</v>
      </c>
      <c r="N36" s="544">
        <v>16.3</v>
      </c>
      <c r="O36" s="544">
        <v>16.3</v>
      </c>
      <c r="P36" s="554"/>
      <c r="Q36" s="549" t="s">
        <v>600</v>
      </c>
    </row>
    <row r="37" spans="1:17">
      <c r="A37" s="541">
        <v>46358</v>
      </c>
      <c r="B37" s="565" t="s">
        <v>758</v>
      </c>
      <c r="C37" s="543" t="s">
        <v>761</v>
      </c>
      <c r="D37" s="544" t="s">
        <v>726</v>
      </c>
      <c r="E37" s="544" t="s">
        <v>1105</v>
      </c>
      <c r="F37" s="544" t="s">
        <v>591</v>
      </c>
      <c r="G37" s="544" t="s">
        <v>137</v>
      </c>
      <c r="H37" s="544">
        <v>75</v>
      </c>
      <c r="I37" s="544"/>
      <c r="J37" s="555">
        <v>78.23</v>
      </c>
      <c r="K37" s="544">
        <v>0</v>
      </c>
      <c r="L37" s="556">
        <v>5</v>
      </c>
      <c r="M37" s="557">
        <v>5.2</v>
      </c>
      <c r="N37" s="544">
        <v>5.0999999999999996</v>
      </c>
      <c r="O37" s="544">
        <v>5.0999999999999996</v>
      </c>
      <c r="P37" s="554"/>
      <c r="Q37" s="549" t="s">
        <v>600</v>
      </c>
    </row>
    <row r="38" spans="1:17">
      <c r="A38" s="541">
        <v>46358</v>
      </c>
      <c r="B38" s="565" t="s">
        <v>757</v>
      </c>
      <c r="C38" s="543" t="s">
        <v>762</v>
      </c>
      <c r="D38" s="544" t="s">
        <v>726</v>
      </c>
      <c r="E38" s="544" t="s">
        <v>1105</v>
      </c>
      <c r="F38" s="544" t="s">
        <v>591</v>
      </c>
      <c r="G38" s="544" t="s">
        <v>137</v>
      </c>
      <c r="H38" s="544">
        <v>85</v>
      </c>
      <c r="I38" s="544"/>
      <c r="J38" s="555">
        <v>78.23</v>
      </c>
      <c r="K38" s="544">
        <v>6.77</v>
      </c>
      <c r="L38" s="556">
        <v>10.7</v>
      </c>
      <c r="M38" s="557">
        <v>10.95</v>
      </c>
      <c r="N38" s="544">
        <v>10.824999999999999</v>
      </c>
      <c r="O38" s="544">
        <v>10.824999999999999</v>
      </c>
      <c r="P38" s="554"/>
      <c r="Q38" s="549" t="s">
        <v>600</v>
      </c>
    </row>
    <row r="39" spans="1:17">
      <c r="A39" s="541">
        <v>46358</v>
      </c>
      <c r="B39" s="565" t="s">
        <v>765</v>
      </c>
      <c r="C39" s="543" t="s">
        <v>771</v>
      </c>
      <c r="D39" s="544" t="s">
        <v>772</v>
      </c>
      <c r="E39" s="544" t="s">
        <v>1108</v>
      </c>
      <c r="F39" s="544" t="s">
        <v>596</v>
      </c>
      <c r="G39" s="544" t="s">
        <v>137</v>
      </c>
      <c r="H39" s="544">
        <v>350</v>
      </c>
      <c r="I39" s="544"/>
      <c r="J39" s="555">
        <v>331.17</v>
      </c>
      <c r="K39" s="544">
        <v>0</v>
      </c>
      <c r="L39" s="556">
        <v>35.200000000000003</v>
      </c>
      <c r="M39" s="557">
        <v>36.299999999999997</v>
      </c>
      <c r="N39" s="544">
        <v>35.75</v>
      </c>
      <c r="O39" s="544">
        <v>35.75</v>
      </c>
      <c r="P39" s="554"/>
      <c r="Q39" s="549" t="s">
        <v>600</v>
      </c>
    </row>
    <row r="40" spans="1:17">
      <c r="A40" s="541">
        <v>46358</v>
      </c>
      <c r="B40" s="565" t="s">
        <v>767</v>
      </c>
      <c r="C40" s="543" t="s">
        <v>773</v>
      </c>
      <c r="D40" s="544" t="s">
        <v>772</v>
      </c>
      <c r="E40" s="544" t="s">
        <v>1108</v>
      </c>
      <c r="F40" s="544" t="s">
        <v>596</v>
      </c>
      <c r="G40" s="544" t="s">
        <v>137</v>
      </c>
      <c r="H40" s="544">
        <v>410</v>
      </c>
      <c r="I40" s="544"/>
      <c r="J40" s="555">
        <v>331.17</v>
      </c>
      <c r="K40" s="544">
        <v>0</v>
      </c>
      <c r="L40" s="556">
        <v>17.600000000000001</v>
      </c>
      <c r="M40" s="557">
        <v>18.100000000000001</v>
      </c>
      <c r="N40" s="544">
        <v>17.850000000000001</v>
      </c>
      <c r="O40" s="544">
        <v>17.850000000000001</v>
      </c>
      <c r="P40" s="554"/>
      <c r="Q40" s="549" t="s">
        <v>600</v>
      </c>
    </row>
    <row r="41" spans="1:17">
      <c r="A41" s="541">
        <v>46358</v>
      </c>
      <c r="B41" s="565" t="s">
        <v>766</v>
      </c>
      <c r="C41" s="543" t="s">
        <v>774</v>
      </c>
      <c r="D41" s="544" t="s">
        <v>772</v>
      </c>
      <c r="E41" s="544" t="s">
        <v>1108</v>
      </c>
      <c r="F41" s="544" t="s">
        <v>591</v>
      </c>
      <c r="G41" s="544" t="s">
        <v>137</v>
      </c>
      <c r="H41" s="544">
        <v>270</v>
      </c>
      <c r="I41" s="544"/>
      <c r="J41" s="555">
        <v>331.17</v>
      </c>
      <c r="K41" s="544">
        <v>0</v>
      </c>
      <c r="L41" s="556">
        <v>15.9</v>
      </c>
      <c r="M41" s="557">
        <v>16.8</v>
      </c>
      <c r="N41" s="544">
        <v>16.350000000000001</v>
      </c>
      <c r="O41" s="544">
        <v>16.350000000000001</v>
      </c>
      <c r="P41" s="554"/>
      <c r="Q41" s="549" t="s">
        <v>600</v>
      </c>
    </row>
    <row r="42" spans="1:17">
      <c r="A42" s="541">
        <v>46358</v>
      </c>
      <c r="B42" s="565" t="s">
        <v>764</v>
      </c>
      <c r="C42" s="543" t="s">
        <v>775</v>
      </c>
      <c r="D42" s="544" t="s">
        <v>772</v>
      </c>
      <c r="E42" s="544" t="s">
        <v>1108</v>
      </c>
      <c r="F42" s="544" t="s">
        <v>591</v>
      </c>
      <c r="G42" s="544" t="s">
        <v>137</v>
      </c>
      <c r="H42" s="544">
        <v>300</v>
      </c>
      <c r="I42" s="544"/>
      <c r="J42" s="555">
        <v>331.17</v>
      </c>
      <c r="K42" s="544">
        <v>0</v>
      </c>
      <c r="L42" s="556">
        <v>26</v>
      </c>
      <c r="M42" s="557">
        <v>26.45</v>
      </c>
      <c r="N42" s="544">
        <v>26.225000000000001</v>
      </c>
      <c r="O42" s="544">
        <v>26.225000000000001</v>
      </c>
      <c r="P42" s="554"/>
      <c r="Q42" s="549" t="s">
        <v>600</v>
      </c>
    </row>
    <row r="43" spans="1:17">
      <c r="A43" s="541">
        <v>46358</v>
      </c>
      <c r="B43" s="565" t="s">
        <v>768</v>
      </c>
      <c r="C43" s="543" t="s">
        <v>776</v>
      </c>
      <c r="D43" s="544" t="s">
        <v>734</v>
      </c>
      <c r="E43" s="544" t="s">
        <v>1107</v>
      </c>
      <c r="F43" s="544" t="s">
        <v>591</v>
      </c>
      <c r="G43" s="544" t="s">
        <v>137</v>
      </c>
      <c r="H43" s="544">
        <v>600</v>
      </c>
      <c r="I43" s="544"/>
      <c r="J43" s="555">
        <v>649.80999999999995</v>
      </c>
      <c r="K43" s="544">
        <v>0</v>
      </c>
      <c r="L43" s="556">
        <v>16.25</v>
      </c>
      <c r="M43" s="557">
        <v>16.5</v>
      </c>
      <c r="N43" s="544">
        <v>16.375</v>
      </c>
      <c r="O43" s="544">
        <v>16.375</v>
      </c>
      <c r="P43" s="554"/>
      <c r="Q43" s="549" t="s">
        <v>600</v>
      </c>
    </row>
    <row r="44" spans="1:17">
      <c r="A44" s="541">
        <v>46358</v>
      </c>
      <c r="B44" s="565" t="s">
        <v>760</v>
      </c>
      <c r="C44" s="543" t="s">
        <v>777</v>
      </c>
      <c r="D44" s="544" t="s">
        <v>603</v>
      </c>
      <c r="E44" s="544" t="s">
        <v>1105</v>
      </c>
      <c r="F44" s="544" t="s">
        <v>596</v>
      </c>
      <c r="G44" s="544" t="s">
        <v>137</v>
      </c>
      <c r="H44" s="544">
        <v>330</v>
      </c>
      <c r="I44" s="544"/>
      <c r="J44" s="555">
        <v>368.1</v>
      </c>
      <c r="K44" s="544">
        <v>38.1</v>
      </c>
      <c r="L44" s="556">
        <v>45</v>
      </c>
      <c r="M44" s="557">
        <v>47.35</v>
      </c>
      <c r="N44" s="544">
        <v>46.174999999999997</v>
      </c>
      <c r="O44" s="544">
        <v>46.174999999999997</v>
      </c>
      <c r="P44" s="554"/>
      <c r="Q44" s="549" t="s">
        <v>600</v>
      </c>
    </row>
    <row r="45" spans="1:17">
      <c r="A45" s="541">
        <v>46358</v>
      </c>
      <c r="B45" s="565" t="s">
        <v>759</v>
      </c>
      <c r="C45" s="543" t="s">
        <v>778</v>
      </c>
      <c r="D45" s="544" t="s">
        <v>603</v>
      </c>
      <c r="E45" s="544" t="s">
        <v>1105</v>
      </c>
      <c r="F45" s="544" t="s">
        <v>596</v>
      </c>
      <c r="G45" s="544" t="s">
        <v>137</v>
      </c>
      <c r="H45" s="544">
        <v>300</v>
      </c>
      <c r="I45" s="544"/>
      <c r="J45" s="555">
        <v>368.1</v>
      </c>
      <c r="K45" s="544">
        <v>68.099999999999994</v>
      </c>
      <c r="L45" s="556">
        <v>70.95</v>
      </c>
      <c r="M45" s="557">
        <v>73.25</v>
      </c>
      <c r="N45" s="544">
        <v>72.099999999999994</v>
      </c>
      <c r="O45" s="544">
        <v>72.099999999999994</v>
      </c>
      <c r="P45" s="554"/>
      <c r="Q45" s="549" t="s">
        <v>600</v>
      </c>
    </row>
    <row r="46" spans="1:17">
      <c r="A46" s="541">
        <v>46358</v>
      </c>
      <c r="B46" s="565" t="s">
        <v>769</v>
      </c>
      <c r="C46" s="543" t="s">
        <v>779</v>
      </c>
      <c r="D46" s="544" t="s">
        <v>734</v>
      </c>
      <c r="E46" s="544" t="s">
        <v>1107</v>
      </c>
      <c r="F46" s="544" t="s">
        <v>591</v>
      </c>
      <c r="G46" s="544" t="s">
        <v>137</v>
      </c>
      <c r="H46" s="544">
        <v>570</v>
      </c>
      <c r="I46" s="544"/>
      <c r="J46" s="555">
        <v>649.80999999999995</v>
      </c>
      <c r="K46" s="544">
        <v>0</v>
      </c>
      <c r="L46" s="556">
        <v>10.050000000000001</v>
      </c>
      <c r="M46" s="557">
        <v>10.25</v>
      </c>
      <c r="N46" s="544">
        <v>10.15</v>
      </c>
      <c r="O46" s="544">
        <v>10.15</v>
      </c>
      <c r="P46" s="554"/>
      <c r="Q46" s="549" t="s">
        <v>600</v>
      </c>
    </row>
    <row r="47" spans="1:17">
      <c r="A47" s="541">
        <v>46358</v>
      </c>
      <c r="B47" s="566" t="s">
        <v>820</v>
      </c>
      <c r="C47" s="543" t="s">
        <v>822</v>
      </c>
      <c r="D47" s="544" t="s">
        <v>603</v>
      </c>
      <c r="E47" s="544" t="s">
        <v>1108</v>
      </c>
      <c r="F47" s="544" t="s">
        <v>596</v>
      </c>
      <c r="G47" s="544" t="s">
        <v>137</v>
      </c>
      <c r="H47" s="544">
        <v>340</v>
      </c>
      <c r="I47" s="544"/>
      <c r="J47" s="555">
        <v>368.1</v>
      </c>
      <c r="K47" s="544">
        <v>28.1</v>
      </c>
      <c r="L47" s="556">
        <v>55.1</v>
      </c>
      <c r="M47" s="557">
        <v>57.15</v>
      </c>
      <c r="N47" s="544">
        <v>56.125</v>
      </c>
      <c r="O47" s="544">
        <v>56.125</v>
      </c>
      <c r="P47" s="554"/>
      <c r="Q47" s="549" t="s">
        <v>600</v>
      </c>
    </row>
    <row r="48" spans="1:17">
      <c r="A48" s="541">
        <v>46358</v>
      </c>
      <c r="B48" s="566" t="s">
        <v>821</v>
      </c>
      <c r="C48" s="543" t="s">
        <v>823</v>
      </c>
      <c r="D48" s="544" t="s">
        <v>603</v>
      </c>
      <c r="E48" s="544" t="s">
        <v>1108</v>
      </c>
      <c r="F48" s="544" t="s">
        <v>596</v>
      </c>
      <c r="G48" s="544" t="s">
        <v>137</v>
      </c>
      <c r="H48" s="544">
        <v>380</v>
      </c>
      <c r="I48" s="544"/>
      <c r="J48" s="555">
        <v>368.1</v>
      </c>
      <c r="K48" s="544">
        <v>0</v>
      </c>
      <c r="L48" s="556">
        <v>34.950000000000003</v>
      </c>
      <c r="M48" s="557">
        <v>36.65</v>
      </c>
      <c r="N48" s="544">
        <v>35.799999999999997</v>
      </c>
      <c r="O48" s="544">
        <v>35.799999999999997</v>
      </c>
      <c r="P48" s="554"/>
      <c r="Q48" s="549" t="s">
        <v>600</v>
      </c>
    </row>
    <row r="49" spans="1:17">
      <c r="A49" s="541">
        <v>46358</v>
      </c>
      <c r="B49" s="566" t="s">
        <v>819</v>
      </c>
      <c r="C49" s="543" t="s">
        <v>824</v>
      </c>
      <c r="D49" s="544" t="s">
        <v>825</v>
      </c>
      <c r="E49" s="544" t="s">
        <v>1109</v>
      </c>
      <c r="F49" s="544" t="s">
        <v>596</v>
      </c>
      <c r="G49" s="544" t="s">
        <v>137</v>
      </c>
      <c r="H49" s="544">
        <v>35</v>
      </c>
      <c r="I49" s="544"/>
      <c r="J49" s="550">
        <v>33.82</v>
      </c>
      <c r="K49" s="544">
        <v>0</v>
      </c>
      <c r="L49" s="551">
        <v>0.03</v>
      </c>
      <c r="M49" s="552">
        <v>0.03</v>
      </c>
      <c r="N49" s="544">
        <v>3.4601716999999997E-2</v>
      </c>
      <c r="O49" s="544">
        <v>3.6235229000000001E-2</v>
      </c>
      <c r="P49" s="554">
        <v>16.952256429999998</v>
      </c>
      <c r="Q49" s="549" t="s">
        <v>593</v>
      </c>
    </row>
    <row r="50" spans="1:17">
      <c r="A50" s="541">
        <v>46358</v>
      </c>
      <c r="B50" s="566" t="s">
        <v>838</v>
      </c>
      <c r="C50" s="543" t="s">
        <v>840</v>
      </c>
      <c r="D50" s="544" t="s">
        <v>841</v>
      </c>
      <c r="E50" s="544" t="s">
        <v>1110</v>
      </c>
      <c r="F50" s="544" t="s">
        <v>596</v>
      </c>
      <c r="G50" s="544" t="s">
        <v>137</v>
      </c>
      <c r="H50" s="544">
        <v>115</v>
      </c>
      <c r="I50" s="544"/>
      <c r="J50" s="555">
        <v>98.28</v>
      </c>
      <c r="K50" s="544">
        <v>0</v>
      </c>
      <c r="L50" s="556">
        <v>7.95</v>
      </c>
      <c r="M50" s="557">
        <v>8.65</v>
      </c>
      <c r="N50" s="544">
        <v>8.3000000000000007</v>
      </c>
      <c r="O50" s="544">
        <v>8.3000000000000007</v>
      </c>
      <c r="P50" s="554"/>
      <c r="Q50" s="549" t="s">
        <v>600</v>
      </c>
    </row>
    <row r="51" spans="1:17">
      <c r="A51" s="541">
        <v>46358</v>
      </c>
      <c r="B51" s="566" t="s">
        <v>837</v>
      </c>
      <c r="C51" s="543" t="s">
        <v>842</v>
      </c>
      <c r="D51" s="544" t="s">
        <v>841</v>
      </c>
      <c r="E51" s="544" t="s">
        <v>1110</v>
      </c>
      <c r="F51" s="544" t="s">
        <v>596</v>
      </c>
      <c r="G51" s="544" t="s">
        <v>137</v>
      </c>
      <c r="H51" s="544">
        <v>105</v>
      </c>
      <c r="I51" s="544"/>
      <c r="J51" s="555">
        <v>98.28</v>
      </c>
      <c r="K51" s="544">
        <v>0</v>
      </c>
      <c r="L51" s="556">
        <v>11.05</v>
      </c>
      <c r="M51" s="557">
        <v>11.8</v>
      </c>
      <c r="N51" s="544">
        <v>11.425000000000001</v>
      </c>
      <c r="O51" s="544">
        <v>11.425000000000001</v>
      </c>
      <c r="P51" s="554"/>
      <c r="Q51" s="549" t="s">
        <v>600</v>
      </c>
    </row>
    <row r="52" spans="1:17">
      <c r="A52" s="541">
        <v>46358</v>
      </c>
      <c r="B52" s="566" t="s">
        <v>844</v>
      </c>
      <c r="C52" s="543" t="s">
        <v>848</v>
      </c>
      <c r="D52" s="544" t="s">
        <v>849</v>
      </c>
      <c r="E52" s="544" t="s">
        <v>1109</v>
      </c>
      <c r="F52" s="544" t="s">
        <v>596</v>
      </c>
      <c r="G52" s="544" t="s">
        <v>137</v>
      </c>
      <c r="H52" s="544">
        <v>500</v>
      </c>
      <c r="I52" s="544"/>
      <c r="J52" s="555">
        <v>630.29</v>
      </c>
      <c r="K52" s="544">
        <v>130.29</v>
      </c>
      <c r="L52" s="556">
        <v>129.1</v>
      </c>
      <c r="M52" s="557">
        <v>137.4</v>
      </c>
      <c r="N52" s="544">
        <v>133.25</v>
      </c>
      <c r="O52" s="544">
        <v>133.25</v>
      </c>
      <c r="P52" s="554"/>
      <c r="Q52" s="549" t="s">
        <v>600</v>
      </c>
    </row>
    <row r="53" spans="1:17">
      <c r="A53" s="541">
        <v>46358</v>
      </c>
      <c r="B53" s="566" t="s">
        <v>850</v>
      </c>
      <c r="C53" s="543" t="s">
        <v>851</v>
      </c>
      <c r="D53" s="544" t="s">
        <v>601</v>
      </c>
      <c r="E53" s="544" t="s">
        <v>1109</v>
      </c>
      <c r="F53" s="544" t="s">
        <v>596</v>
      </c>
      <c r="G53" s="544" t="s">
        <v>137</v>
      </c>
      <c r="H53" s="544">
        <v>35</v>
      </c>
      <c r="I53" s="544"/>
      <c r="J53" s="550">
        <v>38.49</v>
      </c>
      <c r="K53" s="544">
        <v>3.49</v>
      </c>
      <c r="L53" s="551">
        <v>3.55</v>
      </c>
      <c r="M53" s="552">
        <v>3.55</v>
      </c>
      <c r="N53" s="544">
        <v>3.5511102370000001</v>
      </c>
      <c r="O53" s="544">
        <v>3.55396607</v>
      </c>
      <c r="P53" s="554">
        <v>39.226222530000001</v>
      </c>
      <c r="Q53" s="549" t="s">
        <v>593</v>
      </c>
    </row>
    <row r="54" spans="1:17">
      <c r="A54" s="541">
        <v>46358</v>
      </c>
      <c r="B54" s="567" t="s">
        <v>845</v>
      </c>
      <c r="C54" s="543" t="s">
        <v>852</v>
      </c>
      <c r="D54" s="544" t="s">
        <v>726</v>
      </c>
      <c r="E54" s="544" t="s">
        <v>1105</v>
      </c>
      <c r="F54" s="544" t="s">
        <v>591</v>
      </c>
      <c r="G54" s="544" t="s">
        <v>137</v>
      </c>
      <c r="H54" s="544">
        <v>70</v>
      </c>
      <c r="I54" s="544"/>
      <c r="J54" s="555">
        <v>78.23</v>
      </c>
      <c r="K54" s="544">
        <v>0</v>
      </c>
      <c r="L54" s="556">
        <v>3.05</v>
      </c>
      <c r="M54" s="557">
        <v>3.3</v>
      </c>
      <c r="N54" s="544">
        <v>3.1749999999999998</v>
      </c>
      <c r="O54" s="544">
        <v>3.1749999999999998</v>
      </c>
      <c r="P54" s="554"/>
      <c r="Q54" s="549" t="s">
        <v>600</v>
      </c>
    </row>
    <row r="55" spans="1:17">
      <c r="A55" s="541">
        <v>46358</v>
      </c>
      <c r="B55" s="567" t="s">
        <v>853</v>
      </c>
      <c r="C55" s="543" t="s">
        <v>859</v>
      </c>
      <c r="D55" s="544" t="s">
        <v>849</v>
      </c>
      <c r="E55" s="544" t="s">
        <v>1109</v>
      </c>
      <c r="F55" s="544" t="s">
        <v>596</v>
      </c>
      <c r="G55" s="544" t="s">
        <v>137</v>
      </c>
      <c r="H55" s="544">
        <v>550</v>
      </c>
      <c r="I55" s="544"/>
      <c r="J55" s="555">
        <v>630.29</v>
      </c>
      <c r="K55" s="544">
        <v>80.290000000000006</v>
      </c>
      <c r="L55" s="556">
        <v>86.1</v>
      </c>
      <c r="M55" s="557">
        <v>92.6</v>
      </c>
      <c r="N55" s="544">
        <v>89.35</v>
      </c>
      <c r="O55" s="544">
        <v>89.35</v>
      </c>
      <c r="P55" s="554"/>
      <c r="Q55" s="549" t="s">
        <v>600</v>
      </c>
    </row>
    <row r="56" spans="1:17">
      <c r="A56" s="541">
        <v>46358</v>
      </c>
      <c r="B56" s="567" t="s">
        <v>856</v>
      </c>
      <c r="C56" s="543" t="s">
        <v>860</v>
      </c>
      <c r="D56" s="544" t="s">
        <v>734</v>
      </c>
      <c r="E56" s="544" t="s">
        <v>1111</v>
      </c>
      <c r="F56" s="544" t="s">
        <v>596</v>
      </c>
      <c r="G56" s="544" t="s">
        <v>137</v>
      </c>
      <c r="H56" s="544">
        <v>670</v>
      </c>
      <c r="I56" s="544"/>
      <c r="J56" s="555">
        <v>649.80999999999995</v>
      </c>
      <c r="K56" s="544">
        <v>0</v>
      </c>
      <c r="L56" s="556">
        <v>55.45</v>
      </c>
      <c r="M56" s="557">
        <v>55.85</v>
      </c>
      <c r="N56" s="544">
        <v>55.65</v>
      </c>
      <c r="O56" s="544">
        <v>55.65</v>
      </c>
      <c r="P56" s="554"/>
      <c r="Q56" s="549" t="s">
        <v>600</v>
      </c>
    </row>
    <row r="57" spans="1:17">
      <c r="A57" s="541">
        <v>46358</v>
      </c>
      <c r="B57" s="567" t="s">
        <v>855</v>
      </c>
      <c r="C57" s="543" t="s">
        <v>861</v>
      </c>
      <c r="D57" s="544" t="s">
        <v>698</v>
      </c>
      <c r="E57" s="544" t="s">
        <v>1111</v>
      </c>
      <c r="F57" s="544" t="s">
        <v>596</v>
      </c>
      <c r="G57" s="544" t="s">
        <v>137</v>
      </c>
      <c r="H57" s="544">
        <v>245</v>
      </c>
      <c r="I57" s="544"/>
      <c r="J57" s="555">
        <v>199.6</v>
      </c>
      <c r="K57" s="544">
        <v>0</v>
      </c>
      <c r="L57" s="556">
        <v>5.6</v>
      </c>
      <c r="M57" s="557">
        <v>5.8</v>
      </c>
      <c r="N57" s="544">
        <v>5.7</v>
      </c>
      <c r="O57" s="544">
        <v>5.7</v>
      </c>
      <c r="P57" s="554"/>
      <c r="Q57" s="549" t="s">
        <v>600</v>
      </c>
    </row>
    <row r="58" spans="1:17">
      <c r="A58" s="541">
        <v>46358</v>
      </c>
      <c r="B58" s="554" t="s">
        <v>862</v>
      </c>
      <c r="C58" s="543" t="s">
        <v>863</v>
      </c>
      <c r="D58" s="544" t="s">
        <v>864</v>
      </c>
      <c r="E58" s="568">
        <v>46307</v>
      </c>
      <c r="F58" s="544" t="s">
        <v>596</v>
      </c>
      <c r="G58" s="544" t="s">
        <v>770</v>
      </c>
      <c r="H58" s="544">
        <v>1000</v>
      </c>
      <c r="I58" s="544"/>
      <c r="J58" s="550">
        <v>816.28</v>
      </c>
      <c r="K58" s="544">
        <v>0</v>
      </c>
      <c r="L58" s="550">
        <v>38.650598789999997</v>
      </c>
      <c r="M58" s="550">
        <v>38.650598789999997</v>
      </c>
      <c r="N58" s="550">
        <v>38.650598789999997</v>
      </c>
      <c r="O58" s="550">
        <v>38.678193190000002</v>
      </c>
      <c r="P58" s="544">
        <v>31.555279129999999</v>
      </c>
      <c r="Q58" s="549" t="s">
        <v>593</v>
      </c>
    </row>
    <row r="59" spans="1:17">
      <c r="A59" s="541">
        <v>46358</v>
      </c>
      <c r="B59" s="567" t="s">
        <v>854</v>
      </c>
      <c r="C59" s="543" t="s">
        <v>865</v>
      </c>
      <c r="D59" s="544" t="s">
        <v>744</v>
      </c>
      <c r="E59" s="544" t="s">
        <v>1105</v>
      </c>
      <c r="F59" s="544" t="s">
        <v>596</v>
      </c>
      <c r="G59" s="544" t="s">
        <v>137</v>
      </c>
      <c r="H59" s="544">
        <v>420</v>
      </c>
      <c r="I59" s="544"/>
      <c r="J59" s="555">
        <v>583.46</v>
      </c>
      <c r="K59" s="544">
        <v>163.46</v>
      </c>
      <c r="L59" s="556">
        <v>180</v>
      </c>
      <c r="M59" s="557">
        <v>183.9</v>
      </c>
      <c r="N59" s="544">
        <v>181.95</v>
      </c>
      <c r="O59" s="544">
        <v>181.95</v>
      </c>
      <c r="P59" s="554"/>
      <c r="Q59" s="549" t="s">
        <v>600</v>
      </c>
    </row>
    <row r="60" spans="1:17">
      <c r="A60" s="541">
        <v>46358</v>
      </c>
      <c r="B60" s="567" t="s">
        <v>857</v>
      </c>
      <c r="C60" s="543" t="s">
        <v>866</v>
      </c>
      <c r="D60" s="544" t="s">
        <v>602</v>
      </c>
      <c r="E60" s="544" t="s">
        <v>1111</v>
      </c>
      <c r="F60" s="544" t="s">
        <v>596</v>
      </c>
      <c r="G60" s="544" t="s">
        <v>137</v>
      </c>
      <c r="H60" s="544">
        <v>465</v>
      </c>
      <c r="I60" s="544"/>
      <c r="J60" s="555">
        <v>401.84</v>
      </c>
      <c r="K60" s="544">
        <v>0</v>
      </c>
      <c r="L60" s="556">
        <v>11.7</v>
      </c>
      <c r="M60" s="557">
        <v>11.85</v>
      </c>
      <c r="N60" s="544">
        <v>11.775</v>
      </c>
      <c r="O60" s="544">
        <v>11.775</v>
      </c>
      <c r="P60" s="554"/>
      <c r="Q60" s="549" t="s">
        <v>600</v>
      </c>
    </row>
    <row r="61" spans="1:17">
      <c r="A61" s="541">
        <v>46358</v>
      </c>
      <c r="B61" s="542" t="s">
        <v>882</v>
      </c>
      <c r="C61" s="543" t="s">
        <v>883</v>
      </c>
      <c r="D61" s="544" t="s">
        <v>601</v>
      </c>
      <c r="E61" s="544" t="s">
        <v>1109</v>
      </c>
      <c r="F61" s="544" t="s">
        <v>596</v>
      </c>
      <c r="G61" s="544" t="s">
        <v>137</v>
      </c>
      <c r="H61" s="544">
        <v>37</v>
      </c>
      <c r="I61" s="544"/>
      <c r="J61" s="550">
        <v>38.49</v>
      </c>
      <c r="K61" s="544">
        <v>1.49</v>
      </c>
      <c r="L61" s="550">
        <v>1.7374208680000001</v>
      </c>
      <c r="M61" s="550">
        <v>1.7374208680000001</v>
      </c>
      <c r="N61" s="550">
        <v>1.7374208680000001</v>
      </c>
      <c r="O61" s="550">
        <v>1.7440936300000001</v>
      </c>
      <c r="P61" s="544">
        <v>33.944923230000001</v>
      </c>
      <c r="Q61" s="549" t="s">
        <v>593</v>
      </c>
    </row>
    <row r="62" spans="1:17">
      <c r="A62" s="541">
        <v>46358</v>
      </c>
      <c r="B62" s="542" t="s">
        <v>879</v>
      </c>
      <c r="C62" s="543" t="s">
        <v>884</v>
      </c>
      <c r="D62" s="544" t="s">
        <v>885</v>
      </c>
      <c r="E62" s="544" t="s">
        <v>1111</v>
      </c>
      <c r="F62" s="544" t="s">
        <v>596</v>
      </c>
      <c r="G62" s="544" t="s">
        <v>137</v>
      </c>
      <c r="H62" s="544">
        <v>50</v>
      </c>
      <c r="I62" s="544"/>
      <c r="J62" s="555">
        <v>46.48</v>
      </c>
      <c r="K62" s="544">
        <v>0</v>
      </c>
      <c r="L62" s="556">
        <v>6</v>
      </c>
      <c r="M62" s="557">
        <v>6.4</v>
      </c>
      <c r="N62" s="544">
        <v>6.2</v>
      </c>
      <c r="O62" s="544">
        <v>6.2</v>
      </c>
      <c r="P62" s="554"/>
      <c r="Q62" s="549" t="s">
        <v>600</v>
      </c>
    </row>
    <row r="63" spans="1:17">
      <c r="A63" s="541">
        <v>46358</v>
      </c>
      <c r="B63" s="542" t="s">
        <v>880</v>
      </c>
      <c r="C63" s="543" t="s">
        <v>886</v>
      </c>
      <c r="D63" s="544" t="s">
        <v>885</v>
      </c>
      <c r="E63" s="544" t="s">
        <v>1111</v>
      </c>
      <c r="F63" s="544" t="s">
        <v>596</v>
      </c>
      <c r="G63" s="544" t="s">
        <v>137</v>
      </c>
      <c r="H63" s="544">
        <v>60</v>
      </c>
      <c r="I63" s="544"/>
      <c r="J63" s="555">
        <v>46.48</v>
      </c>
      <c r="K63" s="544">
        <v>0</v>
      </c>
      <c r="L63" s="556">
        <v>3.4</v>
      </c>
      <c r="M63" s="557">
        <v>3.6</v>
      </c>
      <c r="N63" s="544">
        <v>3.5</v>
      </c>
      <c r="O63" s="544">
        <v>3.5</v>
      </c>
      <c r="P63" s="554"/>
      <c r="Q63" s="549" t="s">
        <v>600</v>
      </c>
    </row>
    <row r="64" spans="1:17">
      <c r="A64" s="541">
        <v>46358</v>
      </c>
      <c r="B64" s="542" t="s">
        <v>878</v>
      </c>
      <c r="C64" s="543" t="s">
        <v>887</v>
      </c>
      <c r="D64" s="544" t="s">
        <v>885</v>
      </c>
      <c r="E64" s="544" t="s">
        <v>1111</v>
      </c>
      <c r="F64" s="544" t="s">
        <v>591</v>
      </c>
      <c r="G64" s="544" t="s">
        <v>137</v>
      </c>
      <c r="H64" s="544">
        <v>40</v>
      </c>
      <c r="I64" s="544"/>
      <c r="J64" s="555">
        <v>46.48</v>
      </c>
      <c r="K64" s="544">
        <v>0</v>
      </c>
      <c r="L64" s="556">
        <v>3.4</v>
      </c>
      <c r="M64" s="557">
        <v>3.8</v>
      </c>
      <c r="N64" s="544">
        <v>3.6</v>
      </c>
      <c r="O64" s="544">
        <v>3.6</v>
      </c>
      <c r="P64" s="554"/>
      <c r="Q64" s="549" t="s">
        <v>600</v>
      </c>
    </row>
    <row r="65" spans="1:17">
      <c r="A65" s="541">
        <v>46358</v>
      </c>
      <c r="B65" s="542" t="s">
        <v>881</v>
      </c>
      <c r="C65" s="543" t="s">
        <v>888</v>
      </c>
      <c r="D65" s="544" t="s">
        <v>602</v>
      </c>
      <c r="E65" s="544" t="s">
        <v>1111</v>
      </c>
      <c r="F65" s="544" t="s">
        <v>596</v>
      </c>
      <c r="G65" s="544" t="s">
        <v>137</v>
      </c>
      <c r="H65" s="544">
        <v>475</v>
      </c>
      <c r="I65" s="544"/>
      <c r="J65" s="555">
        <v>401.84</v>
      </c>
      <c r="K65" s="544">
        <v>0</v>
      </c>
      <c r="L65" s="556">
        <v>9.6999999999999993</v>
      </c>
      <c r="M65" s="557">
        <v>9.85</v>
      </c>
      <c r="N65" s="544">
        <v>9.7750000000000004</v>
      </c>
      <c r="O65" s="544">
        <v>9.7750000000000004</v>
      </c>
      <c r="P65" s="554"/>
      <c r="Q65" s="549" t="s">
        <v>600</v>
      </c>
    </row>
    <row r="66" spans="1:17">
      <c r="A66" s="541">
        <v>46358</v>
      </c>
      <c r="B66" s="566" t="s">
        <v>898</v>
      </c>
      <c r="C66" s="543" t="s">
        <v>911</v>
      </c>
      <c r="D66" s="544" t="s">
        <v>602</v>
      </c>
      <c r="E66" s="544" t="s">
        <v>1111</v>
      </c>
      <c r="F66" s="544" t="s">
        <v>596</v>
      </c>
      <c r="G66" s="544" t="s">
        <v>137</v>
      </c>
      <c r="H66" s="544">
        <v>500</v>
      </c>
      <c r="I66" s="544"/>
      <c r="J66" s="555">
        <v>401.84</v>
      </c>
      <c r="K66" s="544">
        <v>0</v>
      </c>
      <c r="L66" s="556">
        <v>6.1</v>
      </c>
      <c r="M66" s="557">
        <v>6.25</v>
      </c>
      <c r="N66" s="544">
        <v>6.1749999999999998</v>
      </c>
      <c r="O66" s="544">
        <v>6.1749999999999998</v>
      </c>
      <c r="P66" s="554"/>
      <c r="Q66" s="549" t="s">
        <v>600</v>
      </c>
    </row>
    <row r="67" spans="1:17">
      <c r="A67" s="541">
        <v>46358</v>
      </c>
      <c r="B67" s="566" t="s">
        <v>912</v>
      </c>
      <c r="C67" s="543" t="s">
        <v>913</v>
      </c>
      <c r="D67" s="544" t="s">
        <v>914</v>
      </c>
      <c r="E67" s="544" t="s">
        <v>1107</v>
      </c>
      <c r="F67" s="544" t="s">
        <v>596</v>
      </c>
      <c r="G67" s="544" t="s">
        <v>137</v>
      </c>
      <c r="H67" s="544">
        <v>61</v>
      </c>
      <c r="I67" s="544"/>
      <c r="J67" s="555">
        <v>60.86</v>
      </c>
      <c r="K67" s="544">
        <v>0</v>
      </c>
      <c r="L67" s="556">
        <v>2.0499999999999998</v>
      </c>
      <c r="M67" s="557">
        <v>2.35</v>
      </c>
      <c r="N67" s="544">
        <v>2.2000000000000002</v>
      </c>
      <c r="O67" s="544">
        <v>2.2000000000000002</v>
      </c>
      <c r="P67" s="554"/>
      <c r="Q67" s="549" t="s">
        <v>600</v>
      </c>
    </row>
    <row r="68" spans="1:17">
      <c r="A68" s="541">
        <v>46358</v>
      </c>
      <c r="B68" s="566" t="s">
        <v>915</v>
      </c>
      <c r="C68" s="543" t="s">
        <v>916</v>
      </c>
      <c r="D68" s="544" t="s">
        <v>914</v>
      </c>
      <c r="E68" s="544" t="s">
        <v>1107</v>
      </c>
      <c r="F68" s="544" t="s">
        <v>596</v>
      </c>
      <c r="G68" s="544" t="s">
        <v>137</v>
      </c>
      <c r="H68" s="544">
        <v>65</v>
      </c>
      <c r="I68" s="544"/>
      <c r="J68" s="555">
        <v>60.86</v>
      </c>
      <c r="K68" s="544">
        <v>0</v>
      </c>
      <c r="L68" s="556">
        <v>0.61</v>
      </c>
      <c r="M68" s="557">
        <v>0.79</v>
      </c>
      <c r="N68" s="544">
        <v>0.7</v>
      </c>
      <c r="O68" s="544">
        <v>0.7</v>
      </c>
      <c r="P68" s="554"/>
      <c r="Q68" s="549" t="s">
        <v>600</v>
      </c>
    </row>
    <row r="69" spans="1:17">
      <c r="A69" s="541">
        <v>46358</v>
      </c>
      <c r="B69" s="567" t="s">
        <v>917</v>
      </c>
      <c r="C69" s="543" t="s">
        <v>918</v>
      </c>
      <c r="D69" s="544" t="s">
        <v>914</v>
      </c>
      <c r="E69" s="544" t="s">
        <v>1109</v>
      </c>
      <c r="F69" s="544" t="s">
        <v>596</v>
      </c>
      <c r="G69" s="544" t="s">
        <v>137</v>
      </c>
      <c r="H69" s="544">
        <v>61</v>
      </c>
      <c r="I69" s="544"/>
      <c r="J69" s="550">
        <v>60.86</v>
      </c>
      <c r="K69" s="544">
        <v>0</v>
      </c>
      <c r="L69" s="550">
        <v>0.74494528699999996</v>
      </c>
      <c r="M69" s="550">
        <v>0.74494528699999996</v>
      </c>
      <c r="N69" s="550">
        <v>0.74494528699999996</v>
      </c>
      <c r="O69" s="550">
        <v>0.75452885300000005</v>
      </c>
      <c r="P69" s="544">
        <v>22.412839219999999</v>
      </c>
      <c r="Q69" s="549" t="s">
        <v>593</v>
      </c>
    </row>
    <row r="70" spans="1:17">
      <c r="A70" s="541">
        <v>46358</v>
      </c>
      <c r="B70" s="567" t="s">
        <v>924</v>
      </c>
      <c r="C70" s="543" t="s">
        <v>941</v>
      </c>
      <c r="D70" s="544" t="s">
        <v>940</v>
      </c>
      <c r="E70" s="544" t="s">
        <v>1112</v>
      </c>
      <c r="F70" s="544" t="s">
        <v>596</v>
      </c>
      <c r="G70" s="544" t="s">
        <v>137</v>
      </c>
      <c r="H70" s="544">
        <v>202.5</v>
      </c>
      <c r="I70" s="544"/>
      <c r="J70" s="555">
        <v>186.94</v>
      </c>
      <c r="K70" s="544">
        <v>0</v>
      </c>
      <c r="L70" s="556">
        <v>0.02</v>
      </c>
      <c r="M70" s="557">
        <v>0.03</v>
      </c>
      <c r="N70" s="544">
        <v>2.5000000000000001E-2</v>
      </c>
      <c r="O70" s="544">
        <v>2.5000000000000001E-2</v>
      </c>
      <c r="P70" s="554"/>
      <c r="Q70" s="549" t="s">
        <v>600</v>
      </c>
    </row>
    <row r="71" spans="1:17">
      <c r="A71" s="541">
        <v>46358</v>
      </c>
      <c r="B71" s="567" t="s">
        <v>923</v>
      </c>
      <c r="C71" s="543" t="s">
        <v>942</v>
      </c>
      <c r="D71" s="544" t="s">
        <v>940</v>
      </c>
      <c r="E71" s="544" t="s">
        <v>1113</v>
      </c>
      <c r="F71" s="544" t="s">
        <v>596</v>
      </c>
      <c r="G71" s="544" t="s">
        <v>137</v>
      </c>
      <c r="H71" s="544">
        <v>200</v>
      </c>
      <c r="I71" s="544"/>
      <c r="J71" s="555">
        <v>186.94</v>
      </c>
      <c r="K71" s="544">
        <v>0</v>
      </c>
      <c r="L71" s="556">
        <v>12.4</v>
      </c>
      <c r="M71" s="557">
        <v>12.55</v>
      </c>
      <c r="N71" s="544">
        <v>12.475</v>
      </c>
      <c r="O71" s="544">
        <v>12.475</v>
      </c>
      <c r="P71" s="554"/>
      <c r="Q71" s="549" t="s">
        <v>600</v>
      </c>
    </row>
    <row r="72" spans="1:17">
      <c r="A72" s="541">
        <v>46358</v>
      </c>
      <c r="B72" s="567" t="s">
        <v>935</v>
      </c>
      <c r="C72" s="543" t="s">
        <v>943</v>
      </c>
      <c r="D72" s="544" t="s">
        <v>734</v>
      </c>
      <c r="E72" s="544" t="s">
        <v>1111</v>
      </c>
      <c r="F72" s="544" t="s">
        <v>596</v>
      </c>
      <c r="G72" s="544" t="s">
        <v>137</v>
      </c>
      <c r="H72" s="544">
        <v>700</v>
      </c>
      <c r="I72" s="544"/>
      <c r="J72" s="555">
        <v>649.80999999999995</v>
      </c>
      <c r="K72" s="544">
        <v>0</v>
      </c>
      <c r="L72" s="556">
        <v>42.9</v>
      </c>
      <c r="M72" s="557">
        <v>43.3</v>
      </c>
      <c r="N72" s="544">
        <v>43.1</v>
      </c>
      <c r="O72" s="544">
        <v>43.1</v>
      </c>
      <c r="P72" s="554"/>
      <c r="Q72" s="549" t="s">
        <v>600</v>
      </c>
    </row>
    <row r="73" spans="1:17">
      <c r="A73" s="541">
        <v>46358</v>
      </c>
      <c r="B73" s="567" t="s">
        <v>958</v>
      </c>
      <c r="C73" s="543" t="s">
        <v>964</v>
      </c>
      <c r="D73" s="544" t="s">
        <v>965</v>
      </c>
      <c r="E73" s="544" t="s">
        <v>1107</v>
      </c>
      <c r="F73" s="544" t="s">
        <v>596</v>
      </c>
      <c r="G73" s="544" t="s">
        <v>137</v>
      </c>
      <c r="H73" s="544">
        <v>260</v>
      </c>
      <c r="I73" s="544"/>
      <c r="J73" s="555">
        <v>261.73</v>
      </c>
      <c r="K73" s="544">
        <v>1.73</v>
      </c>
      <c r="L73" s="556">
        <v>13.5</v>
      </c>
      <c r="M73" s="557">
        <v>13.7</v>
      </c>
      <c r="N73" s="544">
        <v>13.6</v>
      </c>
      <c r="O73" s="544">
        <v>13.6</v>
      </c>
      <c r="P73" s="554"/>
      <c r="Q73" s="549" t="s">
        <v>600</v>
      </c>
    </row>
    <row r="74" spans="1:17">
      <c r="A74" s="541">
        <v>46358</v>
      </c>
      <c r="B74" s="567" t="s">
        <v>959</v>
      </c>
      <c r="C74" s="543" t="s">
        <v>966</v>
      </c>
      <c r="D74" s="544" t="s">
        <v>965</v>
      </c>
      <c r="E74" s="544" t="s">
        <v>1107</v>
      </c>
      <c r="F74" s="544" t="s">
        <v>596</v>
      </c>
      <c r="G74" s="544" t="s">
        <v>137</v>
      </c>
      <c r="H74" s="544">
        <v>280</v>
      </c>
      <c r="I74" s="544"/>
      <c r="J74" s="555">
        <v>261.73</v>
      </c>
      <c r="K74" s="544">
        <v>0</v>
      </c>
      <c r="L74" s="556">
        <v>4.7</v>
      </c>
      <c r="M74" s="557">
        <v>4.8499999999999996</v>
      </c>
      <c r="N74" s="544">
        <v>4.7750000000000004</v>
      </c>
      <c r="O74" s="544">
        <v>4.7750000000000004</v>
      </c>
      <c r="P74" s="554"/>
      <c r="Q74" s="549" t="s">
        <v>600</v>
      </c>
    </row>
    <row r="75" spans="1:17">
      <c r="A75" s="541">
        <v>46358</v>
      </c>
      <c r="B75" s="567" t="s">
        <v>957</v>
      </c>
      <c r="C75" s="543" t="s">
        <v>967</v>
      </c>
      <c r="D75" s="544" t="s">
        <v>734</v>
      </c>
      <c r="E75" s="544" t="s">
        <v>1111</v>
      </c>
      <c r="F75" s="544" t="s">
        <v>596</v>
      </c>
      <c r="G75" s="544" t="s">
        <v>137</v>
      </c>
      <c r="H75" s="544">
        <v>750</v>
      </c>
      <c r="I75" s="544"/>
      <c r="J75" s="555">
        <v>649.80999999999995</v>
      </c>
      <c r="K75" s="544">
        <v>0</v>
      </c>
      <c r="L75" s="556">
        <v>27.3</v>
      </c>
      <c r="M75" s="557">
        <v>27.5</v>
      </c>
      <c r="N75" s="544">
        <v>27.4</v>
      </c>
      <c r="O75" s="544">
        <v>27.4</v>
      </c>
      <c r="P75" s="554"/>
      <c r="Q75" s="549" t="s">
        <v>600</v>
      </c>
    </row>
    <row r="76" spans="1:17">
      <c r="A76" s="541">
        <v>46358</v>
      </c>
      <c r="B76" s="567" t="s">
        <v>979</v>
      </c>
      <c r="C76" s="543" t="s">
        <v>988</v>
      </c>
      <c r="D76" s="544" t="s">
        <v>726</v>
      </c>
      <c r="E76" s="544" t="s">
        <v>1105</v>
      </c>
      <c r="F76" s="544" t="s">
        <v>591</v>
      </c>
      <c r="G76" s="544" t="s">
        <v>137</v>
      </c>
      <c r="H76" s="544">
        <v>60</v>
      </c>
      <c r="I76" s="544"/>
      <c r="J76" s="555">
        <v>78.23</v>
      </c>
      <c r="K76" s="544">
        <v>0</v>
      </c>
      <c r="L76" s="556">
        <v>1.02</v>
      </c>
      <c r="M76" s="557">
        <v>1.1399999999999999</v>
      </c>
      <c r="N76" s="544">
        <v>1.08</v>
      </c>
      <c r="O76" s="544">
        <v>1.08</v>
      </c>
      <c r="P76" s="554"/>
      <c r="Q76" s="549" t="s">
        <v>600</v>
      </c>
    </row>
    <row r="77" spans="1:17">
      <c r="A77" s="541">
        <v>46358</v>
      </c>
      <c r="B77" s="567" t="s">
        <v>980</v>
      </c>
      <c r="C77" s="543" t="s">
        <v>989</v>
      </c>
      <c r="D77" s="544" t="s">
        <v>754</v>
      </c>
      <c r="E77" s="544" t="s">
        <v>1113</v>
      </c>
      <c r="F77" s="544" t="s">
        <v>596</v>
      </c>
      <c r="G77" s="544" t="s">
        <v>137</v>
      </c>
      <c r="H77" s="544">
        <v>90</v>
      </c>
      <c r="I77" s="544"/>
      <c r="J77" s="555">
        <v>75.86</v>
      </c>
      <c r="K77" s="544">
        <v>0</v>
      </c>
      <c r="L77" s="556">
        <v>2.12</v>
      </c>
      <c r="M77" s="557">
        <v>2.2400000000000002</v>
      </c>
      <c r="N77" s="544">
        <v>2.1800000000000002</v>
      </c>
      <c r="O77" s="544">
        <v>2.1800000000000002</v>
      </c>
      <c r="P77" s="554"/>
      <c r="Q77" s="549" t="s">
        <v>600</v>
      </c>
    </row>
    <row r="78" spans="1:17">
      <c r="A78" s="541">
        <v>46358</v>
      </c>
      <c r="B78" s="567" t="s">
        <v>981</v>
      </c>
      <c r="C78" s="543" t="s">
        <v>990</v>
      </c>
      <c r="D78" s="544" t="s">
        <v>754</v>
      </c>
      <c r="E78" s="544" t="s">
        <v>1113</v>
      </c>
      <c r="F78" s="544" t="s">
        <v>591</v>
      </c>
      <c r="G78" s="544" t="s">
        <v>137</v>
      </c>
      <c r="H78" s="544">
        <v>70</v>
      </c>
      <c r="I78" s="544"/>
      <c r="J78" s="555">
        <v>75.86</v>
      </c>
      <c r="K78" s="544">
        <v>0</v>
      </c>
      <c r="L78" s="556">
        <v>3.6</v>
      </c>
      <c r="M78" s="557">
        <v>3.75</v>
      </c>
      <c r="N78" s="544">
        <v>3.6749999999999998</v>
      </c>
      <c r="O78" s="544">
        <v>3.6749999999999998</v>
      </c>
      <c r="P78" s="554"/>
      <c r="Q78" s="549" t="s">
        <v>600</v>
      </c>
    </row>
    <row r="79" spans="1:17">
      <c r="A79" s="541">
        <v>46358</v>
      </c>
      <c r="B79" s="567" t="s">
        <v>997</v>
      </c>
      <c r="C79" s="543" t="s">
        <v>999</v>
      </c>
      <c r="D79" s="544" t="s">
        <v>1000</v>
      </c>
      <c r="E79" s="544" t="s">
        <v>1109</v>
      </c>
      <c r="F79" s="544" t="s">
        <v>596</v>
      </c>
      <c r="G79" s="544" t="s">
        <v>137</v>
      </c>
      <c r="H79" s="544">
        <v>2150</v>
      </c>
      <c r="I79" s="544"/>
      <c r="J79" s="550">
        <v>2007</v>
      </c>
      <c r="K79" s="544">
        <v>0</v>
      </c>
      <c r="L79" s="550">
        <v>10.30546152</v>
      </c>
      <c r="M79" s="550">
        <v>10.30546152</v>
      </c>
      <c r="N79" s="550">
        <v>10.30546152</v>
      </c>
      <c r="O79" s="550">
        <v>10.6734454</v>
      </c>
      <c r="P79" s="544">
        <v>43.660021120000003</v>
      </c>
      <c r="Q79" s="549" t="s">
        <v>593</v>
      </c>
    </row>
    <row r="80" spans="1:17">
      <c r="A80" s="541">
        <v>46358</v>
      </c>
      <c r="B80" s="567" t="s">
        <v>998</v>
      </c>
      <c r="C80" s="543" t="s">
        <v>1001</v>
      </c>
      <c r="D80" s="544" t="s">
        <v>772</v>
      </c>
      <c r="E80" s="544" t="s">
        <v>1112</v>
      </c>
      <c r="F80" s="544" t="s">
        <v>596</v>
      </c>
      <c r="G80" s="544" t="s">
        <v>137</v>
      </c>
      <c r="H80" s="544">
        <v>330</v>
      </c>
      <c r="I80" s="544"/>
      <c r="J80" s="555">
        <v>331.17</v>
      </c>
      <c r="K80" s="544">
        <v>1.17</v>
      </c>
      <c r="L80" s="556">
        <v>4.7</v>
      </c>
      <c r="M80" s="557">
        <v>5.35</v>
      </c>
      <c r="N80" s="544">
        <v>5.0250000000000004</v>
      </c>
      <c r="O80" s="544">
        <v>5.0250000000000004</v>
      </c>
      <c r="P80" s="554"/>
      <c r="Q80" s="549" t="s">
        <v>600</v>
      </c>
    </row>
    <row r="81" spans="1:17">
      <c r="A81" s="541">
        <v>46358</v>
      </c>
      <c r="B81" s="567" t="s">
        <v>1010</v>
      </c>
      <c r="C81" s="543" t="s">
        <v>1016</v>
      </c>
      <c r="D81" s="544" t="s">
        <v>698</v>
      </c>
      <c r="E81" s="544" t="s">
        <v>1107</v>
      </c>
      <c r="F81" s="544" t="s">
        <v>596</v>
      </c>
      <c r="G81" s="544" t="s">
        <v>137</v>
      </c>
      <c r="H81" s="544">
        <v>235</v>
      </c>
      <c r="I81" s="544"/>
      <c r="J81" s="555">
        <v>199.6</v>
      </c>
      <c r="K81" s="544">
        <v>0</v>
      </c>
      <c r="L81" s="556">
        <v>1.81</v>
      </c>
      <c r="M81" s="557">
        <v>1.86</v>
      </c>
      <c r="N81" s="544">
        <v>1.835</v>
      </c>
      <c r="O81" s="544">
        <v>1.835</v>
      </c>
      <c r="P81" s="554"/>
      <c r="Q81" s="549" t="s">
        <v>600</v>
      </c>
    </row>
    <row r="82" spans="1:17">
      <c r="A82" s="541">
        <v>46358</v>
      </c>
      <c r="B82" s="567" t="s">
        <v>1011</v>
      </c>
      <c r="C82" s="543" t="s">
        <v>1017</v>
      </c>
      <c r="D82" s="544" t="s">
        <v>698</v>
      </c>
      <c r="E82" s="544" t="s">
        <v>1107</v>
      </c>
      <c r="F82" s="544" t="s">
        <v>596</v>
      </c>
      <c r="G82" s="544" t="s">
        <v>137</v>
      </c>
      <c r="H82" s="544">
        <v>250</v>
      </c>
      <c r="I82" s="544"/>
      <c r="J82" s="555">
        <v>199.6</v>
      </c>
      <c r="K82" s="544">
        <v>0</v>
      </c>
      <c r="L82" s="556">
        <v>0.87</v>
      </c>
      <c r="M82" s="557">
        <v>0.9</v>
      </c>
      <c r="N82" s="544">
        <v>0.88500000000000001</v>
      </c>
      <c r="O82" s="544">
        <v>0.88500000000000001</v>
      </c>
      <c r="P82" s="554"/>
      <c r="Q82" s="549" t="s">
        <v>600</v>
      </c>
    </row>
    <row r="83" spans="1:17">
      <c r="A83" s="541">
        <v>46358</v>
      </c>
      <c r="B83" s="567" t="s">
        <v>1049</v>
      </c>
      <c r="C83" s="543" t="s">
        <v>1057</v>
      </c>
      <c r="D83" s="544" t="s">
        <v>825</v>
      </c>
      <c r="E83" s="544" t="s">
        <v>1114</v>
      </c>
      <c r="F83" s="544" t="s">
        <v>596</v>
      </c>
      <c r="G83" s="544" t="s">
        <v>137</v>
      </c>
      <c r="H83" s="544">
        <v>35</v>
      </c>
      <c r="I83" s="544"/>
      <c r="J83" s="550">
        <v>33.82</v>
      </c>
      <c r="K83" s="544">
        <v>0</v>
      </c>
      <c r="L83" s="550">
        <v>0.151670952</v>
      </c>
      <c r="M83" s="550">
        <v>0.151670952</v>
      </c>
      <c r="N83" s="550">
        <v>0.151670952</v>
      </c>
      <c r="O83" s="550">
        <v>0.15416270600000001</v>
      </c>
      <c r="P83" s="544">
        <v>19.647319270000001</v>
      </c>
      <c r="Q83" s="549" t="s">
        <v>593</v>
      </c>
    </row>
    <row r="84" spans="1:17">
      <c r="A84" s="541">
        <v>46358</v>
      </c>
      <c r="B84" s="567" t="s">
        <v>1045</v>
      </c>
      <c r="C84" s="543" t="s">
        <v>1058</v>
      </c>
      <c r="D84" s="544" t="s">
        <v>744</v>
      </c>
      <c r="E84" s="544" t="s">
        <v>1108</v>
      </c>
      <c r="F84" s="544" t="s">
        <v>596</v>
      </c>
      <c r="G84" s="544" t="s">
        <v>137</v>
      </c>
      <c r="H84" s="544">
        <v>600</v>
      </c>
      <c r="I84" s="544"/>
      <c r="J84" s="555">
        <v>583.46</v>
      </c>
      <c r="K84" s="544">
        <v>0</v>
      </c>
      <c r="L84" s="556">
        <v>135</v>
      </c>
      <c r="M84" s="557">
        <v>138.9</v>
      </c>
      <c r="N84" s="544">
        <v>136.94999999999999</v>
      </c>
      <c r="O84" s="544">
        <v>136.94999999999999</v>
      </c>
      <c r="P84" s="554"/>
      <c r="Q84" s="549" t="s">
        <v>600</v>
      </c>
    </row>
    <row r="85" spans="1:17">
      <c r="A85" s="541">
        <v>46358</v>
      </c>
      <c r="B85" s="567" t="s">
        <v>1046</v>
      </c>
      <c r="C85" s="543" t="s">
        <v>1059</v>
      </c>
      <c r="D85" s="544" t="s">
        <v>744</v>
      </c>
      <c r="E85" s="544" t="s">
        <v>1108</v>
      </c>
      <c r="F85" s="544" t="s">
        <v>596</v>
      </c>
      <c r="G85" s="544" t="s">
        <v>137</v>
      </c>
      <c r="H85" s="544">
        <v>720</v>
      </c>
      <c r="I85" s="544"/>
      <c r="J85" s="555">
        <v>583.46</v>
      </c>
      <c r="K85" s="544">
        <v>0</v>
      </c>
      <c r="L85" s="556">
        <v>97.5</v>
      </c>
      <c r="M85" s="557">
        <v>101.4</v>
      </c>
      <c r="N85" s="544">
        <v>99.45</v>
      </c>
      <c r="O85" s="544">
        <v>99.45</v>
      </c>
      <c r="P85" s="554"/>
      <c r="Q85" s="549" t="s">
        <v>600</v>
      </c>
    </row>
    <row r="86" spans="1:17">
      <c r="A86" s="541">
        <v>46358</v>
      </c>
      <c r="B86" s="567" t="s">
        <v>1050</v>
      </c>
      <c r="C86" s="543" t="s">
        <v>1060</v>
      </c>
      <c r="D86" s="544" t="s">
        <v>1061</v>
      </c>
      <c r="E86" s="544" t="s">
        <v>1107</v>
      </c>
      <c r="F86" s="544" t="s">
        <v>596</v>
      </c>
      <c r="G86" s="544" t="s">
        <v>137</v>
      </c>
      <c r="H86" s="544">
        <v>100</v>
      </c>
      <c r="I86" s="544"/>
      <c r="J86" s="550">
        <v>75</v>
      </c>
      <c r="K86" s="544">
        <v>0</v>
      </c>
      <c r="L86" s="550">
        <v>9.0999130999999997E-2</v>
      </c>
      <c r="M86" s="550">
        <v>9.0999130999999997E-2</v>
      </c>
      <c r="N86" s="550">
        <v>9.0999130999999997E-2</v>
      </c>
      <c r="O86" s="550">
        <v>9.1908676999999994E-2</v>
      </c>
      <c r="P86" s="544">
        <v>33.399534340000002</v>
      </c>
      <c r="Q86" s="549" t="s">
        <v>593</v>
      </c>
    </row>
    <row r="87" spans="1:17">
      <c r="A87" s="541">
        <v>46358</v>
      </c>
      <c r="B87" s="567" t="s">
        <v>1051</v>
      </c>
      <c r="C87" s="543" t="s">
        <v>1062</v>
      </c>
      <c r="D87" s="544" t="s">
        <v>1061</v>
      </c>
      <c r="E87" s="544" t="s">
        <v>1107</v>
      </c>
      <c r="F87" s="544" t="s">
        <v>596</v>
      </c>
      <c r="G87" s="544" t="s">
        <v>137</v>
      </c>
      <c r="H87" s="544">
        <v>95</v>
      </c>
      <c r="I87" s="544"/>
      <c r="J87" s="555">
        <v>75</v>
      </c>
      <c r="K87" s="544">
        <v>0</v>
      </c>
      <c r="L87" s="556">
        <v>0.11</v>
      </c>
      <c r="M87" s="557">
        <v>0.16</v>
      </c>
      <c r="N87" s="544">
        <v>0.13500000000000001</v>
      </c>
      <c r="O87" s="544">
        <v>0.13500000000000001</v>
      </c>
      <c r="P87" s="554"/>
      <c r="Q87" s="549" t="s">
        <v>600</v>
      </c>
    </row>
    <row r="88" spans="1:17">
      <c r="A88" s="541">
        <v>46358</v>
      </c>
      <c r="B88" s="567" t="s">
        <v>1065</v>
      </c>
      <c r="C88" s="543" t="s">
        <v>1080</v>
      </c>
      <c r="D88" s="544" t="s">
        <v>616</v>
      </c>
      <c r="E88" s="544" t="s">
        <v>1112</v>
      </c>
      <c r="F88" s="544" t="s">
        <v>591</v>
      </c>
      <c r="G88" s="544" t="s">
        <v>137</v>
      </c>
      <c r="H88" s="544">
        <v>610</v>
      </c>
      <c r="I88" s="544"/>
      <c r="J88" s="555">
        <v>600.64</v>
      </c>
      <c r="K88" s="544">
        <v>9.36</v>
      </c>
      <c r="L88" s="556">
        <v>8.66</v>
      </c>
      <c r="M88" s="557">
        <v>8.98</v>
      </c>
      <c r="N88" s="544">
        <v>8.82</v>
      </c>
      <c r="O88" s="544">
        <v>9.36</v>
      </c>
      <c r="P88" s="554"/>
      <c r="Q88" s="549" t="s">
        <v>600</v>
      </c>
    </row>
    <row r="89" spans="1:17">
      <c r="A89" s="541">
        <v>46358</v>
      </c>
      <c r="B89" s="567" t="s">
        <v>1068</v>
      </c>
      <c r="C89" s="543" t="s">
        <v>1081</v>
      </c>
      <c r="D89" s="544" t="s">
        <v>616</v>
      </c>
      <c r="E89" s="544" t="s">
        <v>1109</v>
      </c>
      <c r="F89" s="544" t="s">
        <v>591</v>
      </c>
      <c r="G89" s="544" t="s">
        <v>137</v>
      </c>
      <c r="H89" s="544">
        <v>590</v>
      </c>
      <c r="I89" s="544"/>
      <c r="J89" s="555">
        <v>600.64</v>
      </c>
      <c r="K89" s="544">
        <v>0</v>
      </c>
      <c r="L89" s="556">
        <v>4.8600000000000003</v>
      </c>
      <c r="M89" s="557">
        <v>4.91</v>
      </c>
      <c r="N89" s="544">
        <v>4.8849999999999998</v>
      </c>
      <c r="O89" s="544">
        <v>4.8849999999999998</v>
      </c>
      <c r="P89" s="554"/>
      <c r="Q89" s="549" t="s">
        <v>600</v>
      </c>
    </row>
    <row r="90" spans="1:17">
      <c r="A90" s="541">
        <v>46358</v>
      </c>
      <c r="B90" s="567" t="s">
        <v>1067</v>
      </c>
      <c r="C90" s="543" t="s">
        <v>1082</v>
      </c>
      <c r="D90" s="544" t="s">
        <v>616</v>
      </c>
      <c r="E90" s="544" t="s">
        <v>1109</v>
      </c>
      <c r="F90" s="544" t="s">
        <v>591</v>
      </c>
      <c r="G90" s="544" t="s">
        <v>137</v>
      </c>
      <c r="H90" s="544">
        <v>605</v>
      </c>
      <c r="I90" s="544"/>
      <c r="J90" s="555">
        <v>600.64</v>
      </c>
      <c r="K90" s="544">
        <v>4.3600000000000003</v>
      </c>
      <c r="L90" s="556">
        <v>9.93</v>
      </c>
      <c r="M90" s="557">
        <v>10.01</v>
      </c>
      <c r="N90" s="544">
        <v>9.9700000000000006</v>
      </c>
      <c r="O90" s="544">
        <v>9.9700000000000006</v>
      </c>
      <c r="P90" s="554"/>
      <c r="Q90" s="549" t="s">
        <v>600</v>
      </c>
    </row>
    <row r="91" spans="1:17">
      <c r="A91" s="541">
        <v>46358</v>
      </c>
      <c r="B91" s="567" t="s">
        <v>1069</v>
      </c>
      <c r="C91" s="543" t="s">
        <v>1083</v>
      </c>
      <c r="D91" s="544" t="s">
        <v>940</v>
      </c>
      <c r="E91" s="544" t="s">
        <v>1105</v>
      </c>
      <c r="F91" s="544" t="s">
        <v>596</v>
      </c>
      <c r="G91" s="544" t="s">
        <v>137</v>
      </c>
      <c r="H91" s="544">
        <v>200</v>
      </c>
      <c r="I91" s="544"/>
      <c r="J91" s="555">
        <v>186.94</v>
      </c>
      <c r="K91" s="544">
        <v>0</v>
      </c>
      <c r="L91" s="556">
        <v>6.5</v>
      </c>
      <c r="M91" s="557">
        <v>6.6</v>
      </c>
      <c r="N91" s="544">
        <v>6.55</v>
      </c>
      <c r="O91" s="544">
        <v>6.55</v>
      </c>
      <c r="P91" s="554"/>
      <c r="Q91" s="549" t="s">
        <v>600</v>
      </c>
    </row>
    <row r="92" spans="1:17">
      <c r="A92" s="541">
        <v>46358</v>
      </c>
      <c r="B92" s="567" t="s">
        <v>1076</v>
      </c>
      <c r="C92" s="543" t="s">
        <v>1084</v>
      </c>
      <c r="D92" s="544" t="s">
        <v>698</v>
      </c>
      <c r="E92" s="544" t="s">
        <v>1111</v>
      </c>
      <c r="F92" s="544" t="s">
        <v>596</v>
      </c>
      <c r="G92" s="544" t="s">
        <v>137</v>
      </c>
      <c r="H92" s="544">
        <v>240</v>
      </c>
      <c r="I92" s="544"/>
      <c r="J92" s="555">
        <v>199.6</v>
      </c>
      <c r="K92" s="544">
        <v>0</v>
      </c>
      <c r="L92" s="556">
        <v>6.55</v>
      </c>
      <c r="M92" s="557">
        <v>6.65</v>
      </c>
      <c r="N92" s="544">
        <v>6.6</v>
      </c>
      <c r="O92" s="544">
        <v>6.6</v>
      </c>
      <c r="P92" s="554"/>
      <c r="Q92" s="549" t="s">
        <v>600</v>
      </c>
    </row>
    <row r="93" spans="1:17">
      <c r="A93" s="541">
        <v>46358</v>
      </c>
      <c r="B93" s="567" t="s">
        <v>1074</v>
      </c>
      <c r="C93" s="543" t="s">
        <v>1085</v>
      </c>
      <c r="D93" s="544" t="s">
        <v>698</v>
      </c>
      <c r="E93" s="544" t="s">
        <v>1111</v>
      </c>
      <c r="F93" s="544" t="s">
        <v>591</v>
      </c>
      <c r="G93" s="544" t="s">
        <v>137</v>
      </c>
      <c r="H93" s="544">
        <v>180</v>
      </c>
      <c r="I93" s="544"/>
      <c r="J93" s="555">
        <v>199.6</v>
      </c>
      <c r="K93" s="544">
        <v>0</v>
      </c>
      <c r="L93" s="556">
        <v>9.25</v>
      </c>
      <c r="M93" s="557">
        <v>9.4</v>
      </c>
      <c r="N93" s="544">
        <v>9.3249999999999993</v>
      </c>
      <c r="O93" s="544">
        <v>9.3249999999999993</v>
      </c>
      <c r="P93" s="554"/>
      <c r="Q93" s="549" t="s">
        <v>600</v>
      </c>
    </row>
    <row r="94" spans="1:17">
      <c r="A94" s="541">
        <v>46358</v>
      </c>
      <c r="B94" s="567" t="s">
        <v>1078</v>
      </c>
      <c r="C94" s="543" t="s">
        <v>1086</v>
      </c>
      <c r="D94" s="544" t="s">
        <v>1061</v>
      </c>
      <c r="E94" s="544" t="s">
        <v>1111</v>
      </c>
      <c r="F94" s="544" t="s">
        <v>596</v>
      </c>
      <c r="G94" s="544" t="s">
        <v>137</v>
      </c>
      <c r="H94" s="544">
        <v>100</v>
      </c>
      <c r="I94" s="544"/>
      <c r="J94" s="555">
        <v>75</v>
      </c>
      <c r="K94" s="544">
        <v>0</v>
      </c>
      <c r="L94" s="556">
        <v>0.38</v>
      </c>
      <c r="M94" s="557">
        <v>0.54</v>
      </c>
      <c r="N94" s="544">
        <v>0.46</v>
      </c>
      <c r="O94" s="544">
        <v>0.46</v>
      </c>
      <c r="P94" s="554"/>
      <c r="Q94" s="549" t="s">
        <v>600</v>
      </c>
    </row>
    <row r="95" spans="1:17">
      <c r="A95" s="541">
        <v>46358</v>
      </c>
      <c r="B95" s="567" t="s">
        <v>1077</v>
      </c>
      <c r="C95" s="543" t="s">
        <v>1087</v>
      </c>
      <c r="D95" s="544" t="s">
        <v>1061</v>
      </c>
      <c r="E95" s="544" t="s">
        <v>1111</v>
      </c>
      <c r="F95" s="544" t="s">
        <v>596</v>
      </c>
      <c r="G95" s="544" t="s">
        <v>137</v>
      </c>
      <c r="H95" s="544">
        <v>95</v>
      </c>
      <c r="I95" s="544"/>
      <c r="J95" s="555">
        <v>75</v>
      </c>
      <c r="K95" s="544">
        <v>0</v>
      </c>
      <c r="L95" s="556">
        <v>0.57999999999999996</v>
      </c>
      <c r="M95" s="557">
        <v>0.87</v>
      </c>
      <c r="N95" s="544">
        <v>0.72499999999999998</v>
      </c>
      <c r="O95" s="544">
        <v>0.72499999999999998</v>
      </c>
      <c r="P95" s="554"/>
      <c r="Q95" s="549" t="s">
        <v>600</v>
      </c>
    </row>
    <row r="96" spans="1:17">
      <c r="A96" s="541">
        <v>46358</v>
      </c>
      <c r="B96" s="567" t="s">
        <v>1070</v>
      </c>
      <c r="C96" s="543" t="s">
        <v>1088</v>
      </c>
      <c r="D96" s="544" t="s">
        <v>940</v>
      </c>
      <c r="E96" s="544" t="s">
        <v>1105</v>
      </c>
      <c r="F96" s="544" t="s">
        <v>596</v>
      </c>
      <c r="G96" s="544" t="s">
        <v>137</v>
      </c>
      <c r="H96" s="544">
        <v>220</v>
      </c>
      <c r="I96" s="544"/>
      <c r="J96" s="555">
        <v>186.94</v>
      </c>
      <c r="K96" s="544">
        <v>0</v>
      </c>
      <c r="L96" s="556">
        <v>2.0299999999999998</v>
      </c>
      <c r="M96" s="557">
        <v>2.0699999999999998</v>
      </c>
      <c r="N96" s="544">
        <v>2.0499999999999998</v>
      </c>
      <c r="O96" s="544">
        <v>2.0499999999999998</v>
      </c>
      <c r="P96" s="554"/>
      <c r="Q96" s="549" t="s">
        <v>600</v>
      </c>
    </row>
    <row r="97" spans="1:17">
      <c r="A97" s="541">
        <v>46358</v>
      </c>
      <c r="B97" s="567" t="s">
        <v>1066</v>
      </c>
      <c r="C97" s="543" t="s">
        <v>1089</v>
      </c>
      <c r="D97" s="544" t="s">
        <v>616</v>
      </c>
      <c r="E97" s="544" t="s">
        <v>1112</v>
      </c>
      <c r="F97" s="544" t="s">
        <v>591</v>
      </c>
      <c r="G97" s="544" t="s">
        <v>137</v>
      </c>
      <c r="H97" s="544">
        <v>605</v>
      </c>
      <c r="I97" s="544"/>
      <c r="J97" s="555">
        <v>600.64</v>
      </c>
      <c r="K97" s="544">
        <v>4.3600000000000003</v>
      </c>
      <c r="L97" s="556">
        <v>5.4</v>
      </c>
      <c r="M97" s="557">
        <v>5.47</v>
      </c>
      <c r="N97" s="544">
        <v>5.4349999999999996</v>
      </c>
      <c r="O97" s="544">
        <v>5.4349999999999996</v>
      </c>
      <c r="P97" s="554"/>
      <c r="Q97" s="549" t="s">
        <v>600</v>
      </c>
    </row>
    <row r="98" spans="1:17">
      <c r="A98" s="541">
        <v>46358</v>
      </c>
      <c r="B98" s="567" t="s">
        <v>1096</v>
      </c>
      <c r="C98" s="543" t="s">
        <v>1115</v>
      </c>
      <c r="D98" s="544" t="s">
        <v>616</v>
      </c>
      <c r="E98" s="544" t="s">
        <v>1109</v>
      </c>
      <c r="F98" s="544" t="s">
        <v>591</v>
      </c>
      <c r="G98" s="544" t="s">
        <v>137</v>
      </c>
      <c r="H98" s="544">
        <v>600</v>
      </c>
      <c r="I98" s="544"/>
      <c r="J98" s="555">
        <v>600.64</v>
      </c>
      <c r="K98" s="544">
        <v>0</v>
      </c>
      <c r="L98" s="556">
        <v>7.86</v>
      </c>
      <c r="M98" s="557">
        <v>7.93</v>
      </c>
      <c r="N98" s="544">
        <v>7.8949999999999996</v>
      </c>
      <c r="O98" s="544">
        <v>7.8949999999999996</v>
      </c>
      <c r="P98" s="554"/>
      <c r="Q98" s="549" t="s">
        <v>600</v>
      </c>
    </row>
    <row r="99" spans="1:17">
      <c r="A99" s="541">
        <v>46358</v>
      </c>
      <c r="B99" s="567" t="s">
        <v>1095</v>
      </c>
      <c r="C99" s="543" t="s">
        <v>1116</v>
      </c>
      <c r="D99" s="544" t="s">
        <v>616</v>
      </c>
      <c r="E99" s="544" t="s">
        <v>1114</v>
      </c>
      <c r="F99" s="544" t="s">
        <v>591</v>
      </c>
      <c r="G99" s="544" t="s">
        <v>137</v>
      </c>
      <c r="H99" s="544">
        <v>590</v>
      </c>
      <c r="I99" s="544"/>
      <c r="J99" s="555">
        <v>600.64</v>
      </c>
      <c r="K99" s="544">
        <v>0</v>
      </c>
      <c r="L99" s="556">
        <v>8.11</v>
      </c>
      <c r="M99" s="557">
        <v>8.18</v>
      </c>
      <c r="N99" s="544">
        <v>8.1449999999999996</v>
      </c>
      <c r="O99" s="544">
        <v>8.1449999999999996</v>
      </c>
      <c r="P99" s="554"/>
      <c r="Q99" s="549" t="s">
        <v>600</v>
      </c>
    </row>
    <row r="100" spans="1:17">
      <c r="A100" s="541">
        <v>46358</v>
      </c>
      <c r="B100" s="567" t="s">
        <v>1097</v>
      </c>
      <c r="C100" s="543" t="s">
        <v>1117</v>
      </c>
      <c r="D100" s="544" t="s">
        <v>616</v>
      </c>
      <c r="E100" s="544" t="s">
        <v>1114</v>
      </c>
      <c r="F100" s="544" t="s">
        <v>591</v>
      </c>
      <c r="G100" s="544" t="s">
        <v>137</v>
      </c>
      <c r="H100" s="544">
        <v>580</v>
      </c>
      <c r="I100" s="544"/>
      <c r="J100" s="555">
        <v>600.64</v>
      </c>
      <c r="K100" s="544">
        <v>0</v>
      </c>
      <c r="L100" s="556">
        <v>5.76</v>
      </c>
      <c r="M100" s="557">
        <v>5.83</v>
      </c>
      <c r="N100" s="544">
        <v>5.7949999999999999</v>
      </c>
      <c r="O100" s="544">
        <v>5.7949999999999999</v>
      </c>
      <c r="P100" s="554"/>
      <c r="Q100" s="549" t="s">
        <v>600</v>
      </c>
    </row>
    <row r="101" spans="1:17">
      <c r="A101" s="541">
        <v>46358</v>
      </c>
      <c r="B101" s="567" t="s">
        <v>1104</v>
      </c>
      <c r="C101" s="543" t="s">
        <v>1118</v>
      </c>
      <c r="D101" s="544" t="s">
        <v>616</v>
      </c>
      <c r="E101" s="568">
        <v>46358</v>
      </c>
      <c r="F101" s="544" t="s">
        <v>591</v>
      </c>
      <c r="G101" s="544" t="s">
        <v>137</v>
      </c>
      <c r="H101" s="544">
        <v>598</v>
      </c>
      <c r="I101" s="544"/>
      <c r="J101" s="555">
        <v>600.64</v>
      </c>
      <c r="K101" s="544">
        <v>0</v>
      </c>
      <c r="L101" s="556">
        <v>0.01</v>
      </c>
      <c r="M101" s="557">
        <v>0.02</v>
      </c>
      <c r="N101" s="544">
        <v>1.4999999999999999E-2</v>
      </c>
      <c r="O101" s="544">
        <v>0</v>
      </c>
      <c r="P101" s="554"/>
      <c r="Q101" s="549" t="s">
        <v>600</v>
      </c>
    </row>
    <row r="102" spans="1:17">
      <c r="A102" s="541">
        <v>46358</v>
      </c>
      <c r="B102" s="567" t="s">
        <v>1103</v>
      </c>
      <c r="C102" s="543" t="s">
        <v>1119</v>
      </c>
      <c r="D102" s="544" t="s">
        <v>616</v>
      </c>
      <c r="E102" s="568">
        <v>46358</v>
      </c>
      <c r="F102" s="544" t="s">
        <v>591</v>
      </c>
      <c r="G102" s="544" t="s">
        <v>137</v>
      </c>
      <c r="H102" s="544">
        <v>599</v>
      </c>
      <c r="I102" s="544"/>
      <c r="J102" s="555">
        <v>600.64</v>
      </c>
      <c r="K102" s="544">
        <v>0</v>
      </c>
      <c r="L102" s="556">
        <v>0.01</v>
      </c>
      <c r="M102" s="557">
        <v>0.02</v>
      </c>
      <c r="N102" s="544">
        <v>1.4999999999999999E-2</v>
      </c>
      <c r="O102" s="544">
        <v>0</v>
      </c>
      <c r="P102" s="554"/>
      <c r="Q102" s="549" t="s">
        <v>600</v>
      </c>
    </row>
    <row r="103" spans="1:17">
      <c r="A103" s="541">
        <v>46358</v>
      </c>
      <c r="B103" s="554" t="s">
        <v>706</v>
      </c>
      <c r="C103" s="543" t="s">
        <v>706</v>
      </c>
      <c r="D103" s="544" t="s">
        <v>617</v>
      </c>
      <c r="E103" s="544" t="s">
        <v>1109</v>
      </c>
      <c r="F103" s="544" t="s">
        <v>596</v>
      </c>
      <c r="G103" s="544" t="s">
        <v>137</v>
      </c>
      <c r="H103" s="544">
        <v>27.57</v>
      </c>
      <c r="I103" s="544" t="s">
        <v>592</v>
      </c>
      <c r="J103" s="555">
        <v>0.01</v>
      </c>
      <c r="K103" s="544">
        <v>0</v>
      </c>
      <c r="L103" s="569">
        <v>0</v>
      </c>
      <c r="M103" s="570">
        <v>0</v>
      </c>
      <c r="N103" s="544">
        <v>0</v>
      </c>
      <c r="O103" s="571">
        <v>1.9208599999999998E-8</v>
      </c>
      <c r="P103" s="554">
        <v>18.386726209999999</v>
      </c>
      <c r="Q103" s="549" t="s">
        <v>618</v>
      </c>
    </row>
    <row r="104" spans="1:17">
      <c r="A104" s="541">
        <v>46358</v>
      </c>
      <c r="B104" s="554" t="s">
        <v>707</v>
      </c>
      <c r="C104" s="543" t="s">
        <v>707</v>
      </c>
      <c r="D104" s="544" t="s">
        <v>617</v>
      </c>
      <c r="E104" s="544" t="s">
        <v>1109</v>
      </c>
      <c r="F104" s="544" t="s">
        <v>591</v>
      </c>
      <c r="G104" s="544" t="s">
        <v>137</v>
      </c>
      <c r="H104" s="544">
        <v>21.57</v>
      </c>
      <c r="I104" s="544" t="s">
        <v>592</v>
      </c>
      <c r="J104" s="555">
        <v>0.12</v>
      </c>
      <c r="K104" s="544">
        <v>21.45</v>
      </c>
      <c r="L104" s="569">
        <v>0</v>
      </c>
      <c r="M104" s="570">
        <v>0</v>
      </c>
      <c r="N104" s="544">
        <v>0</v>
      </c>
      <c r="O104" s="544">
        <v>4.5278548000000002E-2</v>
      </c>
      <c r="P104" s="554">
        <v>29.861072020000002</v>
      </c>
      <c r="Q104" s="549" t="s">
        <v>618</v>
      </c>
    </row>
    <row r="105" spans="1:17">
      <c r="A105" s="541">
        <v>46358</v>
      </c>
      <c r="B105" s="554" t="s">
        <v>708</v>
      </c>
      <c r="C105" s="543" t="s">
        <v>708</v>
      </c>
      <c r="D105" s="544" t="s">
        <v>617</v>
      </c>
      <c r="E105" s="544" t="s">
        <v>1109</v>
      </c>
      <c r="F105" s="544" t="s">
        <v>591</v>
      </c>
      <c r="G105" s="544" t="s">
        <v>137</v>
      </c>
      <c r="H105" s="544">
        <v>24.07</v>
      </c>
      <c r="I105" s="544" t="s">
        <v>592</v>
      </c>
      <c r="J105" s="555">
        <v>1.45</v>
      </c>
      <c r="K105" s="544">
        <v>22.62</v>
      </c>
      <c r="L105" s="569">
        <v>0</v>
      </c>
      <c r="M105" s="570">
        <v>0</v>
      </c>
      <c r="N105" s="544">
        <v>0</v>
      </c>
      <c r="O105" s="544">
        <v>0.447360219</v>
      </c>
      <c r="P105" s="554">
        <v>22.309914150000001</v>
      </c>
      <c r="Q105" s="549" t="s">
        <v>618</v>
      </c>
    </row>
    <row r="106" spans="1:17">
      <c r="A106" s="541">
        <v>46358</v>
      </c>
      <c r="B106" s="554" t="s">
        <v>709</v>
      </c>
      <c r="C106" s="543" t="s">
        <v>709</v>
      </c>
      <c r="D106" s="544" t="s">
        <v>617</v>
      </c>
      <c r="E106" s="544" t="s">
        <v>1109</v>
      </c>
      <c r="F106" s="544" t="s">
        <v>596</v>
      </c>
      <c r="G106" s="544" t="s">
        <v>137</v>
      </c>
      <c r="H106" s="544">
        <v>28.32</v>
      </c>
      <c r="I106" s="544" t="s">
        <v>592</v>
      </c>
      <c r="J106" s="555">
        <v>0.04</v>
      </c>
      <c r="K106" s="544">
        <v>0</v>
      </c>
      <c r="L106" s="569">
        <v>0</v>
      </c>
      <c r="M106" s="570">
        <v>0</v>
      </c>
      <c r="N106" s="544">
        <v>0</v>
      </c>
      <c r="O106" s="571">
        <v>1.9208599999999998E-8</v>
      </c>
      <c r="P106" s="554">
        <v>17.97434226</v>
      </c>
      <c r="Q106" s="549" t="s">
        <v>618</v>
      </c>
    </row>
    <row r="107" spans="1:17">
      <c r="A107" s="541">
        <v>46358</v>
      </c>
      <c r="B107" s="554" t="s">
        <v>710</v>
      </c>
      <c r="C107" s="543" t="s">
        <v>710</v>
      </c>
      <c r="D107" s="544" t="s">
        <v>617</v>
      </c>
      <c r="E107" s="544" t="s">
        <v>1109</v>
      </c>
      <c r="F107" s="544" t="s">
        <v>591</v>
      </c>
      <c r="G107" s="544" t="s">
        <v>137</v>
      </c>
      <c r="H107" s="544">
        <v>23.82</v>
      </c>
      <c r="I107" s="544" t="s">
        <v>592</v>
      </c>
      <c r="J107" s="555">
        <v>1.47</v>
      </c>
      <c r="K107" s="544">
        <v>22.35</v>
      </c>
      <c r="L107" s="569">
        <v>0</v>
      </c>
      <c r="M107" s="570">
        <v>0</v>
      </c>
      <c r="N107" s="544">
        <v>0</v>
      </c>
      <c r="O107" s="544">
        <v>0.39945713300000002</v>
      </c>
      <c r="P107" s="554">
        <v>22.826118650000002</v>
      </c>
      <c r="Q107" s="549" t="s">
        <v>618</v>
      </c>
    </row>
    <row r="108" spans="1:17">
      <c r="A108" s="541">
        <v>46358</v>
      </c>
      <c r="B108" s="554" t="s">
        <v>711</v>
      </c>
      <c r="C108" s="543" t="s">
        <v>711</v>
      </c>
      <c r="D108" s="544" t="s">
        <v>617</v>
      </c>
      <c r="E108" s="544" t="s">
        <v>1109</v>
      </c>
      <c r="F108" s="544" t="s">
        <v>591</v>
      </c>
      <c r="G108" s="544" t="s">
        <v>137</v>
      </c>
      <c r="H108" s="544">
        <v>26.32</v>
      </c>
      <c r="I108" s="544" t="s">
        <v>592</v>
      </c>
      <c r="J108" s="555">
        <v>2.61</v>
      </c>
      <c r="K108" s="544">
        <v>23.71</v>
      </c>
      <c r="L108" s="569">
        <v>0</v>
      </c>
      <c r="M108" s="570">
        <v>0</v>
      </c>
      <c r="N108" s="544">
        <v>0</v>
      </c>
      <c r="O108" s="544">
        <v>0.87859941100000005</v>
      </c>
      <c r="P108" s="554">
        <v>19.302404209999999</v>
      </c>
      <c r="Q108" s="549" t="s">
        <v>618</v>
      </c>
    </row>
    <row r="109" spans="1:17">
      <c r="A109" s="541">
        <v>46358</v>
      </c>
      <c r="B109" s="554" t="s">
        <v>720</v>
      </c>
      <c r="C109" s="543" t="s">
        <v>720</v>
      </c>
      <c r="D109" s="544" t="s">
        <v>721</v>
      </c>
      <c r="E109" s="544" t="s">
        <v>1109</v>
      </c>
      <c r="F109" s="544" t="s">
        <v>591</v>
      </c>
      <c r="G109" s="544" t="s">
        <v>137</v>
      </c>
      <c r="H109" s="544">
        <v>19</v>
      </c>
      <c r="I109" s="544" t="s">
        <v>592</v>
      </c>
      <c r="J109" s="555">
        <v>0.22</v>
      </c>
      <c r="K109" s="544">
        <v>18.78</v>
      </c>
      <c r="L109" s="569">
        <v>0</v>
      </c>
      <c r="M109" s="570">
        <v>0</v>
      </c>
      <c r="N109" s="544">
        <v>0</v>
      </c>
      <c r="O109" s="544">
        <v>3.8725859000000001E-2</v>
      </c>
      <c r="P109" s="554">
        <v>54.303657989999998</v>
      </c>
      <c r="Q109" s="549" t="s">
        <v>618</v>
      </c>
    </row>
    <row r="110" spans="1:17">
      <c r="A110" s="541">
        <v>46358</v>
      </c>
      <c r="B110" s="554" t="s">
        <v>722</v>
      </c>
      <c r="C110" s="543" t="s">
        <v>722</v>
      </c>
      <c r="D110" s="544" t="s">
        <v>721</v>
      </c>
      <c r="E110" s="544" t="s">
        <v>1109</v>
      </c>
      <c r="F110" s="544" t="s">
        <v>591</v>
      </c>
      <c r="G110" s="544" t="s">
        <v>137</v>
      </c>
      <c r="H110" s="544">
        <v>20.5</v>
      </c>
      <c r="I110" s="544" t="s">
        <v>592</v>
      </c>
      <c r="J110" s="555">
        <v>0.75</v>
      </c>
      <c r="K110" s="544">
        <v>19.75</v>
      </c>
      <c r="L110" s="569">
        <v>0</v>
      </c>
      <c r="M110" s="570">
        <v>0</v>
      </c>
      <c r="N110" s="544">
        <v>0</v>
      </c>
      <c r="O110" s="544">
        <v>0.16506319899999999</v>
      </c>
      <c r="P110" s="554">
        <v>48.454764470000001</v>
      </c>
      <c r="Q110" s="549" t="s">
        <v>618</v>
      </c>
    </row>
    <row r="111" spans="1:17">
      <c r="A111" s="541">
        <v>46358</v>
      </c>
      <c r="B111" s="554" t="s">
        <v>739</v>
      </c>
      <c r="C111" s="543" t="s">
        <v>739</v>
      </c>
      <c r="D111" s="544" t="s">
        <v>619</v>
      </c>
      <c r="E111" s="544" t="s">
        <v>1109</v>
      </c>
      <c r="F111" s="544" t="s">
        <v>591</v>
      </c>
      <c r="G111" s="544" t="s">
        <v>137</v>
      </c>
      <c r="H111" s="544">
        <v>12.11</v>
      </c>
      <c r="I111" s="544" t="s">
        <v>592</v>
      </c>
      <c r="J111" s="555">
        <v>0.01</v>
      </c>
      <c r="K111" s="544">
        <v>12.1</v>
      </c>
      <c r="L111" s="569">
        <v>0</v>
      </c>
      <c r="M111" s="570">
        <v>0</v>
      </c>
      <c r="N111" s="544">
        <v>0</v>
      </c>
      <c r="O111" s="571">
        <v>2.14026E-12</v>
      </c>
      <c r="P111" s="554">
        <v>46.226210899999998</v>
      </c>
      <c r="Q111" s="549" t="s">
        <v>618</v>
      </c>
    </row>
    <row r="112" spans="1:17">
      <c r="A112" s="541">
        <v>46358</v>
      </c>
      <c r="B112" s="554" t="s">
        <v>740</v>
      </c>
      <c r="C112" s="543" t="s">
        <v>740</v>
      </c>
      <c r="D112" s="544" t="s">
        <v>619</v>
      </c>
      <c r="E112" s="544" t="s">
        <v>1109</v>
      </c>
      <c r="F112" s="544" t="s">
        <v>591</v>
      </c>
      <c r="G112" s="544" t="s">
        <v>137</v>
      </c>
      <c r="H112" s="544">
        <v>13.36</v>
      </c>
      <c r="I112" s="544" t="s">
        <v>592</v>
      </c>
      <c r="J112" s="555">
        <v>0.01</v>
      </c>
      <c r="K112" s="544">
        <v>13.35</v>
      </c>
      <c r="L112" s="569">
        <v>0</v>
      </c>
      <c r="M112" s="570">
        <v>0</v>
      </c>
      <c r="N112" s="544">
        <v>0</v>
      </c>
      <c r="O112" s="571">
        <v>4.4333800000000001E-8</v>
      </c>
      <c r="P112" s="554">
        <v>45.303777820000001</v>
      </c>
      <c r="Q112" s="549" t="s">
        <v>618</v>
      </c>
    </row>
    <row r="113" spans="1:17">
      <c r="A113" s="541">
        <v>46358</v>
      </c>
      <c r="B113" s="554" t="s">
        <v>780</v>
      </c>
      <c r="C113" s="543" t="s">
        <v>780</v>
      </c>
      <c r="D113" s="544" t="s">
        <v>781</v>
      </c>
      <c r="E113" s="544" t="s">
        <v>1109</v>
      </c>
      <c r="F113" s="544" t="s">
        <v>596</v>
      </c>
      <c r="G113" s="544" t="s">
        <v>137</v>
      </c>
      <c r="H113" s="544">
        <v>57.32</v>
      </c>
      <c r="I113" s="544" t="s">
        <v>592</v>
      </c>
      <c r="J113" s="555">
        <v>1.91</v>
      </c>
      <c r="K113" s="544">
        <v>0</v>
      </c>
      <c r="L113" s="569">
        <v>0</v>
      </c>
      <c r="M113" s="570">
        <v>0</v>
      </c>
      <c r="N113" s="544">
        <v>0</v>
      </c>
      <c r="O113" s="544">
        <v>0.37640278700000002</v>
      </c>
      <c r="P113" s="554">
        <v>37.682912420000001</v>
      </c>
      <c r="Q113" s="549" t="s">
        <v>618</v>
      </c>
    </row>
    <row r="114" spans="1:17">
      <c r="A114" s="541">
        <v>46358</v>
      </c>
      <c r="B114" s="554" t="s">
        <v>782</v>
      </c>
      <c r="C114" s="543" t="s">
        <v>782</v>
      </c>
      <c r="D114" s="544" t="s">
        <v>781</v>
      </c>
      <c r="E114" s="544" t="s">
        <v>1109</v>
      </c>
      <c r="F114" s="544" t="s">
        <v>591</v>
      </c>
      <c r="G114" s="544" t="s">
        <v>137</v>
      </c>
      <c r="H114" s="544">
        <v>47.82</v>
      </c>
      <c r="I114" s="544" t="s">
        <v>592</v>
      </c>
      <c r="J114" s="555">
        <v>0.05</v>
      </c>
      <c r="K114" s="544">
        <v>47.77</v>
      </c>
      <c r="L114" s="569">
        <v>0</v>
      </c>
      <c r="M114" s="570">
        <v>0</v>
      </c>
      <c r="N114" s="544">
        <v>0</v>
      </c>
      <c r="O114" s="544">
        <v>8.7222500000000002E-4</v>
      </c>
      <c r="P114" s="554">
        <v>61.081688960000001</v>
      </c>
      <c r="Q114" s="549" t="s">
        <v>618</v>
      </c>
    </row>
    <row r="115" spans="1:17">
      <c r="A115" s="541">
        <v>46358</v>
      </c>
      <c r="B115" s="554" t="s">
        <v>783</v>
      </c>
      <c r="C115" s="543" t="s">
        <v>783</v>
      </c>
      <c r="D115" s="544" t="s">
        <v>781</v>
      </c>
      <c r="E115" s="544" t="s">
        <v>1109</v>
      </c>
      <c r="F115" s="544" t="s">
        <v>591</v>
      </c>
      <c r="G115" s="544" t="s">
        <v>137</v>
      </c>
      <c r="H115" s="544">
        <v>51.82</v>
      </c>
      <c r="I115" s="544" t="s">
        <v>592</v>
      </c>
      <c r="J115" s="555">
        <v>0.02</v>
      </c>
      <c r="K115" s="544">
        <v>51.8</v>
      </c>
      <c r="L115" s="569">
        <v>0</v>
      </c>
      <c r="M115" s="570">
        <v>0</v>
      </c>
      <c r="N115" s="544">
        <v>0</v>
      </c>
      <c r="O115" s="544">
        <v>7.3349799999999996E-3</v>
      </c>
      <c r="P115" s="554">
        <v>52.16111944</v>
      </c>
      <c r="Q115" s="549" t="s">
        <v>618</v>
      </c>
    </row>
    <row r="116" spans="1:17">
      <c r="A116" s="541">
        <v>46358</v>
      </c>
      <c r="B116" s="554" t="s">
        <v>788</v>
      </c>
      <c r="C116" s="543" t="s">
        <v>788</v>
      </c>
      <c r="D116" s="544" t="s">
        <v>749</v>
      </c>
      <c r="E116" s="544" t="s">
        <v>1109</v>
      </c>
      <c r="F116" s="544" t="s">
        <v>591</v>
      </c>
      <c r="G116" s="544" t="s">
        <v>137</v>
      </c>
      <c r="H116" s="544">
        <v>43</v>
      </c>
      <c r="I116" s="544" t="s">
        <v>592</v>
      </c>
      <c r="J116" s="555">
        <v>0.1</v>
      </c>
      <c r="K116" s="544">
        <v>42.9</v>
      </c>
      <c r="L116" s="569">
        <v>0</v>
      </c>
      <c r="M116" s="570">
        <v>0</v>
      </c>
      <c r="N116" s="544">
        <v>0</v>
      </c>
      <c r="O116" s="571">
        <v>1.10079E-12</v>
      </c>
      <c r="P116" s="554">
        <v>37.897426670000002</v>
      </c>
      <c r="Q116" s="549" t="s">
        <v>618</v>
      </c>
    </row>
    <row r="117" spans="1:17">
      <c r="A117" s="541">
        <v>46358</v>
      </c>
      <c r="B117" s="554" t="s">
        <v>789</v>
      </c>
      <c r="C117" s="543" t="s">
        <v>789</v>
      </c>
      <c r="D117" s="544" t="s">
        <v>749</v>
      </c>
      <c r="E117" s="544" t="s">
        <v>1109</v>
      </c>
      <c r="F117" s="544" t="s">
        <v>591</v>
      </c>
      <c r="G117" s="544" t="s">
        <v>137</v>
      </c>
      <c r="H117" s="544">
        <v>48</v>
      </c>
      <c r="I117" s="544" t="s">
        <v>592</v>
      </c>
      <c r="J117" s="555">
        <v>0.02</v>
      </c>
      <c r="K117" s="544">
        <v>47.98</v>
      </c>
      <c r="L117" s="569">
        <v>0</v>
      </c>
      <c r="M117" s="570">
        <v>0</v>
      </c>
      <c r="N117" s="544">
        <v>0</v>
      </c>
      <c r="O117" s="571">
        <v>2.7417399999999998E-7</v>
      </c>
      <c r="P117" s="554">
        <v>36.185729449999997</v>
      </c>
      <c r="Q117" s="549" t="s">
        <v>618</v>
      </c>
    </row>
    <row r="118" spans="1:17">
      <c r="A118" s="541">
        <v>46358</v>
      </c>
      <c r="B118" s="542" t="s">
        <v>794</v>
      </c>
      <c r="C118" s="542" t="s">
        <v>794</v>
      </c>
      <c r="D118" s="544" t="s">
        <v>795</v>
      </c>
      <c r="E118" s="544" t="s">
        <v>1109</v>
      </c>
      <c r="F118" s="544" t="s">
        <v>591</v>
      </c>
      <c r="G118" s="544" t="s">
        <v>137</v>
      </c>
      <c r="H118" s="544">
        <v>50.38</v>
      </c>
      <c r="I118" s="544" t="s">
        <v>592</v>
      </c>
      <c r="J118" s="555">
        <v>0.01</v>
      </c>
      <c r="K118" s="544">
        <v>50.37</v>
      </c>
      <c r="L118" s="569">
        <v>0</v>
      </c>
      <c r="M118" s="570">
        <v>0</v>
      </c>
      <c r="N118" s="544">
        <v>0</v>
      </c>
      <c r="O118" s="544">
        <v>2.781337E-3</v>
      </c>
      <c r="P118" s="554">
        <v>51.736451940000002</v>
      </c>
      <c r="Q118" s="549" t="s">
        <v>618</v>
      </c>
    </row>
    <row r="119" spans="1:17">
      <c r="A119" s="541">
        <v>46358</v>
      </c>
      <c r="B119" s="542" t="s">
        <v>801</v>
      </c>
      <c r="C119" s="542" t="s">
        <v>801</v>
      </c>
      <c r="D119" s="544" t="s">
        <v>619</v>
      </c>
      <c r="E119" s="544" t="s">
        <v>1109</v>
      </c>
      <c r="F119" s="544" t="s">
        <v>591</v>
      </c>
      <c r="G119" s="544" t="s">
        <v>137</v>
      </c>
      <c r="H119" s="544">
        <v>11.42</v>
      </c>
      <c r="I119" s="544" t="s">
        <v>592</v>
      </c>
      <c r="J119" s="555">
        <v>0.01</v>
      </c>
      <c r="K119" s="544">
        <v>11.41</v>
      </c>
      <c r="L119" s="569">
        <v>0</v>
      </c>
      <c r="M119" s="570">
        <v>0</v>
      </c>
      <c r="N119" s="544">
        <v>0</v>
      </c>
      <c r="O119" s="571">
        <v>2.14026E-12</v>
      </c>
      <c r="P119" s="554">
        <v>46.226210899999998</v>
      </c>
      <c r="Q119" s="549" t="s">
        <v>618</v>
      </c>
    </row>
    <row r="120" spans="1:17">
      <c r="A120" s="541">
        <v>46358</v>
      </c>
      <c r="B120" s="542" t="s">
        <v>802</v>
      </c>
      <c r="C120" s="542" t="s">
        <v>802</v>
      </c>
      <c r="D120" s="544" t="s">
        <v>619</v>
      </c>
      <c r="E120" s="544" t="s">
        <v>1109</v>
      </c>
      <c r="F120" s="544" t="s">
        <v>591</v>
      </c>
      <c r="G120" s="544" t="s">
        <v>137</v>
      </c>
      <c r="H120" s="544">
        <v>12.67</v>
      </c>
      <c r="I120" s="544" t="s">
        <v>592</v>
      </c>
      <c r="J120" s="555">
        <v>0.01</v>
      </c>
      <c r="K120" s="544">
        <v>12.66</v>
      </c>
      <c r="L120" s="569">
        <v>0</v>
      </c>
      <c r="M120" s="570">
        <v>0</v>
      </c>
      <c r="N120" s="544">
        <v>0</v>
      </c>
      <c r="O120" s="571">
        <v>4.4333800000000001E-8</v>
      </c>
      <c r="P120" s="554">
        <v>45.303777820000001</v>
      </c>
      <c r="Q120" s="549" t="s">
        <v>618</v>
      </c>
    </row>
    <row r="121" spans="1:17">
      <c r="A121" s="541">
        <v>46358</v>
      </c>
      <c r="B121" s="542" t="s">
        <v>803</v>
      </c>
      <c r="C121" s="542" t="s">
        <v>803</v>
      </c>
      <c r="D121" s="544" t="s">
        <v>619</v>
      </c>
      <c r="E121" s="544" t="s">
        <v>1109</v>
      </c>
      <c r="F121" s="544" t="s">
        <v>591</v>
      </c>
      <c r="G121" s="544" t="s">
        <v>137</v>
      </c>
      <c r="H121" s="544">
        <v>13.67</v>
      </c>
      <c r="I121" s="544" t="s">
        <v>592</v>
      </c>
      <c r="J121" s="555">
        <v>0.01</v>
      </c>
      <c r="K121" s="544">
        <v>13.66</v>
      </c>
      <c r="L121" s="569">
        <v>0</v>
      </c>
      <c r="M121" s="570">
        <v>0</v>
      </c>
      <c r="N121" s="544">
        <v>0</v>
      </c>
      <c r="O121" s="571">
        <v>1.17535E-5</v>
      </c>
      <c r="P121" s="554">
        <v>44.105154429999999</v>
      </c>
      <c r="Q121" s="549" t="s">
        <v>618</v>
      </c>
    </row>
    <row r="122" spans="1:17">
      <c r="A122" s="541">
        <v>46358</v>
      </c>
      <c r="B122" s="542" t="s">
        <v>804</v>
      </c>
      <c r="C122" s="542" t="s">
        <v>804</v>
      </c>
      <c r="D122" s="544" t="s">
        <v>805</v>
      </c>
      <c r="E122" s="544" t="s">
        <v>1109</v>
      </c>
      <c r="F122" s="544" t="s">
        <v>591</v>
      </c>
      <c r="G122" s="544" t="s">
        <v>137</v>
      </c>
      <c r="H122" s="544">
        <v>12.04</v>
      </c>
      <c r="I122" s="544" t="s">
        <v>592</v>
      </c>
      <c r="J122" s="555">
        <v>0.01</v>
      </c>
      <c r="K122" s="544">
        <v>12.03</v>
      </c>
      <c r="L122" s="569">
        <v>0</v>
      </c>
      <c r="M122" s="570">
        <v>0</v>
      </c>
      <c r="N122" s="544">
        <v>0</v>
      </c>
      <c r="O122" s="571">
        <v>3.87654E-5</v>
      </c>
      <c r="P122" s="554">
        <v>57.121747409999998</v>
      </c>
      <c r="Q122" s="549" t="s">
        <v>618</v>
      </c>
    </row>
    <row r="123" spans="1:17">
      <c r="A123" s="541">
        <v>46358</v>
      </c>
      <c r="B123" s="542" t="s">
        <v>806</v>
      </c>
      <c r="C123" s="542" t="s">
        <v>806</v>
      </c>
      <c r="D123" s="544" t="s">
        <v>805</v>
      </c>
      <c r="E123" s="544" t="s">
        <v>1109</v>
      </c>
      <c r="F123" s="544" t="s">
        <v>591</v>
      </c>
      <c r="G123" s="544" t="s">
        <v>137</v>
      </c>
      <c r="H123" s="544">
        <v>13.04</v>
      </c>
      <c r="I123" s="544" t="s">
        <v>592</v>
      </c>
      <c r="J123" s="555">
        <v>0.01</v>
      </c>
      <c r="K123" s="544">
        <v>13.03</v>
      </c>
      <c r="L123" s="569">
        <v>0</v>
      </c>
      <c r="M123" s="570">
        <v>0</v>
      </c>
      <c r="N123" s="544">
        <v>0</v>
      </c>
      <c r="O123" s="544">
        <v>1.0462659999999999E-3</v>
      </c>
      <c r="P123" s="554">
        <v>54.734998019999999</v>
      </c>
      <c r="Q123" s="549" t="s">
        <v>618</v>
      </c>
    </row>
    <row r="124" spans="1:17">
      <c r="A124" s="541">
        <v>46358</v>
      </c>
      <c r="B124" s="543" t="s">
        <v>810</v>
      </c>
      <c r="C124" s="543" t="s">
        <v>810</v>
      </c>
      <c r="D124" s="544" t="s">
        <v>749</v>
      </c>
      <c r="E124" s="544" t="s">
        <v>1109</v>
      </c>
      <c r="F124" s="544" t="s">
        <v>596</v>
      </c>
      <c r="G124" s="544" t="s">
        <v>137</v>
      </c>
      <c r="H124" s="544">
        <v>54.5</v>
      </c>
      <c r="I124" s="544" t="s">
        <v>592</v>
      </c>
      <c r="J124" s="555">
        <v>4.59</v>
      </c>
      <c r="K124" s="544">
        <v>0</v>
      </c>
      <c r="L124" s="569">
        <v>0</v>
      </c>
      <c r="M124" s="570">
        <v>0</v>
      </c>
      <c r="N124" s="544">
        <v>0</v>
      </c>
      <c r="O124" s="544">
        <v>0.86984758399999995</v>
      </c>
      <c r="P124" s="554">
        <v>31.513061520000001</v>
      </c>
      <c r="Q124" s="549" t="s">
        <v>618</v>
      </c>
    </row>
    <row r="125" spans="1:17">
      <c r="A125" s="541">
        <v>46358</v>
      </c>
      <c r="B125" s="543" t="s">
        <v>811</v>
      </c>
      <c r="C125" s="543" t="s">
        <v>811</v>
      </c>
      <c r="D125" s="544" t="s">
        <v>749</v>
      </c>
      <c r="E125" s="544" t="s">
        <v>1109</v>
      </c>
      <c r="F125" s="544" t="s">
        <v>591</v>
      </c>
      <c r="G125" s="544" t="s">
        <v>137</v>
      </c>
      <c r="H125" s="544">
        <v>47</v>
      </c>
      <c r="I125" s="544" t="s">
        <v>592</v>
      </c>
      <c r="J125" s="555">
        <v>0.03</v>
      </c>
      <c r="K125" s="544">
        <v>46.97</v>
      </c>
      <c r="L125" s="569">
        <v>0</v>
      </c>
      <c r="M125" s="570">
        <v>0</v>
      </c>
      <c r="N125" s="544">
        <v>0</v>
      </c>
      <c r="O125" s="571">
        <v>3.4879399999999999E-8</v>
      </c>
      <c r="P125" s="554">
        <v>36.613385190000002</v>
      </c>
      <c r="Q125" s="549" t="s">
        <v>618</v>
      </c>
    </row>
    <row r="126" spans="1:17">
      <c r="A126" s="541">
        <v>46358</v>
      </c>
      <c r="B126" s="543" t="s">
        <v>812</v>
      </c>
      <c r="C126" s="543" t="s">
        <v>812</v>
      </c>
      <c r="D126" s="544" t="s">
        <v>749</v>
      </c>
      <c r="E126" s="544" t="s">
        <v>1109</v>
      </c>
      <c r="F126" s="544" t="s">
        <v>591</v>
      </c>
      <c r="G126" s="544" t="s">
        <v>137</v>
      </c>
      <c r="H126" s="544">
        <v>50.5</v>
      </c>
      <c r="I126" s="544" t="s">
        <v>592</v>
      </c>
      <c r="J126" s="555">
        <v>0.01</v>
      </c>
      <c r="K126" s="544">
        <v>50.49</v>
      </c>
      <c r="L126" s="569">
        <v>0</v>
      </c>
      <c r="M126" s="570">
        <v>0</v>
      </c>
      <c r="N126" s="544">
        <v>0</v>
      </c>
      <c r="O126" s="571">
        <v>2.18549E-5</v>
      </c>
      <c r="P126" s="554">
        <v>34.841505400000003</v>
      </c>
      <c r="Q126" s="549" t="s">
        <v>618</v>
      </c>
    </row>
    <row r="127" spans="1:17">
      <c r="A127" s="541">
        <v>46358</v>
      </c>
      <c r="B127" s="542" t="s">
        <v>813</v>
      </c>
      <c r="C127" s="542" t="s">
        <v>813</v>
      </c>
      <c r="D127" s="544" t="s">
        <v>617</v>
      </c>
      <c r="E127" s="544" t="s">
        <v>1105</v>
      </c>
      <c r="F127" s="544" t="s">
        <v>596</v>
      </c>
      <c r="G127" s="544" t="s">
        <v>137</v>
      </c>
      <c r="H127" s="544">
        <v>25.31</v>
      </c>
      <c r="I127" s="544" t="s">
        <v>592</v>
      </c>
      <c r="J127" s="555">
        <v>0.52</v>
      </c>
      <c r="K127" s="544">
        <v>0</v>
      </c>
      <c r="L127" s="569">
        <v>0</v>
      </c>
      <c r="M127" s="570">
        <v>0</v>
      </c>
      <c r="N127" s="544">
        <v>0</v>
      </c>
      <c r="O127" s="544">
        <v>6.9480400000000004E-4</v>
      </c>
      <c r="P127" s="554">
        <v>23.783411919999999</v>
      </c>
      <c r="Q127" s="549" t="s">
        <v>618</v>
      </c>
    </row>
    <row r="128" spans="1:17">
      <c r="A128" s="541">
        <v>46358</v>
      </c>
      <c r="B128" s="542" t="s">
        <v>814</v>
      </c>
      <c r="C128" s="542" t="s">
        <v>814</v>
      </c>
      <c r="D128" s="544" t="s">
        <v>617</v>
      </c>
      <c r="E128" s="544" t="s">
        <v>1105</v>
      </c>
      <c r="F128" s="544" t="s">
        <v>591</v>
      </c>
      <c r="G128" s="544" t="s">
        <v>137</v>
      </c>
      <c r="H128" s="544">
        <v>21.31</v>
      </c>
      <c r="I128" s="544" t="s">
        <v>592</v>
      </c>
      <c r="J128" s="555">
        <v>0.81</v>
      </c>
      <c r="K128" s="544">
        <v>20.5</v>
      </c>
      <c r="L128" s="569">
        <v>0</v>
      </c>
      <c r="M128" s="570">
        <v>0</v>
      </c>
      <c r="N128" s="544">
        <v>0</v>
      </c>
      <c r="O128" s="544">
        <v>0.16113061100000001</v>
      </c>
      <c r="P128" s="554">
        <v>28.681611440000001</v>
      </c>
      <c r="Q128" s="549" t="s">
        <v>618</v>
      </c>
    </row>
    <row r="129" spans="1:17">
      <c r="A129" s="541">
        <v>46358</v>
      </c>
      <c r="B129" s="542" t="s">
        <v>815</v>
      </c>
      <c r="C129" s="542" t="s">
        <v>815</v>
      </c>
      <c r="D129" s="544" t="s">
        <v>617</v>
      </c>
      <c r="E129" s="544" t="s">
        <v>1105</v>
      </c>
      <c r="F129" s="544" t="s">
        <v>591</v>
      </c>
      <c r="G129" s="544" t="s">
        <v>137</v>
      </c>
      <c r="H129" s="544">
        <v>23.31</v>
      </c>
      <c r="I129" s="544" t="s">
        <v>592</v>
      </c>
      <c r="J129" s="555">
        <v>1.78</v>
      </c>
      <c r="K129" s="544">
        <v>21.53</v>
      </c>
      <c r="L129" s="569">
        <v>0</v>
      </c>
      <c r="M129" s="570">
        <v>0</v>
      </c>
      <c r="N129" s="544">
        <v>0</v>
      </c>
      <c r="O129" s="544">
        <v>0.43349575200000001</v>
      </c>
      <c r="P129" s="554">
        <v>25.92140165</v>
      </c>
      <c r="Q129" s="549" t="s">
        <v>618</v>
      </c>
    </row>
    <row r="130" spans="1:17">
      <c r="A130" s="541">
        <v>46358</v>
      </c>
      <c r="B130" s="542" t="s">
        <v>816</v>
      </c>
      <c r="C130" s="542" t="s">
        <v>816</v>
      </c>
      <c r="D130" s="544" t="s">
        <v>817</v>
      </c>
      <c r="E130" s="544" t="s">
        <v>1109</v>
      </c>
      <c r="F130" s="544" t="s">
        <v>596</v>
      </c>
      <c r="G130" s="544" t="s">
        <v>137</v>
      </c>
      <c r="H130" s="544">
        <v>75.900000000000006</v>
      </c>
      <c r="I130" s="544" t="s">
        <v>592</v>
      </c>
      <c r="J130" s="555">
        <v>14.18</v>
      </c>
      <c r="K130" s="544">
        <v>0</v>
      </c>
      <c r="L130" s="569">
        <v>0</v>
      </c>
      <c r="M130" s="570">
        <v>0</v>
      </c>
      <c r="N130" s="544">
        <v>0</v>
      </c>
      <c r="O130" s="544">
        <v>2.6288895440000002</v>
      </c>
      <c r="P130" s="554">
        <v>80.836807809999996</v>
      </c>
      <c r="Q130" s="549" t="s">
        <v>618</v>
      </c>
    </row>
    <row r="131" spans="1:17">
      <c r="A131" s="541">
        <v>46358</v>
      </c>
      <c r="B131" s="542" t="s">
        <v>818</v>
      </c>
      <c r="C131" s="542" t="s">
        <v>818</v>
      </c>
      <c r="D131" s="544" t="s">
        <v>817</v>
      </c>
      <c r="E131" s="544" t="s">
        <v>1109</v>
      </c>
      <c r="F131" s="544" t="s">
        <v>596</v>
      </c>
      <c r="G131" s="544" t="s">
        <v>137</v>
      </c>
      <c r="H131" s="544">
        <v>80.900000000000006</v>
      </c>
      <c r="I131" s="544" t="s">
        <v>592</v>
      </c>
      <c r="J131" s="555">
        <v>9.74</v>
      </c>
      <c r="K131" s="544">
        <v>0</v>
      </c>
      <c r="L131" s="569">
        <v>0</v>
      </c>
      <c r="M131" s="570">
        <v>0</v>
      </c>
      <c r="N131" s="544">
        <v>0</v>
      </c>
      <c r="O131" s="544">
        <v>1.7036050780000001</v>
      </c>
      <c r="P131" s="554">
        <v>64.456583089999995</v>
      </c>
      <c r="Q131" s="549" t="s">
        <v>618</v>
      </c>
    </row>
    <row r="132" spans="1:17">
      <c r="A132" s="541">
        <v>46358</v>
      </c>
      <c r="B132" s="572" t="s">
        <v>826</v>
      </c>
      <c r="C132" s="572" t="s">
        <v>826</v>
      </c>
      <c r="D132" s="544" t="s">
        <v>619</v>
      </c>
      <c r="E132" s="544" t="s">
        <v>1109</v>
      </c>
      <c r="F132" s="544" t="s">
        <v>596</v>
      </c>
      <c r="G132" s="544" t="s">
        <v>137</v>
      </c>
      <c r="H132" s="544">
        <v>14.92</v>
      </c>
      <c r="I132" s="544" t="s">
        <v>592</v>
      </c>
      <c r="J132" s="555">
        <v>1.7</v>
      </c>
      <c r="K132" s="544">
        <v>0</v>
      </c>
      <c r="L132" s="569">
        <v>0</v>
      </c>
      <c r="M132" s="570">
        <v>0</v>
      </c>
      <c r="N132" s="544">
        <v>0</v>
      </c>
      <c r="O132" s="544">
        <v>0.31408994899999998</v>
      </c>
      <c r="P132" s="554">
        <v>41.277060849999998</v>
      </c>
      <c r="Q132" s="549" t="s">
        <v>618</v>
      </c>
    </row>
    <row r="133" spans="1:17">
      <c r="A133" s="541">
        <v>46358</v>
      </c>
      <c r="B133" s="572" t="s">
        <v>827</v>
      </c>
      <c r="C133" s="572" t="s">
        <v>827</v>
      </c>
      <c r="D133" s="544" t="s">
        <v>680</v>
      </c>
      <c r="E133" s="544" t="s">
        <v>1120</v>
      </c>
      <c r="F133" s="544" t="s">
        <v>591</v>
      </c>
      <c r="G133" s="544" t="s">
        <v>137</v>
      </c>
      <c r="H133" s="544">
        <v>161000</v>
      </c>
      <c r="I133" s="544" t="s">
        <v>592</v>
      </c>
      <c r="J133" s="555">
        <v>55</v>
      </c>
      <c r="K133" s="544">
        <v>160945</v>
      </c>
      <c r="L133" s="569">
        <v>0</v>
      </c>
      <c r="M133" s="570">
        <v>0</v>
      </c>
      <c r="N133" s="544">
        <v>0</v>
      </c>
      <c r="O133" s="544">
        <v>9.7486000000000003E-4</v>
      </c>
      <c r="P133" s="554">
        <v>38.927446089999997</v>
      </c>
      <c r="Q133" s="549" t="s">
        <v>618</v>
      </c>
    </row>
    <row r="134" spans="1:17">
      <c r="A134" s="541">
        <v>46358</v>
      </c>
      <c r="B134" s="572" t="s">
        <v>828</v>
      </c>
      <c r="C134" s="572" t="s">
        <v>828</v>
      </c>
      <c r="D134" s="544" t="s">
        <v>763</v>
      </c>
      <c r="E134" s="544" t="s">
        <v>1109</v>
      </c>
      <c r="F134" s="544" t="s">
        <v>591</v>
      </c>
      <c r="G134" s="544" t="s">
        <v>137</v>
      </c>
      <c r="H134" s="544">
        <v>108</v>
      </c>
      <c r="I134" s="544" t="s">
        <v>592</v>
      </c>
      <c r="J134" s="555">
        <v>0.1</v>
      </c>
      <c r="K134" s="544">
        <v>107.9</v>
      </c>
      <c r="L134" s="569">
        <v>0</v>
      </c>
      <c r="M134" s="570">
        <v>0</v>
      </c>
      <c r="N134" s="544">
        <v>0</v>
      </c>
      <c r="O134" s="544">
        <v>2.2981743999999998E-2</v>
      </c>
      <c r="P134" s="554">
        <v>62.696760599999998</v>
      </c>
      <c r="Q134" s="549" t="s">
        <v>618</v>
      </c>
    </row>
    <row r="135" spans="1:17">
      <c r="A135" s="541">
        <v>46358</v>
      </c>
      <c r="B135" s="572" t="s">
        <v>829</v>
      </c>
      <c r="C135" s="572" t="s">
        <v>829</v>
      </c>
      <c r="D135" s="544" t="s">
        <v>763</v>
      </c>
      <c r="E135" s="544" t="s">
        <v>1109</v>
      </c>
      <c r="F135" s="544" t="s">
        <v>591</v>
      </c>
      <c r="G135" s="544" t="s">
        <v>137</v>
      </c>
      <c r="H135" s="544">
        <v>113</v>
      </c>
      <c r="I135" s="544" t="s">
        <v>592</v>
      </c>
      <c r="J135" s="555">
        <v>0.17</v>
      </c>
      <c r="K135" s="544">
        <v>112.83</v>
      </c>
      <c r="L135" s="569">
        <v>0</v>
      </c>
      <c r="M135" s="570">
        <v>0</v>
      </c>
      <c r="N135" s="544">
        <v>0</v>
      </c>
      <c r="O135" s="544">
        <v>3.5995555999999998E-2</v>
      </c>
      <c r="P135" s="554">
        <v>50.373854860000002</v>
      </c>
      <c r="Q135" s="549" t="s">
        <v>618</v>
      </c>
    </row>
    <row r="136" spans="1:17">
      <c r="A136" s="541">
        <v>46358</v>
      </c>
      <c r="B136" s="542" t="s">
        <v>832</v>
      </c>
      <c r="C136" s="542" t="s">
        <v>832</v>
      </c>
      <c r="D136" s="544" t="s">
        <v>763</v>
      </c>
      <c r="E136" s="544" t="s">
        <v>1109</v>
      </c>
      <c r="F136" s="544" t="s">
        <v>591</v>
      </c>
      <c r="G136" s="544" t="s">
        <v>137</v>
      </c>
      <c r="H136" s="544">
        <v>114</v>
      </c>
      <c r="I136" s="544" t="s">
        <v>592</v>
      </c>
      <c r="J136" s="555">
        <v>0.15</v>
      </c>
      <c r="K136" s="544">
        <v>113.85</v>
      </c>
      <c r="L136" s="569">
        <v>0</v>
      </c>
      <c r="M136" s="570">
        <v>0</v>
      </c>
      <c r="N136" s="544">
        <v>0</v>
      </c>
      <c r="O136" s="544">
        <v>4.0333622E-2</v>
      </c>
      <c r="P136" s="554">
        <v>48.00654153</v>
      </c>
      <c r="Q136" s="549" t="s">
        <v>618</v>
      </c>
    </row>
    <row r="137" spans="1:17">
      <c r="A137" s="541">
        <v>46358</v>
      </c>
      <c r="B137" s="542" t="s">
        <v>833</v>
      </c>
      <c r="C137" s="542" t="s">
        <v>833</v>
      </c>
      <c r="D137" s="544" t="s">
        <v>834</v>
      </c>
      <c r="E137" s="544" t="s">
        <v>1109</v>
      </c>
      <c r="F137" s="544" t="s">
        <v>596</v>
      </c>
      <c r="G137" s="544" t="s">
        <v>137</v>
      </c>
      <c r="H137" s="544">
        <v>30.14</v>
      </c>
      <c r="I137" s="544" t="s">
        <v>592</v>
      </c>
      <c r="J137" s="555">
        <v>0.48</v>
      </c>
      <c r="K137" s="544">
        <v>0</v>
      </c>
      <c r="L137" s="569">
        <v>0</v>
      </c>
      <c r="M137" s="570">
        <v>0</v>
      </c>
      <c r="N137" s="544">
        <v>0</v>
      </c>
      <c r="O137" s="544">
        <v>7.0272279000000007E-2</v>
      </c>
      <c r="P137" s="554">
        <v>29.731552929999999</v>
      </c>
      <c r="Q137" s="549" t="s">
        <v>618</v>
      </c>
    </row>
    <row r="138" spans="1:17">
      <c r="A138" s="541">
        <v>46358</v>
      </c>
      <c r="B138" s="542" t="s">
        <v>835</v>
      </c>
      <c r="C138" s="542" t="s">
        <v>835</v>
      </c>
      <c r="D138" s="544" t="s">
        <v>834</v>
      </c>
      <c r="E138" s="544" t="s">
        <v>1109</v>
      </c>
      <c r="F138" s="544" t="s">
        <v>591</v>
      </c>
      <c r="G138" s="544" t="s">
        <v>137</v>
      </c>
      <c r="H138" s="544">
        <v>25.89</v>
      </c>
      <c r="I138" s="544" t="s">
        <v>592</v>
      </c>
      <c r="J138" s="555">
        <v>0.04</v>
      </c>
      <c r="K138" s="544">
        <v>25.85</v>
      </c>
      <c r="L138" s="569">
        <v>0</v>
      </c>
      <c r="M138" s="570">
        <v>0</v>
      </c>
      <c r="N138" s="544">
        <v>0</v>
      </c>
      <c r="O138" s="544">
        <v>1.06338E-4</v>
      </c>
      <c r="P138" s="554">
        <v>38.885451029999999</v>
      </c>
      <c r="Q138" s="549" t="s">
        <v>618</v>
      </c>
    </row>
    <row r="139" spans="1:17">
      <c r="A139" s="541">
        <v>46358</v>
      </c>
      <c r="B139" s="542" t="s">
        <v>836</v>
      </c>
      <c r="C139" s="542" t="s">
        <v>836</v>
      </c>
      <c r="D139" s="544" t="s">
        <v>834</v>
      </c>
      <c r="E139" s="544" t="s">
        <v>1109</v>
      </c>
      <c r="F139" s="544" t="s">
        <v>591</v>
      </c>
      <c r="G139" s="544" t="s">
        <v>137</v>
      </c>
      <c r="H139" s="544">
        <v>28.14</v>
      </c>
      <c r="I139" s="544" t="s">
        <v>592</v>
      </c>
      <c r="J139" s="555">
        <v>0.1</v>
      </c>
      <c r="K139" s="544">
        <v>28.04</v>
      </c>
      <c r="L139" s="569">
        <v>0</v>
      </c>
      <c r="M139" s="570">
        <v>0</v>
      </c>
      <c r="N139" s="544">
        <v>0</v>
      </c>
      <c r="O139" s="544">
        <v>8.3920139999999997E-3</v>
      </c>
      <c r="P139" s="554">
        <v>34.852849419999998</v>
      </c>
      <c r="Q139" s="549" t="s">
        <v>618</v>
      </c>
    </row>
    <row r="140" spans="1:17">
      <c r="A140" s="541">
        <v>46358</v>
      </c>
      <c r="B140" s="572" t="s">
        <v>843</v>
      </c>
      <c r="C140" s="572" t="s">
        <v>843</v>
      </c>
      <c r="D140" s="544" t="s">
        <v>680</v>
      </c>
      <c r="E140" s="544" t="s">
        <v>1120</v>
      </c>
      <c r="F140" s="544" t="s">
        <v>591</v>
      </c>
      <c r="G140" s="544" t="s">
        <v>137</v>
      </c>
      <c r="H140" s="544">
        <v>163000</v>
      </c>
      <c r="I140" s="544" t="s">
        <v>592</v>
      </c>
      <c r="J140" s="555">
        <v>200</v>
      </c>
      <c r="K140" s="544">
        <v>162800</v>
      </c>
      <c r="L140" s="569">
        <v>0</v>
      </c>
      <c r="M140" s="570">
        <v>0</v>
      </c>
      <c r="N140" s="544">
        <v>0</v>
      </c>
      <c r="O140" s="544">
        <v>4.819444E-3</v>
      </c>
      <c r="P140" s="554">
        <v>38.772040580000002</v>
      </c>
      <c r="Q140" s="549" t="s">
        <v>618</v>
      </c>
    </row>
    <row r="141" spans="1:17">
      <c r="A141" s="541">
        <v>46358</v>
      </c>
      <c r="B141" s="542" t="s">
        <v>867</v>
      </c>
      <c r="C141" s="542" t="s">
        <v>867</v>
      </c>
      <c r="D141" s="544" t="s">
        <v>799</v>
      </c>
      <c r="E141" s="544" t="s">
        <v>1109</v>
      </c>
      <c r="F141" s="544" t="s">
        <v>591</v>
      </c>
      <c r="G141" s="544" t="s">
        <v>137</v>
      </c>
      <c r="H141" s="544">
        <v>34.15</v>
      </c>
      <c r="I141" s="544" t="s">
        <v>592</v>
      </c>
      <c r="J141" s="555">
        <v>0.04</v>
      </c>
      <c r="K141" s="544">
        <v>34.11</v>
      </c>
      <c r="L141" s="569">
        <v>0</v>
      </c>
      <c r="M141" s="570">
        <v>0</v>
      </c>
      <c r="N141" s="544">
        <v>0</v>
      </c>
      <c r="O141" s="544">
        <v>7.134222E-3</v>
      </c>
      <c r="P141" s="554">
        <v>40.869639290000002</v>
      </c>
      <c r="Q141" s="549" t="s">
        <v>618</v>
      </c>
    </row>
    <row r="142" spans="1:17">
      <c r="A142" s="541">
        <v>46358</v>
      </c>
      <c r="B142" s="542" t="s">
        <v>868</v>
      </c>
      <c r="C142" s="542" t="s">
        <v>868</v>
      </c>
      <c r="D142" s="544" t="s">
        <v>869</v>
      </c>
      <c r="E142" s="544" t="s">
        <v>1109</v>
      </c>
      <c r="F142" s="544" t="s">
        <v>591</v>
      </c>
      <c r="G142" s="544" t="s">
        <v>137</v>
      </c>
      <c r="H142" s="544">
        <v>43.25</v>
      </c>
      <c r="I142" s="544" t="s">
        <v>592</v>
      </c>
      <c r="J142" s="555">
        <v>0.01</v>
      </c>
      <c r="K142" s="544">
        <v>43.24</v>
      </c>
      <c r="L142" s="569">
        <v>0</v>
      </c>
      <c r="M142" s="570">
        <v>0</v>
      </c>
      <c r="N142" s="544">
        <v>0</v>
      </c>
      <c r="O142" s="544">
        <v>2.96898E-3</v>
      </c>
      <c r="P142" s="554">
        <v>66.465536929999999</v>
      </c>
      <c r="Q142" s="549" t="s">
        <v>618</v>
      </c>
    </row>
    <row r="143" spans="1:17">
      <c r="A143" s="541">
        <v>46358</v>
      </c>
      <c r="B143" s="542" t="s">
        <v>870</v>
      </c>
      <c r="C143" s="542" t="s">
        <v>870</v>
      </c>
      <c r="D143" s="544" t="s">
        <v>869</v>
      </c>
      <c r="E143" s="544" t="s">
        <v>1109</v>
      </c>
      <c r="F143" s="544" t="s">
        <v>591</v>
      </c>
      <c r="G143" s="544" t="s">
        <v>137</v>
      </c>
      <c r="H143" s="544">
        <v>46.25</v>
      </c>
      <c r="I143" s="544" t="s">
        <v>592</v>
      </c>
      <c r="J143" s="555">
        <v>0.04</v>
      </c>
      <c r="K143" s="544">
        <v>46.21</v>
      </c>
      <c r="L143" s="569">
        <v>0</v>
      </c>
      <c r="M143" s="570">
        <v>0</v>
      </c>
      <c r="N143" s="544">
        <v>0</v>
      </c>
      <c r="O143" s="544">
        <v>7.212782E-3</v>
      </c>
      <c r="P143" s="554">
        <v>52.248610100000001</v>
      </c>
      <c r="Q143" s="549" t="s">
        <v>618</v>
      </c>
    </row>
    <row r="144" spans="1:17">
      <c r="A144" s="541">
        <v>46358</v>
      </c>
      <c r="B144" s="542" t="s">
        <v>871</v>
      </c>
      <c r="C144" s="542" t="s">
        <v>871</v>
      </c>
      <c r="D144" s="544" t="s">
        <v>869</v>
      </c>
      <c r="E144" s="544" t="s">
        <v>1105</v>
      </c>
      <c r="F144" s="544" t="s">
        <v>596</v>
      </c>
      <c r="G144" s="544" t="s">
        <v>137</v>
      </c>
      <c r="H144" s="544">
        <v>50.5</v>
      </c>
      <c r="I144" s="544" t="s">
        <v>592</v>
      </c>
      <c r="J144" s="555">
        <v>3.44</v>
      </c>
      <c r="K144" s="544">
        <v>0</v>
      </c>
      <c r="L144" s="569">
        <v>0</v>
      </c>
      <c r="M144" s="570">
        <v>0</v>
      </c>
      <c r="N144" s="544">
        <v>0</v>
      </c>
      <c r="O144" s="544">
        <v>0.70410634999999999</v>
      </c>
      <c r="P144" s="554">
        <v>36.224103820000003</v>
      </c>
      <c r="Q144" s="549" t="s">
        <v>618</v>
      </c>
    </row>
    <row r="145" spans="1:17">
      <c r="A145" s="541">
        <v>46358</v>
      </c>
      <c r="B145" s="542" t="s">
        <v>872</v>
      </c>
      <c r="C145" s="542" t="s">
        <v>872</v>
      </c>
      <c r="D145" s="544" t="s">
        <v>869</v>
      </c>
      <c r="E145" s="544" t="s">
        <v>1105</v>
      </c>
      <c r="F145" s="544" t="s">
        <v>591</v>
      </c>
      <c r="G145" s="544" t="s">
        <v>137</v>
      </c>
      <c r="H145" s="544">
        <v>42.5</v>
      </c>
      <c r="I145" s="544" t="s">
        <v>592</v>
      </c>
      <c r="J145" s="555">
        <v>0.14000000000000001</v>
      </c>
      <c r="K145" s="544">
        <v>42.36</v>
      </c>
      <c r="L145" s="569">
        <v>0</v>
      </c>
      <c r="M145" s="570">
        <v>0</v>
      </c>
      <c r="N145" s="544">
        <v>0</v>
      </c>
      <c r="O145" s="544">
        <v>2.7157346999999998E-2</v>
      </c>
      <c r="P145" s="554">
        <v>43.937933010000002</v>
      </c>
      <c r="Q145" s="549" t="s">
        <v>618</v>
      </c>
    </row>
    <row r="146" spans="1:17">
      <c r="A146" s="541">
        <v>46358</v>
      </c>
      <c r="B146" s="542" t="s">
        <v>873</v>
      </c>
      <c r="C146" s="542" t="s">
        <v>873</v>
      </c>
      <c r="D146" s="544" t="s">
        <v>869</v>
      </c>
      <c r="E146" s="544" t="s">
        <v>1105</v>
      </c>
      <c r="F146" s="544" t="s">
        <v>591</v>
      </c>
      <c r="G146" s="544" t="s">
        <v>137</v>
      </c>
      <c r="H146" s="544">
        <v>46.5</v>
      </c>
      <c r="I146" s="544" t="s">
        <v>592</v>
      </c>
      <c r="J146" s="555">
        <v>0.42</v>
      </c>
      <c r="K146" s="544">
        <v>46.08</v>
      </c>
      <c r="L146" s="569">
        <v>0</v>
      </c>
      <c r="M146" s="570">
        <v>0</v>
      </c>
      <c r="N146" s="544">
        <v>0</v>
      </c>
      <c r="O146" s="544">
        <v>7.8701473999999993E-2</v>
      </c>
      <c r="P146" s="554">
        <v>38.558531270000003</v>
      </c>
      <c r="Q146" s="549" t="s">
        <v>618</v>
      </c>
    </row>
    <row r="147" spans="1:17">
      <c r="A147" s="541">
        <v>46358</v>
      </c>
      <c r="B147" s="542" t="s">
        <v>889</v>
      </c>
      <c r="C147" s="542" t="s">
        <v>889</v>
      </c>
      <c r="D147" s="544" t="s">
        <v>890</v>
      </c>
      <c r="E147" s="544" t="s">
        <v>1109</v>
      </c>
      <c r="F147" s="544" t="s">
        <v>591</v>
      </c>
      <c r="G147" s="544" t="s">
        <v>137</v>
      </c>
      <c r="H147" s="544">
        <v>40.94</v>
      </c>
      <c r="I147" s="544" t="s">
        <v>592</v>
      </c>
      <c r="J147" s="555">
        <v>0.01</v>
      </c>
      <c r="K147" s="544">
        <v>40.93</v>
      </c>
      <c r="L147" s="569">
        <v>0</v>
      </c>
      <c r="M147" s="570">
        <v>0</v>
      </c>
      <c r="N147" s="544">
        <v>0</v>
      </c>
      <c r="O147" s="544">
        <v>1.1033154E-2</v>
      </c>
      <c r="P147" s="554">
        <v>73.258782800000006</v>
      </c>
      <c r="Q147" s="549" t="s">
        <v>618</v>
      </c>
    </row>
    <row r="148" spans="1:17">
      <c r="A148" s="541">
        <v>46358</v>
      </c>
      <c r="B148" s="542" t="s">
        <v>891</v>
      </c>
      <c r="C148" s="542" t="s">
        <v>891</v>
      </c>
      <c r="D148" s="544" t="s">
        <v>890</v>
      </c>
      <c r="E148" s="544" t="s">
        <v>1109</v>
      </c>
      <c r="F148" s="544" t="s">
        <v>591</v>
      </c>
      <c r="G148" s="544" t="s">
        <v>137</v>
      </c>
      <c r="H148" s="544">
        <v>42.88</v>
      </c>
      <c r="I148" s="544" t="s">
        <v>592</v>
      </c>
      <c r="J148" s="555">
        <v>0.02</v>
      </c>
      <c r="K148" s="544">
        <v>42.86</v>
      </c>
      <c r="L148" s="569">
        <v>0</v>
      </c>
      <c r="M148" s="570">
        <v>0</v>
      </c>
      <c r="N148" s="544">
        <v>0</v>
      </c>
      <c r="O148" s="544">
        <v>1.5925005999999998E-2</v>
      </c>
      <c r="P148" s="554">
        <v>60.290773379999997</v>
      </c>
      <c r="Q148" s="549" t="s">
        <v>618</v>
      </c>
    </row>
    <row r="149" spans="1:17">
      <c r="A149" s="541">
        <v>46358</v>
      </c>
      <c r="B149" s="572" t="s">
        <v>895</v>
      </c>
      <c r="C149" s="572" t="s">
        <v>895</v>
      </c>
      <c r="D149" s="544" t="s">
        <v>763</v>
      </c>
      <c r="E149" s="544" t="s">
        <v>1109</v>
      </c>
      <c r="F149" s="544" t="s">
        <v>591</v>
      </c>
      <c r="G149" s="544" t="s">
        <v>137</v>
      </c>
      <c r="H149" s="544">
        <v>120</v>
      </c>
      <c r="I149" s="544" t="s">
        <v>592</v>
      </c>
      <c r="J149" s="555">
        <v>0.51</v>
      </c>
      <c r="K149" s="544">
        <v>119.49</v>
      </c>
      <c r="L149" s="569">
        <v>0</v>
      </c>
      <c r="M149" s="570">
        <v>0</v>
      </c>
      <c r="N149" s="544">
        <v>0</v>
      </c>
      <c r="O149" s="544">
        <v>0.112826015</v>
      </c>
      <c r="P149" s="554">
        <v>36.048266920000003</v>
      </c>
      <c r="Q149" s="549" t="s">
        <v>618</v>
      </c>
    </row>
    <row r="150" spans="1:17">
      <c r="A150" s="541">
        <v>46358</v>
      </c>
      <c r="B150" s="572" t="s">
        <v>896</v>
      </c>
      <c r="C150" s="572" t="s">
        <v>896</v>
      </c>
      <c r="D150" s="544" t="s">
        <v>817</v>
      </c>
      <c r="E150" s="544" t="s">
        <v>1109</v>
      </c>
      <c r="F150" s="544" t="s">
        <v>591</v>
      </c>
      <c r="G150" s="544" t="s">
        <v>137</v>
      </c>
      <c r="H150" s="544">
        <v>77.900000000000006</v>
      </c>
      <c r="I150" s="544" t="s">
        <v>592</v>
      </c>
      <c r="J150" s="555">
        <v>0.1</v>
      </c>
      <c r="K150" s="544">
        <v>77.8</v>
      </c>
      <c r="L150" s="569">
        <v>0</v>
      </c>
      <c r="M150" s="570">
        <v>0</v>
      </c>
      <c r="N150" s="544">
        <v>0</v>
      </c>
      <c r="O150" s="544">
        <v>4.7604605000000001E-2</v>
      </c>
      <c r="P150" s="554">
        <v>74.704009999999997</v>
      </c>
      <c r="Q150" s="549" t="s">
        <v>618</v>
      </c>
    </row>
    <row r="151" spans="1:17">
      <c r="A151" s="541">
        <v>46358</v>
      </c>
      <c r="B151" s="572" t="s">
        <v>897</v>
      </c>
      <c r="C151" s="572" t="s">
        <v>897</v>
      </c>
      <c r="D151" s="544" t="s">
        <v>817</v>
      </c>
      <c r="E151" s="544" t="s">
        <v>1109</v>
      </c>
      <c r="F151" s="544" t="s">
        <v>591</v>
      </c>
      <c r="G151" s="544" t="s">
        <v>137</v>
      </c>
      <c r="H151" s="544">
        <v>82.9</v>
      </c>
      <c r="I151" s="544" t="s">
        <v>592</v>
      </c>
      <c r="J151" s="555">
        <v>0.3</v>
      </c>
      <c r="K151" s="544">
        <v>82.6</v>
      </c>
      <c r="L151" s="569">
        <v>0</v>
      </c>
      <c r="M151" s="570">
        <v>0</v>
      </c>
      <c r="N151" s="544">
        <v>0</v>
      </c>
      <c r="O151" s="544">
        <v>9.0191990999999999E-2</v>
      </c>
      <c r="P151" s="554">
        <v>57.305528989999999</v>
      </c>
      <c r="Q151" s="549" t="s">
        <v>618</v>
      </c>
    </row>
    <row r="152" spans="1:17">
      <c r="A152" s="541">
        <v>46358</v>
      </c>
      <c r="B152" s="542" t="s">
        <v>919</v>
      </c>
      <c r="C152" s="542" t="s">
        <v>919</v>
      </c>
      <c r="D152" s="544" t="s">
        <v>619</v>
      </c>
      <c r="E152" s="544" t="s">
        <v>1109</v>
      </c>
      <c r="F152" s="544" t="s">
        <v>591</v>
      </c>
      <c r="G152" s="544" t="s">
        <v>137</v>
      </c>
      <c r="H152" s="544">
        <v>14.67</v>
      </c>
      <c r="I152" s="544" t="s">
        <v>592</v>
      </c>
      <c r="J152" s="555">
        <v>0.02</v>
      </c>
      <c r="K152" s="544">
        <v>14.65</v>
      </c>
      <c r="L152" s="569">
        <v>0</v>
      </c>
      <c r="M152" s="570">
        <v>0</v>
      </c>
      <c r="N152" s="544">
        <v>0</v>
      </c>
      <c r="O152" s="544">
        <v>6.1560300000000005E-4</v>
      </c>
      <c r="P152" s="554">
        <v>42.034246400000001</v>
      </c>
      <c r="Q152" s="549" t="s">
        <v>618</v>
      </c>
    </row>
    <row r="153" spans="1:17">
      <c r="A153" s="541">
        <v>46358</v>
      </c>
      <c r="B153" s="542" t="s">
        <v>920</v>
      </c>
      <c r="C153" s="542" t="s">
        <v>920</v>
      </c>
      <c r="D153" s="544" t="s">
        <v>921</v>
      </c>
      <c r="E153" s="544" t="s">
        <v>1105</v>
      </c>
      <c r="F153" s="544" t="s">
        <v>591</v>
      </c>
      <c r="G153" s="544" t="s">
        <v>137</v>
      </c>
      <c r="H153" s="544">
        <v>21.31</v>
      </c>
      <c r="I153" s="544" t="s">
        <v>592</v>
      </c>
      <c r="J153" s="555">
        <v>0.49</v>
      </c>
      <c r="K153" s="544">
        <v>20.82</v>
      </c>
      <c r="L153" s="569">
        <v>0</v>
      </c>
      <c r="M153" s="570">
        <v>0</v>
      </c>
      <c r="N153" s="544">
        <v>0</v>
      </c>
      <c r="O153" s="544">
        <v>8.6894189999999996E-2</v>
      </c>
      <c r="P153" s="554">
        <v>34.492458480000003</v>
      </c>
      <c r="Q153" s="549" t="s">
        <v>618</v>
      </c>
    </row>
    <row r="154" spans="1:17">
      <c r="A154" s="541">
        <v>46358</v>
      </c>
      <c r="B154" s="542" t="s">
        <v>922</v>
      </c>
      <c r="C154" s="542" t="s">
        <v>922</v>
      </c>
      <c r="D154" s="544" t="s">
        <v>921</v>
      </c>
      <c r="E154" s="544" t="s">
        <v>1105</v>
      </c>
      <c r="F154" s="544" t="s">
        <v>591</v>
      </c>
      <c r="G154" s="544" t="s">
        <v>137</v>
      </c>
      <c r="H154" s="544">
        <v>22.81</v>
      </c>
      <c r="I154" s="544" t="s">
        <v>592</v>
      </c>
      <c r="J154" s="555">
        <v>1.1599999999999999</v>
      </c>
      <c r="K154" s="544">
        <v>21.65</v>
      </c>
      <c r="L154" s="569">
        <v>0</v>
      </c>
      <c r="M154" s="570">
        <v>0</v>
      </c>
      <c r="N154" s="544">
        <v>0</v>
      </c>
      <c r="O154" s="544">
        <v>0.213332998</v>
      </c>
      <c r="P154" s="554">
        <v>34.17594115</v>
      </c>
      <c r="Q154" s="549" t="s">
        <v>618</v>
      </c>
    </row>
    <row r="155" spans="1:17">
      <c r="A155" s="541">
        <v>46358</v>
      </c>
      <c r="B155" s="542" t="s">
        <v>944</v>
      </c>
      <c r="C155" s="542" t="s">
        <v>944</v>
      </c>
      <c r="D155" s="544" t="s">
        <v>945</v>
      </c>
      <c r="E155" s="544" t="s">
        <v>1109</v>
      </c>
      <c r="F155" s="544" t="s">
        <v>591</v>
      </c>
      <c r="G155" s="544" t="s">
        <v>137</v>
      </c>
      <c r="H155" s="544">
        <v>12.48</v>
      </c>
      <c r="I155" s="544" t="s">
        <v>592</v>
      </c>
      <c r="J155" s="555">
        <v>0.02</v>
      </c>
      <c r="K155" s="544">
        <v>12.46</v>
      </c>
      <c r="L155" s="569">
        <v>0</v>
      </c>
      <c r="M155" s="570">
        <v>0</v>
      </c>
      <c r="N155" s="544">
        <v>0</v>
      </c>
      <c r="O155" s="571">
        <v>6.9625699999999996E-6</v>
      </c>
      <c r="P155" s="554">
        <v>26.56857853</v>
      </c>
      <c r="Q155" s="549" t="s">
        <v>618</v>
      </c>
    </row>
    <row r="156" spans="1:17">
      <c r="A156" s="541">
        <v>46358</v>
      </c>
      <c r="B156" s="542" t="s">
        <v>946</v>
      </c>
      <c r="C156" s="542" t="s">
        <v>946</v>
      </c>
      <c r="D156" s="544" t="s">
        <v>945</v>
      </c>
      <c r="E156" s="544" t="s">
        <v>1109</v>
      </c>
      <c r="F156" s="544" t="s">
        <v>591</v>
      </c>
      <c r="G156" s="544" t="s">
        <v>137</v>
      </c>
      <c r="H156" s="544">
        <v>13.23</v>
      </c>
      <c r="I156" s="544" t="s">
        <v>592</v>
      </c>
      <c r="J156" s="555">
        <v>0.04</v>
      </c>
      <c r="K156" s="544">
        <v>13.19</v>
      </c>
      <c r="L156" s="569">
        <v>0</v>
      </c>
      <c r="M156" s="570">
        <v>0</v>
      </c>
      <c r="N156" s="544">
        <v>0</v>
      </c>
      <c r="O156" s="544">
        <v>8.4213300000000001E-4</v>
      </c>
      <c r="P156" s="554">
        <v>23.328378990000001</v>
      </c>
      <c r="Q156" s="549" t="s">
        <v>618</v>
      </c>
    </row>
    <row r="157" spans="1:17">
      <c r="A157" s="541">
        <v>46358</v>
      </c>
      <c r="B157" s="542" t="s">
        <v>947</v>
      </c>
      <c r="C157" s="542" t="s">
        <v>947</v>
      </c>
      <c r="D157" s="544" t="s">
        <v>948</v>
      </c>
      <c r="E157" s="544" t="s">
        <v>1105</v>
      </c>
      <c r="F157" s="544" t="s">
        <v>596</v>
      </c>
      <c r="G157" s="544" t="s">
        <v>137</v>
      </c>
      <c r="H157" s="544">
        <v>34.630000000000003</v>
      </c>
      <c r="I157" s="544" t="s">
        <v>592</v>
      </c>
      <c r="J157" s="555">
        <v>0.81</v>
      </c>
      <c r="K157" s="544">
        <v>0</v>
      </c>
      <c r="L157" s="569">
        <v>0</v>
      </c>
      <c r="M157" s="570">
        <v>0</v>
      </c>
      <c r="N157" s="544">
        <v>0</v>
      </c>
      <c r="O157" s="544">
        <v>0.15803729799999999</v>
      </c>
      <c r="P157" s="554">
        <v>29.46944839</v>
      </c>
      <c r="Q157" s="549" t="s">
        <v>618</v>
      </c>
    </row>
    <row r="158" spans="1:17">
      <c r="A158" s="541">
        <v>46358</v>
      </c>
      <c r="B158" s="542" t="s">
        <v>949</v>
      </c>
      <c r="C158" s="542" t="s">
        <v>949</v>
      </c>
      <c r="D158" s="544" t="s">
        <v>950</v>
      </c>
      <c r="E158" s="544" t="s">
        <v>1105</v>
      </c>
      <c r="F158" s="544" t="s">
        <v>596</v>
      </c>
      <c r="G158" s="544" t="s">
        <v>137</v>
      </c>
      <c r="H158" s="544">
        <v>27.05</v>
      </c>
      <c r="I158" s="544" t="s">
        <v>592</v>
      </c>
      <c r="J158" s="555">
        <v>1.25</v>
      </c>
      <c r="K158" s="544">
        <v>0</v>
      </c>
      <c r="L158" s="569">
        <v>0</v>
      </c>
      <c r="M158" s="570">
        <v>0</v>
      </c>
      <c r="N158" s="544">
        <v>0</v>
      </c>
      <c r="O158" s="544">
        <v>0.19093168699999999</v>
      </c>
      <c r="P158" s="554">
        <v>34.12475586</v>
      </c>
      <c r="Q158" s="549" t="s">
        <v>618</v>
      </c>
    </row>
    <row r="159" spans="1:17">
      <c r="A159" s="541">
        <v>46358</v>
      </c>
      <c r="B159" s="542" t="s">
        <v>951</v>
      </c>
      <c r="C159" s="542" t="s">
        <v>951</v>
      </c>
      <c r="D159" s="544" t="s">
        <v>950</v>
      </c>
      <c r="E159" s="544" t="s">
        <v>1105</v>
      </c>
      <c r="F159" s="544" t="s">
        <v>591</v>
      </c>
      <c r="G159" s="544" t="s">
        <v>137</v>
      </c>
      <c r="H159" s="544">
        <v>22.39</v>
      </c>
      <c r="I159" s="544" t="s">
        <v>592</v>
      </c>
      <c r="J159" s="555">
        <v>0.22</v>
      </c>
      <c r="K159" s="544">
        <v>22.17</v>
      </c>
      <c r="L159" s="569">
        <v>0</v>
      </c>
      <c r="M159" s="570">
        <v>0</v>
      </c>
      <c r="N159" s="544">
        <v>0</v>
      </c>
      <c r="O159" s="544">
        <v>1.8229970000000002E-2</v>
      </c>
      <c r="P159" s="554">
        <v>39.801507309999998</v>
      </c>
      <c r="Q159" s="549" t="s">
        <v>618</v>
      </c>
    </row>
    <row r="160" spans="1:17">
      <c r="A160" s="541">
        <v>46358</v>
      </c>
      <c r="B160" s="542" t="s">
        <v>952</v>
      </c>
      <c r="C160" s="542" t="s">
        <v>952</v>
      </c>
      <c r="D160" s="544" t="s">
        <v>950</v>
      </c>
      <c r="E160" s="544" t="s">
        <v>1105</v>
      </c>
      <c r="F160" s="544" t="s">
        <v>591</v>
      </c>
      <c r="G160" s="544" t="s">
        <v>137</v>
      </c>
      <c r="H160" s="544">
        <v>24.84</v>
      </c>
      <c r="I160" s="544" t="s">
        <v>592</v>
      </c>
      <c r="J160" s="555">
        <v>0.79</v>
      </c>
      <c r="K160" s="544">
        <v>24.05</v>
      </c>
      <c r="L160" s="569">
        <v>0</v>
      </c>
      <c r="M160" s="570">
        <v>0</v>
      </c>
      <c r="N160" s="544">
        <v>0</v>
      </c>
      <c r="O160" s="544">
        <v>8.4246749999999995E-2</v>
      </c>
      <c r="P160" s="554">
        <v>36.857891639999998</v>
      </c>
      <c r="Q160" s="549" t="s">
        <v>618</v>
      </c>
    </row>
    <row r="161" spans="1:17">
      <c r="A161" s="541">
        <v>46358</v>
      </c>
      <c r="B161" s="542" t="s">
        <v>953</v>
      </c>
      <c r="C161" s="542" t="s">
        <v>953</v>
      </c>
      <c r="D161" s="544" t="s">
        <v>954</v>
      </c>
      <c r="E161" s="544" t="s">
        <v>1109</v>
      </c>
      <c r="F161" s="544" t="s">
        <v>596</v>
      </c>
      <c r="G161" s="544" t="s">
        <v>137</v>
      </c>
      <c r="H161" s="544">
        <v>7.03</v>
      </c>
      <c r="I161" s="544" t="s">
        <v>592</v>
      </c>
      <c r="J161" s="555">
        <v>0.02</v>
      </c>
      <c r="K161" s="544">
        <v>0</v>
      </c>
      <c r="L161" s="569">
        <v>0</v>
      </c>
      <c r="M161" s="570">
        <v>0</v>
      </c>
      <c r="N161" s="544">
        <v>0</v>
      </c>
      <c r="O161" s="544">
        <v>3.9785899999999997E-3</v>
      </c>
      <c r="P161" s="554">
        <v>81.407376709999994</v>
      </c>
      <c r="Q161" s="549" t="s">
        <v>618</v>
      </c>
    </row>
    <row r="162" spans="1:17">
      <c r="A162" s="541">
        <v>46358</v>
      </c>
      <c r="B162" s="542" t="s">
        <v>955</v>
      </c>
      <c r="C162" s="542" t="s">
        <v>955</v>
      </c>
      <c r="D162" s="544" t="s">
        <v>954</v>
      </c>
      <c r="E162" s="544" t="s">
        <v>1109</v>
      </c>
      <c r="F162" s="544" t="s">
        <v>596</v>
      </c>
      <c r="G162" s="544" t="s">
        <v>137</v>
      </c>
      <c r="H162" s="544">
        <v>7.83</v>
      </c>
      <c r="I162" s="544" t="s">
        <v>592</v>
      </c>
      <c r="J162" s="555">
        <v>0.01</v>
      </c>
      <c r="K162" s="544">
        <v>0</v>
      </c>
      <c r="L162" s="569">
        <v>0</v>
      </c>
      <c r="M162" s="570">
        <v>0</v>
      </c>
      <c r="N162" s="544">
        <v>0</v>
      </c>
      <c r="O162" s="544">
        <v>1.2553239999999999E-3</v>
      </c>
      <c r="P162" s="554">
        <v>100.60846909999999</v>
      </c>
      <c r="Q162" s="549" t="s">
        <v>618</v>
      </c>
    </row>
    <row r="163" spans="1:17">
      <c r="A163" s="541">
        <v>46358</v>
      </c>
      <c r="B163" s="572" t="s">
        <v>968</v>
      </c>
      <c r="C163" s="572" t="s">
        <v>968</v>
      </c>
      <c r="D163" s="544" t="s">
        <v>969</v>
      </c>
      <c r="E163" s="544" t="s">
        <v>1109</v>
      </c>
      <c r="F163" s="544" t="s">
        <v>596</v>
      </c>
      <c r="G163" s="544" t="s">
        <v>137</v>
      </c>
      <c r="H163" s="544">
        <v>17.670000000000002</v>
      </c>
      <c r="I163" s="544" t="s">
        <v>592</v>
      </c>
      <c r="J163" s="555">
        <v>0.26</v>
      </c>
      <c r="K163" s="544">
        <v>0</v>
      </c>
      <c r="L163" s="569">
        <v>0</v>
      </c>
      <c r="M163" s="570">
        <v>0</v>
      </c>
      <c r="N163" s="544">
        <v>0</v>
      </c>
      <c r="O163" s="544">
        <v>4.7895641000000003E-2</v>
      </c>
      <c r="P163" s="554">
        <v>41.949688010000003</v>
      </c>
      <c r="Q163" s="549" t="s">
        <v>618</v>
      </c>
    </row>
    <row r="164" spans="1:17">
      <c r="A164" s="541">
        <v>46358</v>
      </c>
      <c r="B164" s="572" t="s">
        <v>970</v>
      </c>
      <c r="C164" s="572" t="s">
        <v>970</v>
      </c>
      <c r="D164" s="544" t="s">
        <v>971</v>
      </c>
      <c r="E164" s="544" t="s">
        <v>1109</v>
      </c>
      <c r="F164" s="544" t="s">
        <v>596</v>
      </c>
      <c r="G164" s="544" t="s">
        <v>137</v>
      </c>
      <c r="H164" s="544">
        <v>18.010000000000002</v>
      </c>
      <c r="I164" s="544" t="s">
        <v>592</v>
      </c>
      <c r="J164" s="555">
        <v>0.03</v>
      </c>
      <c r="K164" s="544">
        <v>0</v>
      </c>
      <c r="L164" s="569">
        <v>0</v>
      </c>
      <c r="M164" s="570">
        <v>0</v>
      </c>
      <c r="N164" s="544">
        <v>0</v>
      </c>
      <c r="O164" s="571">
        <v>4.0070900000000002E-7</v>
      </c>
      <c r="P164" s="554">
        <v>15.175352719999999</v>
      </c>
      <c r="Q164" s="549" t="s">
        <v>618</v>
      </c>
    </row>
    <row r="165" spans="1:17">
      <c r="A165" s="541">
        <v>46358</v>
      </c>
      <c r="B165" s="542" t="s">
        <v>972</v>
      </c>
      <c r="C165" s="542" t="s">
        <v>972</v>
      </c>
      <c r="D165" s="544" t="s">
        <v>869</v>
      </c>
      <c r="E165" s="544" t="s">
        <v>1107</v>
      </c>
      <c r="F165" s="544" t="s">
        <v>591</v>
      </c>
      <c r="G165" s="544" t="s">
        <v>137</v>
      </c>
      <c r="H165" s="544">
        <v>45.5</v>
      </c>
      <c r="I165" s="544" t="s">
        <v>592</v>
      </c>
      <c r="J165" s="555">
        <v>0.8</v>
      </c>
      <c r="K165" s="544">
        <v>44.7</v>
      </c>
      <c r="L165" s="569">
        <v>0</v>
      </c>
      <c r="M165" s="570">
        <v>0</v>
      </c>
      <c r="N165" s="544">
        <v>0</v>
      </c>
      <c r="O165" s="544">
        <v>9.9260988999999994E-2</v>
      </c>
      <c r="P165" s="554">
        <v>36.2485365</v>
      </c>
      <c r="Q165" s="549" t="s">
        <v>618</v>
      </c>
    </row>
    <row r="166" spans="1:17">
      <c r="A166" s="541">
        <v>46358</v>
      </c>
      <c r="B166" s="542" t="s">
        <v>973</v>
      </c>
      <c r="C166" s="542" t="s">
        <v>973</v>
      </c>
      <c r="D166" s="544" t="s">
        <v>869</v>
      </c>
      <c r="E166" s="544" t="s">
        <v>1107</v>
      </c>
      <c r="F166" s="544" t="s">
        <v>591</v>
      </c>
      <c r="G166" s="544" t="s">
        <v>137</v>
      </c>
      <c r="H166" s="544">
        <v>49.5</v>
      </c>
      <c r="I166" s="544" t="s">
        <v>592</v>
      </c>
      <c r="J166" s="555">
        <v>1.18</v>
      </c>
      <c r="K166" s="544">
        <v>48.32</v>
      </c>
      <c r="L166" s="569">
        <v>0</v>
      </c>
      <c r="M166" s="570">
        <v>0</v>
      </c>
      <c r="N166" s="544">
        <v>0</v>
      </c>
      <c r="O166" s="544">
        <v>0.25562451899999999</v>
      </c>
      <c r="P166" s="554">
        <v>34.551369780000002</v>
      </c>
      <c r="Q166" s="549" t="s">
        <v>618</v>
      </c>
    </row>
    <row r="167" spans="1:17">
      <c r="A167" s="541">
        <v>46358</v>
      </c>
      <c r="B167" s="542" t="s">
        <v>991</v>
      </c>
      <c r="C167" s="542" t="s">
        <v>991</v>
      </c>
      <c r="D167" s="544" t="s">
        <v>992</v>
      </c>
      <c r="E167" s="544" t="s">
        <v>1105</v>
      </c>
      <c r="F167" s="544" t="s">
        <v>591</v>
      </c>
      <c r="G167" s="544" t="s">
        <v>137</v>
      </c>
      <c r="H167" s="544">
        <v>18.87</v>
      </c>
      <c r="I167" s="544" t="s">
        <v>592</v>
      </c>
      <c r="J167" s="555">
        <v>0.12</v>
      </c>
      <c r="K167" s="544">
        <v>18.75</v>
      </c>
      <c r="L167" s="569">
        <v>0</v>
      </c>
      <c r="M167" s="570">
        <v>0</v>
      </c>
      <c r="N167" s="544">
        <v>0</v>
      </c>
      <c r="O167" s="544">
        <v>2.0906766E-2</v>
      </c>
      <c r="P167" s="554">
        <v>27.937970419999999</v>
      </c>
      <c r="Q167" s="549" t="s">
        <v>618</v>
      </c>
    </row>
    <row r="168" spans="1:17">
      <c r="A168" s="541">
        <v>46358</v>
      </c>
      <c r="B168" s="542" t="s">
        <v>993</v>
      </c>
      <c r="C168" s="542" t="s">
        <v>993</v>
      </c>
      <c r="D168" s="544" t="s">
        <v>834</v>
      </c>
      <c r="E168" s="544" t="s">
        <v>1109</v>
      </c>
      <c r="F168" s="544" t="s">
        <v>596</v>
      </c>
      <c r="G168" s="544" t="s">
        <v>137</v>
      </c>
      <c r="H168" s="544">
        <v>30.64</v>
      </c>
      <c r="I168" s="544" t="s">
        <v>592</v>
      </c>
      <c r="J168" s="555">
        <v>0.28999999999999998</v>
      </c>
      <c r="K168" s="544">
        <v>0</v>
      </c>
      <c r="L168" s="569">
        <v>0</v>
      </c>
      <c r="M168" s="570">
        <v>0</v>
      </c>
      <c r="N168" s="544">
        <v>0</v>
      </c>
      <c r="O168" s="544">
        <v>3.3791276000000002E-2</v>
      </c>
      <c r="P168" s="554">
        <v>28.44859529</v>
      </c>
      <c r="Q168" s="549" t="s">
        <v>618</v>
      </c>
    </row>
    <row r="169" spans="1:17">
      <c r="A169" s="541">
        <v>46358</v>
      </c>
      <c r="B169" s="542" t="s">
        <v>994</v>
      </c>
      <c r="C169" s="542" t="s">
        <v>994</v>
      </c>
      <c r="D169" s="544" t="s">
        <v>834</v>
      </c>
      <c r="E169" s="544" t="s">
        <v>1109</v>
      </c>
      <c r="F169" s="544" t="s">
        <v>591</v>
      </c>
      <c r="G169" s="544" t="s">
        <v>137</v>
      </c>
      <c r="H169" s="544">
        <v>26.64</v>
      </c>
      <c r="I169" s="544" t="s">
        <v>592</v>
      </c>
      <c r="J169" s="555">
        <v>0.02</v>
      </c>
      <c r="K169" s="544">
        <v>26.62</v>
      </c>
      <c r="L169" s="569">
        <v>0</v>
      </c>
      <c r="M169" s="570">
        <v>0</v>
      </c>
      <c r="N169" s="544">
        <v>0</v>
      </c>
      <c r="O169" s="544">
        <v>5.6752500000000004E-4</v>
      </c>
      <c r="P169" s="554">
        <v>37.782816519999997</v>
      </c>
      <c r="Q169" s="549" t="s">
        <v>618</v>
      </c>
    </row>
    <row r="170" spans="1:17">
      <c r="A170" s="541">
        <v>46358</v>
      </c>
      <c r="B170" s="542" t="s">
        <v>995</v>
      </c>
      <c r="C170" s="542" t="s">
        <v>995</v>
      </c>
      <c r="D170" s="544" t="s">
        <v>834</v>
      </c>
      <c r="E170" s="544" t="s">
        <v>1109</v>
      </c>
      <c r="F170" s="544" t="s">
        <v>591</v>
      </c>
      <c r="G170" s="544" t="s">
        <v>137</v>
      </c>
      <c r="H170" s="544">
        <v>28.64</v>
      </c>
      <c r="I170" s="544" t="s">
        <v>592</v>
      </c>
      <c r="J170" s="555">
        <v>0.21</v>
      </c>
      <c r="K170" s="544">
        <v>28.43</v>
      </c>
      <c r="L170" s="569">
        <v>0</v>
      </c>
      <c r="M170" s="570">
        <v>0</v>
      </c>
      <c r="N170" s="544">
        <v>0</v>
      </c>
      <c r="O170" s="544">
        <v>1.7499036999999999E-2</v>
      </c>
      <c r="P170" s="554">
        <v>33.658162730000001</v>
      </c>
      <c r="Q170" s="549" t="s">
        <v>618</v>
      </c>
    </row>
    <row r="171" spans="1:17">
      <c r="A171" s="541">
        <v>46358</v>
      </c>
      <c r="B171" s="542" t="s">
        <v>1002</v>
      </c>
      <c r="C171" s="542" t="s">
        <v>1002</v>
      </c>
      <c r="D171" s="544" t="s">
        <v>1003</v>
      </c>
      <c r="E171" s="544" t="s">
        <v>1109</v>
      </c>
      <c r="F171" s="544" t="s">
        <v>596</v>
      </c>
      <c r="G171" s="544" t="s">
        <v>137</v>
      </c>
      <c r="H171" s="544">
        <v>53.54</v>
      </c>
      <c r="I171" s="544" t="s">
        <v>592</v>
      </c>
      <c r="J171" s="555">
        <v>0.8</v>
      </c>
      <c r="K171" s="544">
        <v>0</v>
      </c>
      <c r="L171" s="569">
        <v>0</v>
      </c>
      <c r="M171" s="570">
        <v>0</v>
      </c>
      <c r="N171" s="544">
        <v>0</v>
      </c>
      <c r="O171" s="571">
        <v>3.3454300000000002E-6</v>
      </c>
      <c r="P171" s="554">
        <v>26.781276080000001</v>
      </c>
      <c r="Q171" s="549" t="s">
        <v>618</v>
      </c>
    </row>
    <row r="172" spans="1:17">
      <c r="A172" s="541">
        <v>46358</v>
      </c>
      <c r="B172" s="542" t="s">
        <v>1004</v>
      </c>
      <c r="C172" s="542" t="s">
        <v>1004</v>
      </c>
      <c r="D172" s="544" t="s">
        <v>1003</v>
      </c>
      <c r="E172" s="544" t="s">
        <v>1109</v>
      </c>
      <c r="F172" s="544" t="s">
        <v>591</v>
      </c>
      <c r="G172" s="544" t="s">
        <v>137</v>
      </c>
      <c r="H172" s="544">
        <v>45.54</v>
      </c>
      <c r="I172" s="544" t="s">
        <v>592</v>
      </c>
      <c r="J172" s="555">
        <v>0.52</v>
      </c>
      <c r="K172" s="544">
        <v>45.02</v>
      </c>
      <c r="L172" s="569">
        <v>0</v>
      </c>
      <c r="M172" s="570">
        <v>0</v>
      </c>
      <c r="N172" s="544">
        <v>0</v>
      </c>
      <c r="O172" s="544">
        <v>6.5921014999999999E-2</v>
      </c>
      <c r="P172" s="554">
        <v>37.105154679999998</v>
      </c>
      <c r="Q172" s="549" t="s">
        <v>618</v>
      </c>
    </row>
    <row r="173" spans="1:17">
      <c r="A173" s="541">
        <v>46358</v>
      </c>
      <c r="B173" s="542" t="s">
        <v>1005</v>
      </c>
      <c r="C173" s="542" t="s">
        <v>1005</v>
      </c>
      <c r="D173" s="544" t="s">
        <v>1003</v>
      </c>
      <c r="E173" s="544" t="s">
        <v>1109</v>
      </c>
      <c r="F173" s="544" t="s">
        <v>591</v>
      </c>
      <c r="G173" s="544" t="s">
        <v>137</v>
      </c>
      <c r="H173" s="544">
        <v>49.29</v>
      </c>
      <c r="I173" s="544" t="s">
        <v>592</v>
      </c>
      <c r="J173" s="555">
        <v>1.82</v>
      </c>
      <c r="K173" s="544">
        <v>47.47</v>
      </c>
      <c r="L173" s="569">
        <v>0</v>
      </c>
      <c r="M173" s="570">
        <v>0</v>
      </c>
      <c r="N173" s="544">
        <v>0</v>
      </c>
      <c r="O173" s="544">
        <v>0.473388537</v>
      </c>
      <c r="P173" s="554">
        <v>31.066796459999999</v>
      </c>
      <c r="Q173" s="549" t="s">
        <v>618</v>
      </c>
    </row>
    <row r="174" spans="1:17">
      <c r="A174" s="541">
        <v>46358</v>
      </c>
      <c r="B174" s="572" t="s">
        <v>1006</v>
      </c>
      <c r="C174" s="572" t="s">
        <v>1006</v>
      </c>
      <c r="D174" s="544" t="s">
        <v>1007</v>
      </c>
      <c r="E174" s="544" t="s">
        <v>1105</v>
      </c>
      <c r="F174" s="544" t="s">
        <v>596</v>
      </c>
      <c r="G174" s="544" t="s">
        <v>137</v>
      </c>
      <c r="H174" s="544">
        <v>7.37</v>
      </c>
      <c r="I174" s="544" t="s">
        <v>592</v>
      </c>
      <c r="J174" s="555">
        <v>0.19</v>
      </c>
      <c r="K174" s="544">
        <v>0</v>
      </c>
      <c r="L174" s="569">
        <v>0</v>
      </c>
      <c r="M174" s="570">
        <v>0</v>
      </c>
      <c r="N174" s="544">
        <v>0</v>
      </c>
      <c r="O174" s="544">
        <v>3.9187514E-2</v>
      </c>
      <c r="P174" s="554">
        <v>36.857944840000002</v>
      </c>
      <c r="Q174" s="549" t="s">
        <v>618</v>
      </c>
    </row>
    <row r="175" spans="1:17">
      <c r="A175" s="541">
        <v>46358</v>
      </c>
      <c r="B175" s="572" t="s">
        <v>1008</v>
      </c>
      <c r="C175" s="572" t="s">
        <v>1008</v>
      </c>
      <c r="D175" s="544" t="s">
        <v>1007</v>
      </c>
      <c r="E175" s="544" t="s">
        <v>1105</v>
      </c>
      <c r="F175" s="544" t="s">
        <v>591</v>
      </c>
      <c r="G175" s="544" t="s">
        <v>137</v>
      </c>
      <c r="H175" s="544">
        <v>6.17</v>
      </c>
      <c r="I175" s="544" t="s">
        <v>592</v>
      </c>
      <c r="J175" s="555">
        <v>0.14000000000000001</v>
      </c>
      <c r="K175" s="544">
        <v>6.03</v>
      </c>
      <c r="L175" s="569">
        <v>0</v>
      </c>
      <c r="M175" s="570">
        <v>0</v>
      </c>
      <c r="N175" s="544">
        <v>0</v>
      </c>
      <c r="O175" s="544">
        <v>1.2107161E-2</v>
      </c>
      <c r="P175" s="554">
        <v>42.393899740000002</v>
      </c>
      <c r="Q175" s="549" t="s">
        <v>618</v>
      </c>
    </row>
    <row r="176" spans="1:17">
      <c r="A176" s="541">
        <v>46358</v>
      </c>
      <c r="B176" s="572" t="s">
        <v>1009</v>
      </c>
      <c r="C176" s="572" t="s">
        <v>1009</v>
      </c>
      <c r="D176" s="544" t="s">
        <v>1007</v>
      </c>
      <c r="E176" s="544" t="s">
        <v>1105</v>
      </c>
      <c r="F176" s="544" t="s">
        <v>591</v>
      </c>
      <c r="G176" s="544" t="s">
        <v>137</v>
      </c>
      <c r="H176" s="544">
        <v>6.77</v>
      </c>
      <c r="I176" s="544" t="s">
        <v>592</v>
      </c>
      <c r="J176" s="555">
        <v>0.41</v>
      </c>
      <c r="K176" s="544">
        <v>6.36</v>
      </c>
      <c r="L176" s="569">
        <v>0</v>
      </c>
      <c r="M176" s="570">
        <v>0</v>
      </c>
      <c r="N176" s="544">
        <v>0</v>
      </c>
      <c r="O176" s="544">
        <v>3.8184115999999997E-2</v>
      </c>
      <c r="P176" s="554">
        <v>39.590114110000002</v>
      </c>
      <c r="Q176" s="549" t="s">
        <v>618</v>
      </c>
    </row>
    <row r="177" spans="1:17">
      <c r="A177" s="541">
        <v>46358</v>
      </c>
      <c r="B177" s="572" t="s">
        <v>1018</v>
      </c>
      <c r="C177" s="572" t="s">
        <v>1018</v>
      </c>
      <c r="D177" s="544" t="s">
        <v>1019</v>
      </c>
      <c r="E177" s="544" t="s">
        <v>1105</v>
      </c>
      <c r="F177" s="544" t="s">
        <v>596</v>
      </c>
      <c r="G177" s="544" t="s">
        <v>137</v>
      </c>
      <c r="H177" s="544">
        <v>15.2</v>
      </c>
      <c r="I177" s="544" t="s">
        <v>592</v>
      </c>
      <c r="J177" s="555">
        <v>0.35</v>
      </c>
      <c r="K177" s="544">
        <v>0</v>
      </c>
      <c r="L177" s="569">
        <v>0</v>
      </c>
      <c r="M177" s="570">
        <v>0</v>
      </c>
      <c r="N177" s="544">
        <v>0</v>
      </c>
      <c r="O177" s="544">
        <v>4.1683349999999996E-3</v>
      </c>
      <c r="P177" s="554">
        <v>34.988947279999998</v>
      </c>
      <c r="Q177" s="549" t="s">
        <v>618</v>
      </c>
    </row>
    <row r="178" spans="1:17">
      <c r="A178" s="541">
        <v>46358</v>
      </c>
      <c r="B178" s="572" t="s">
        <v>1020</v>
      </c>
      <c r="C178" s="572" t="s">
        <v>1020</v>
      </c>
      <c r="D178" s="544" t="s">
        <v>1019</v>
      </c>
      <c r="E178" s="544" t="s">
        <v>1105</v>
      </c>
      <c r="F178" s="544" t="s">
        <v>591</v>
      </c>
      <c r="G178" s="544" t="s">
        <v>137</v>
      </c>
      <c r="H178" s="544">
        <v>12.7</v>
      </c>
      <c r="I178" s="544" t="s">
        <v>592</v>
      </c>
      <c r="J178" s="555">
        <v>0.44</v>
      </c>
      <c r="K178" s="544">
        <v>12.26</v>
      </c>
      <c r="L178" s="569">
        <v>0</v>
      </c>
      <c r="M178" s="570">
        <v>0</v>
      </c>
      <c r="N178" s="544">
        <v>0</v>
      </c>
      <c r="O178" s="544">
        <v>0.13424518199999999</v>
      </c>
      <c r="P178" s="554">
        <v>40.024271409999997</v>
      </c>
      <c r="Q178" s="549" t="s">
        <v>618</v>
      </c>
    </row>
    <row r="179" spans="1:17">
      <c r="A179" s="541">
        <v>46358</v>
      </c>
      <c r="B179" s="572" t="s">
        <v>1021</v>
      </c>
      <c r="C179" s="572" t="s">
        <v>1021</v>
      </c>
      <c r="D179" s="544" t="s">
        <v>1019</v>
      </c>
      <c r="E179" s="544" t="s">
        <v>1105</v>
      </c>
      <c r="F179" s="544" t="s">
        <v>591</v>
      </c>
      <c r="G179" s="544" t="s">
        <v>137</v>
      </c>
      <c r="H179" s="544">
        <v>13.7</v>
      </c>
      <c r="I179" s="544" t="s">
        <v>592</v>
      </c>
      <c r="J179" s="555">
        <v>0.67</v>
      </c>
      <c r="K179" s="544">
        <v>13.03</v>
      </c>
      <c r="L179" s="569">
        <v>0</v>
      </c>
      <c r="M179" s="570">
        <v>0</v>
      </c>
      <c r="N179" s="544">
        <v>0</v>
      </c>
      <c r="O179" s="544">
        <v>0.25800980899999998</v>
      </c>
      <c r="P179" s="554">
        <v>37.679631819999997</v>
      </c>
      <c r="Q179" s="549" t="s">
        <v>618</v>
      </c>
    </row>
    <row r="180" spans="1:17">
      <c r="A180" s="541">
        <v>46358</v>
      </c>
      <c r="B180" s="572" t="s">
        <v>1022</v>
      </c>
      <c r="C180" s="572" t="s">
        <v>1022</v>
      </c>
      <c r="D180" s="544" t="s">
        <v>817</v>
      </c>
      <c r="E180" s="544" t="s">
        <v>1105</v>
      </c>
      <c r="F180" s="544" t="s">
        <v>591</v>
      </c>
      <c r="G180" s="544" t="s">
        <v>137</v>
      </c>
      <c r="H180" s="544">
        <v>81.180000000000007</v>
      </c>
      <c r="I180" s="544" t="s">
        <v>592</v>
      </c>
      <c r="J180" s="555">
        <v>0.86</v>
      </c>
      <c r="K180" s="544">
        <v>80.319999999999993</v>
      </c>
      <c r="L180" s="569">
        <v>0</v>
      </c>
      <c r="M180" s="570">
        <v>0</v>
      </c>
      <c r="N180" s="544">
        <v>0</v>
      </c>
      <c r="O180" s="544">
        <v>0.180589371</v>
      </c>
      <c r="P180" s="554">
        <v>37.681359540000003</v>
      </c>
      <c r="Q180" s="549" t="s">
        <v>618</v>
      </c>
    </row>
    <row r="181" spans="1:17">
      <c r="A181" s="541">
        <v>46358</v>
      </c>
      <c r="B181" s="572" t="s">
        <v>1023</v>
      </c>
      <c r="C181" s="572" t="s">
        <v>1023</v>
      </c>
      <c r="D181" s="544" t="s">
        <v>817</v>
      </c>
      <c r="E181" s="544" t="s">
        <v>1105</v>
      </c>
      <c r="F181" s="544" t="s">
        <v>591</v>
      </c>
      <c r="G181" s="544" t="s">
        <v>137</v>
      </c>
      <c r="H181" s="544">
        <v>86.18</v>
      </c>
      <c r="I181" s="544" t="s">
        <v>592</v>
      </c>
      <c r="J181" s="555">
        <v>1.94</v>
      </c>
      <c r="K181" s="544">
        <v>84.24</v>
      </c>
      <c r="L181" s="569">
        <v>0</v>
      </c>
      <c r="M181" s="570">
        <v>0</v>
      </c>
      <c r="N181" s="544">
        <v>0</v>
      </c>
      <c r="O181" s="544">
        <v>0.37470118499999999</v>
      </c>
      <c r="P181" s="554">
        <v>34.196142250000001</v>
      </c>
      <c r="Q181" s="549" t="s">
        <v>618</v>
      </c>
    </row>
    <row r="182" spans="1:17">
      <c r="A182" s="541">
        <v>46358</v>
      </c>
      <c r="B182" s="542" t="s">
        <v>1025</v>
      </c>
      <c r="C182" s="542" t="s">
        <v>1025</v>
      </c>
      <c r="D182" s="544" t="s">
        <v>945</v>
      </c>
      <c r="E182" s="544" t="s">
        <v>1105</v>
      </c>
      <c r="F182" s="544" t="s">
        <v>596</v>
      </c>
      <c r="G182" s="544" t="s">
        <v>137</v>
      </c>
      <c r="H182" s="544">
        <v>14.48</v>
      </c>
      <c r="I182" s="544" t="s">
        <v>592</v>
      </c>
      <c r="J182" s="555">
        <v>0.35</v>
      </c>
      <c r="K182" s="544">
        <v>0</v>
      </c>
      <c r="L182" s="569">
        <v>0</v>
      </c>
      <c r="M182" s="570">
        <v>0</v>
      </c>
      <c r="N182" s="544">
        <v>0</v>
      </c>
      <c r="O182" s="544">
        <v>3.3968677000000003E-2</v>
      </c>
      <c r="P182" s="554">
        <v>18.119065729999999</v>
      </c>
      <c r="Q182" s="549" t="s">
        <v>618</v>
      </c>
    </row>
    <row r="183" spans="1:17">
      <c r="A183" s="541">
        <v>46358</v>
      </c>
      <c r="B183" s="542" t="s">
        <v>1026</v>
      </c>
      <c r="C183" s="542" t="s">
        <v>1026</v>
      </c>
      <c r="D183" s="544" t="s">
        <v>945</v>
      </c>
      <c r="E183" s="544" t="s">
        <v>1105</v>
      </c>
      <c r="F183" s="544" t="s">
        <v>591</v>
      </c>
      <c r="G183" s="544" t="s">
        <v>137</v>
      </c>
      <c r="H183" s="544">
        <v>12.23</v>
      </c>
      <c r="I183" s="544" t="s">
        <v>592</v>
      </c>
      <c r="J183" s="555">
        <v>0.06</v>
      </c>
      <c r="K183" s="544">
        <v>12.17</v>
      </c>
      <c r="L183" s="569">
        <v>0</v>
      </c>
      <c r="M183" s="570">
        <v>0</v>
      </c>
      <c r="N183" s="544">
        <v>0</v>
      </c>
      <c r="O183" s="544">
        <v>1.4506079999999999E-3</v>
      </c>
      <c r="P183" s="554">
        <v>23.348767840000001</v>
      </c>
      <c r="Q183" s="549" t="s">
        <v>618</v>
      </c>
    </row>
    <row r="184" spans="1:17">
      <c r="A184" s="541">
        <v>46358</v>
      </c>
      <c r="B184" s="542" t="s">
        <v>1027</v>
      </c>
      <c r="C184" s="542" t="s">
        <v>1027</v>
      </c>
      <c r="D184" s="544" t="s">
        <v>945</v>
      </c>
      <c r="E184" s="544" t="s">
        <v>1105</v>
      </c>
      <c r="F184" s="544" t="s">
        <v>591</v>
      </c>
      <c r="G184" s="544" t="s">
        <v>137</v>
      </c>
      <c r="H184" s="544">
        <v>13.23</v>
      </c>
      <c r="I184" s="544" t="s">
        <v>592</v>
      </c>
      <c r="J184" s="555">
        <v>0.13</v>
      </c>
      <c r="K184" s="544">
        <v>13.1</v>
      </c>
      <c r="L184" s="569">
        <v>0</v>
      </c>
      <c r="M184" s="570">
        <v>0</v>
      </c>
      <c r="N184" s="544">
        <v>0</v>
      </c>
      <c r="O184" s="544">
        <v>1.3217550999999999E-2</v>
      </c>
      <c r="P184" s="554">
        <v>21.021757399999998</v>
      </c>
      <c r="Q184" s="549" t="s">
        <v>618</v>
      </c>
    </row>
    <row r="185" spans="1:17">
      <c r="A185" s="541">
        <v>46358</v>
      </c>
      <c r="B185" s="543" t="s">
        <v>1042</v>
      </c>
      <c r="C185" s="543" t="s">
        <v>1042</v>
      </c>
      <c r="D185" s="544" t="s">
        <v>1043</v>
      </c>
      <c r="E185" s="544" t="s">
        <v>1121</v>
      </c>
      <c r="F185" s="544" t="s">
        <v>591</v>
      </c>
      <c r="G185" s="544" t="s">
        <v>137</v>
      </c>
      <c r="H185" s="544">
        <v>14.91</v>
      </c>
      <c r="I185" s="544" t="s">
        <v>592</v>
      </c>
      <c r="J185" s="555">
        <v>0.27</v>
      </c>
      <c r="K185" s="544">
        <v>14.64</v>
      </c>
      <c r="L185" s="569">
        <v>0</v>
      </c>
      <c r="M185" s="570">
        <v>0</v>
      </c>
      <c r="N185" s="544">
        <v>0</v>
      </c>
      <c r="O185" s="544">
        <v>1.9882996999999999E-2</v>
      </c>
      <c r="P185" s="554">
        <v>25.689579770000002</v>
      </c>
      <c r="Q185" s="549" t="s">
        <v>618</v>
      </c>
    </row>
    <row r="186" spans="1:17">
      <c r="A186" s="541">
        <v>46358</v>
      </c>
      <c r="B186" s="543" t="s">
        <v>1044</v>
      </c>
      <c r="C186" s="543" t="s">
        <v>1044</v>
      </c>
      <c r="D186" s="544" t="s">
        <v>1043</v>
      </c>
      <c r="E186" s="544" t="s">
        <v>1121</v>
      </c>
      <c r="F186" s="544" t="s">
        <v>591</v>
      </c>
      <c r="G186" s="544" t="s">
        <v>137</v>
      </c>
      <c r="H186" s="544">
        <v>16.91</v>
      </c>
      <c r="I186" s="544" t="s">
        <v>592</v>
      </c>
      <c r="J186" s="555">
        <v>0.85</v>
      </c>
      <c r="K186" s="544">
        <v>16.059999999999999</v>
      </c>
      <c r="L186" s="569">
        <v>0</v>
      </c>
      <c r="M186" s="570">
        <v>0</v>
      </c>
      <c r="N186" s="544">
        <v>0</v>
      </c>
      <c r="O186" s="544">
        <v>8.5361497999999994E-2</v>
      </c>
      <c r="P186" s="554">
        <v>23.57828799</v>
      </c>
      <c r="Q186" s="549" t="s">
        <v>618</v>
      </c>
    </row>
    <row r="187" spans="1:17">
      <c r="A187" s="541">
        <v>46358</v>
      </c>
      <c r="B187" s="542" t="s">
        <v>1063</v>
      </c>
      <c r="C187" s="542" t="s">
        <v>1063</v>
      </c>
      <c r="D187" s="544" t="s">
        <v>680</v>
      </c>
      <c r="E187" s="544" t="s">
        <v>1122</v>
      </c>
      <c r="F187" s="544" t="s">
        <v>591</v>
      </c>
      <c r="G187" s="544" t="s">
        <v>137</v>
      </c>
      <c r="H187" s="544">
        <v>176000</v>
      </c>
      <c r="I187" s="544" t="s">
        <v>592</v>
      </c>
      <c r="J187" s="555">
        <v>625</v>
      </c>
      <c r="K187" s="544">
        <v>175375</v>
      </c>
      <c r="L187" s="569">
        <v>0</v>
      </c>
      <c r="M187" s="570">
        <v>0</v>
      </c>
      <c r="N187" s="544">
        <v>0</v>
      </c>
      <c r="O187" s="544">
        <v>173.292113</v>
      </c>
      <c r="P187" s="554">
        <v>23.77205751</v>
      </c>
      <c r="Q187" s="549" t="s">
        <v>618</v>
      </c>
    </row>
    <row r="188" spans="1:17">
      <c r="A188" s="541">
        <v>46358</v>
      </c>
      <c r="B188" s="542" t="s">
        <v>1064</v>
      </c>
      <c r="C188" s="542" t="s">
        <v>1064</v>
      </c>
      <c r="D188" s="544" t="s">
        <v>680</v>
      </c>
      <c r="E188" s="544" t="s">
        <v>1122</v>
      </c>
      <c r="F188" s="544" t="s">
        <v>591</v>
      </c>
      <c r="G188" s="544" t="s">
        <v>137</v>
      </c>
      <c r="H188" s="544">
        <v>185000</v>
      </c>
      <c r="I188" s="544" t="s">
        <v>592</v>
      </c>
      <c r="J188" s="555">
        <v>2560</v>
      </c>
      <c r="K188" s="544">
        <v>182440</v>
      </c>
      <c r="L188" s="569">
        <v>0</v>
      </c>
      <c r="M188" s="570">
        <v>0</v>
      </c>
      <c r="N188" s="544">
        <v>0</v>
      </c>
      <c r="O188" s="544">
        <v>499.74172970000001</v>
      </c>
      <c r="P188" s="554">
        <v>21.17821752</v>
      </c>
      <c r="Q188" s="549" t="s">
        <v>618</v>
      </c>
    </row>
    <row r="189" spans="1:17">
      <c r="A189" s="541">
        <v>46358</v>
      </c>
      <c r="B189" s="542" t="s">
        <v>1090</v>
      </c>
      <c r="C189" s="543" t="s">
        <v>1090</v>
      </c>
      <c r="D189" s="544" t="s">
        <v>969</v>
      </c>
      <c r="E189" s="544" t="s">
        <v>1109</v>
      </c>
      <c r="F189" s="544" t="s">
        <v>591</v>
      </c>
      <c r="G189" s="544" t="s">
        <v>137</v>
      </c>
      <c r="H189" s="544">
        <v>16.420000000000002</v>
      </c>
      <c r="I189" s="544" t="s">
        <v>592</v>
      </c>
      <c r="J189" s="555">
        <v>0.09</v>
      </c>
      <c r="K189" s="544">
        <v>16.329999999999998</v>
      </c>
      <c r="L189" s="569">
        <v>0</v>
      </c>
      <c r="M189" s="570">
        <v>0</v>
      </c>
      <c r="N189" s="544">
        <v>0</v>
      </c>
      <c r="O189" s="544">
        <v>1.9843091E-2</v>
      </c>
      <c r="P189" s="554">
        <v>50.040699969999999</v>
      </c>
      <c r="Q189" s="549" t="s">
        <v>618</v>
      </c>
    </row>
    <row r="190" spans="1:17">
      <c r="A190" s="541">
        <v>46358</v>
      </c>
      <c r="B190" s="542" t="s">
        <v>1091</v>
      </c>
      <c r="C190" s="543" t="s">
        <v>1091</v>
      </c>
      <c r="D190" s="544" t="s">
        <v>969</v>
      </c>
      <c r="E190" s="544" t="s">
        <v>1109</v>
      </c>
      <c r="F190" s="544" t="s">
        <v>591</v>
      </c>
      <c r="G190" s="544" t="s">
        <v>137</v>
      </c>
      <c r="H190" s="544">
        <v>17.170000000000002</v>
      </c>
      <c r="I190" s="544" t="s">
        <v>592</v>
      </c>
      <c r="J190" s="555">
        <v>0.24</v>
      </c>
      <c r="K190" s="544">
        <v>16.93</v>
      </c>
      <c r="L190" s="569">
        <v>0</v>
      </c>
      <c r="M190" s="570">
        <v>0</v>
      </c>
      <c r="N190" s="544">
        <v>0</v>
      </c>
      <c r="O190" s="544">
        <v>5.2318642999999998E-2</v>
      </c>
      <c r="P190" s="554">
        <v>43.29933784</v>
      </c>
      <c r="Q190" s="549" t="s">
        <v>618</v>
      </c>
    </row>
    <row r="191" spans="1:17">
      <c r="A191" s="541">
        <v>46358</v>
      </c>
      <c r="B191" s="542" t="s">
        <v>1092</v>
      </c>
      <c r="C191" s="543" t="s">
        <v>1092</v>
      </c>
      <c r="D191" s="544" t="s">
        <v>1093</v>
      </c>
      <c r="E191" s="544" t="s">
        <v>1109</v>
      </c>
      <c r="F191" s="544" t="s">
        <v>591</v>
      </c>
      <c r="G191" s="544" t="s">
        <v>137</v>
      </c>
      <c r="H191" s="544">
        <v>23.49</v>
      </c>
      <c r="I191" s="544" t="s">
        <v>592</v>
      </c>
      <c r="J191" s="555">
        <v>0.04</v>
      </c>
      <c r="K191" s="544">
        <v>23.45</v>
      </c>
      <c r="L191" s="569">
        <v>0</v>
      </c>
      <c r="M191" s="570">
        <v>0</v>
      </c>
      <c r="N191" s="544">
        <v>0</v>
      </c>
      <c r="O191" s="544">
        <v>8.9572539999999996E-3</v>
      </c>
      <c r="P191" s="554">
        <v>54.492544690000003</v>
      </c>
      <c r="Q191" s="549" t="s">
        <v>618</v>
      </c>
    </row>
    <row r="192" spans="1:17">
      <c r="A192" s="541">
        <v>46358</v>
      </c>
      <c r="B192" s="542" t="s">
        <v>1094</v>
      </c>
      <c r="C192" s="543" t="s">
        <v>1094</v>
      </c>
      <c r="D192" s="544" t="s">
        <v>1093</v>
      </c>
      <c r="E192" s="544" t="s">
        <v>1109</v>
      </c>
      <c r="F192" s="544" t="s">
        <v>591</v>
      </c>
      <c r="G192" s="544" t="s">
        <v>137</v>
      </c>
      <c r="H192" s="544">
        <v>24.86</v>
      </c>
      <c r="I192" s="544" t="s">
        <v>592</v>
      </c>
      <c r="J192" s="555">
        <v>0.15</v>
      </c>
      <c r="K192" s="544">
        <v>24.71</v>
      </c>
      <c r="L192" s="569">
        <v>0</v>
      </c>
      <c r="M192" s="570">
        <v>0</v>
      </c>
      <c r="N192" s="544">
        <v>0</v>
      </c>
      <c r="O192" s="544">
        <v>2.7984719000000002E-2</v>
      </c>
      <c r="P192" s="554">
        <v>43.555877250000002</v>
      </c>
      <c r="Q192" s="549" t="s">
        <v>618</v>
      </c>
    </row>
  </sheetData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2026-02-13T21:22:13Z</dcterms:modified>
  <cp:category/>
  <cp:contentStatus/>
</cp:coreProperties>
</file>